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B74D7F3E-C89B-4AA4-9D8A-C0496B045EE3}" xr6:coauthVersionLast="47" xr6:coauthVersionMax="47" xr10:uidLastSave="{00000000-0000-0000-0000-000000000000}"/>
  <bookViews>
    <workbookView xWindow="28680" yWindow="-120" windowWidth="29040" windowHeight="15720" tabRatio="881" firstSheet="2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P&amp;L'!$A$11:$AD$40</definedName>
    <definedName name="_xlnm._FilterDatabase" localSheetId="8" hidden="1">Options!$A$3:$BD$31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P&amp;L'!$B$2:$AC$40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13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I15" i="1"/>
  <c r="AG15" i="1"/>
  <c r="L15" i="1" a="1"/>
  <c r="AF15" i="1"/>
  <c r="I15" i="1" a="1"/>
  <c r="AC15" i="1" a="1"/>
  <c r="AB15" i="1"/>
  <c r="E9" i="1"/>
  <c r="E2" i="1" a="1"/>
  <c r="AC15" i="1" l="1"/>
  <c r="I15" i="1"/>
  <c r="L15" i="1"/>
  <c r="E2" i="1"/>
  <c r="AB28" i="1"/>
  <c r="E5" i="1" a="1"/>
  <c r="N15" i="1" l="1"/>
  <c r="J15" i="1"/>
  <c r="W15" i="1"/>
  <c r="E5" i="1"/>
  <c r="AF17" i="1"/>
  <c r="AB16" i="1"/>
  <c r="AF34" i="1"/>
  <c r="AF33" i="1"/>
  <c r="AF32" i="1"/>
  <c r="E1" i="1"/>
  <c r="K3" i="1" a="1"/>
  <c r="O15" i="1" l="1"/>
  <c r="T15" i="1"/>
  <c r="P15" i="1"/>
  <c r="K3" i="1"/>
  <c r="AI36" i="1"/>
  <c r="AI35" i="1"/>
  <c r="AF22" i="1"/>
  <c r="AF21" i="1"/>
  <c r="E7" i="1" a="1"/>
  <c r="AD15" i="1" l="1"/>
  <c r="V15" i="1"/>
  <c r="U15" i="1"/>
  <c r="AH15" i="1"/>
  <c r="E7" i="1"/>
  <c r="AC26" i="1" a="1"/>
  <c r="AA15" i="1" l="1"/>
  <c r="Y15" i="1"/>
  <c r="Z15" i="1"/>
  <c r="AC26" i="1"/>
  <c r="AC25" i="1" a="1"/>
  <c r="AC25" i="1"/>
  <c r="AC16" i="1" a="1"/>
  <c r="AC16" i="1"/>
  <c r="AB13" i="1"/>
  <c r="AI24" i="1"/>
  <c r="AI23" i="1"/>
  <c r="AC34" i="1"/>
  <c r="AC33" i="1"/>
  <c r="AC32" i="1"/>
  <c r="AC17" i="1" a="1"/>
  <c r="AC17" i="1"/>
  <c r="AB17" i="1"/>
  <c r="AF16" i="1"/>
  <c r="AC28" i="1" a="1"/>
  <c r="AC28" i="1"/>
  <c r="AC24" i="1" a="1"/>
  <c r="AC24" i="1"/>
  <c r="AC23" i="1" a="1"/>
  <c r="AC23" i="1"/>
  <c r="AC36" i="1" a="1"/>
  <c r="AC36" i="1"/>
  <c r="AC35" i="1" a="1"/>
  <c r="AC35" i="1"/>
  <c r="AF26" i="1"/>
  <c r="AF25" i="1"/>
  <c r="AC13" i="1" a="1"/>
  <c r="AC13" i="1"/>
  <c r="AF28" i="1"/>
  <c r="AC22" i="1" a="1"/>
  <c r="AC22" i="1"/>
  <c r="AC21" i="1" a="1"/>
  <c r="AC21" i="1"/>
  <c r="AF36" i="1"/>
  <c r="AF35" i="1"/>
  <c r="AB24" i="1"/>
  <c r="AB23" i="1"/>
  <c r="AI26" i="1"/>
  <c r="AI25" i="1"/>
  <c r="AI13" i="1"/>
  <c r="AC12" i="1" a="1"/>
  <c r="AC12" i="1"/>
  <c r="AF12" i="1"/>
  <c r="K5" i="1" a="1"/>
  <c r="K5" i="1"/>
  <c r="AF24" i="1"/>
  <c r="AF23" i="1"/>
  <c r="AB36" i="1"/>
  <c r="AB35" i="1"/>
  <c r="AI22" i="1"/>
  <c r="AI21" i="1"/>
  <c r="AB22" i="1"/>
  <c r="AB21" i="1"/>
  <c r="AB34" i="1"/>
  <c r="AB33" i="1"/>
  <c r="AB32" i="1"/>
  <c r="K10" i="1"/>
  <c r="AI12" i="1"/>
  <c r="E3" i="1"/>
  <c r="AB26" i="1"/>
  <c r="AB25" i="1"/>
  <c r="AI28" i="1"/>
  <c r="AF13" i="1"/>
  <c r="AB12" i="1"/>
  <c r="K7" i="1"/>
  <c r="AI34" i="1"/>
  <c r="AI33" i="1"/>
  <c r="AI32" i="1"/>
  <c r="AI16" i="1"/>
  <c r="AI17" i="1"/>
  <c r="AC19" i="1" a="1"/>
  <c r="AC19" i="1"/>
  <c r="AC18" i="1" a="1"/>
  <c r="AC18" i="1"/>
  <c r="AB31" i="1"/>
  <c r="AF38" i="1"/>
  <c r="AI30" i="1"/>
  <c r="AF30" i="1"/>
  <c r="AC38" i="1"/>
  <c r="AI31" i="1"/>
  <c r="AB30" i="1"/>
  <c r="AB37" i="1"/>
  <c r="AF19" i="1"/>
  <c r="AF18" i="1"/>
  <c r="AC20" i="1" a="1"/>
  <c r="AC20" i="1"/>
  <c r="AI38" i="1"/>
  <c r="AI40" i="1"/>
  <c r="AB39" i="1"/>
  <c r="AC40" i="1"/>
  <c r="AF31" i="1"/>
  <c r="AC30" i="1" a="1"/>
  <c r="AC30" i="1"/>
  <c r="AC39" i="1" a="1"/>
  <c r="AC39" i="1"/>
  <c r="AF27" i="1"/>
  <c r="AB40" i="1"/>
  <c r="AI20" i="1"/>
  <c r="AI39" i="1"/>
  <c r="AB19" i="1"/>
  <c r="AB18" i="1"/>
  <c r="AI37" i="1"/>
  <c r="AC27" i="1" a="1"/>
  <c r="AC27" i="1"/>
  <c r="AI27" i="1"/>
  <c r="AF37" i="1"/>
  <c r="AB27" i="1"/>
  <c r="AC37" i="1"/>
  <c r="AF40" i="1"/>
  <c r="AF39" i="1"/>
  <c r="AB20" i="1"/>
  <c r="AI19" i="1"/>
  <c r="AI18" i="1"/>
  <c r="AC31" i="1" a="1"/>
  <c r="AC31" i="1"/>
  <c r="AF20" i="1"/>
  <c r="AB38" i="1"/>
  <c r="AG31" i="1"/>
  <c r="AG17" i="1"/>
  <c r="AG30" i="1"/>
  <c r="AG13" i="1"/>
  <c r="AG40" i="1"/>
  <c r="AG26" i="1"/>
  <c r="AG25" i="1"/>
  <c r="AG27" i="1"/>
  <c r="AG24" i="1"/>
  <c r="AG23" i="1"/>
  <c r="AG14" i="1"/>
  <c r="AG38" i="1"/>
  <c r="AG39" i="1"/>
  <c r="AG34" i="1"/>
  <c r="AG33" i="1"/>
  <c r="AG32" i="1"/>
  <c r="AG16" i="1"/>
  <c r="AG28" i="1"/>
  <c r="AG29" i="1"/>
  <c r="AG12" i="1"/>
  <c r="AG37" i="1"/>
  <c r="AG22" i="1"/>
  <c r="AG21" i="1"/>
  <c r="AG20" i="1"/>
  <c r="AG19" i="1"/>
  <c r="AG18" i="1"/>
  <c r="E6" i="1" a="1"/>
  <c r="E6" i="1"/>
  <c r="K9" i="1" a="1"/>
  <c r="K9" i="1"/>
  <c r="K1" i="1"/>
  <c r="E8" i="1" a="1"/>
  <c r="E8" i="1"/>
  <c r="K8" i="1" a="1"/>
  <c r="K8" i="1"/>
  <c r="E4" i="1" a="1"/>
  <c r="E4" i="1"/>
  <c r="K4" i="1" a="1"/>
  <c r="K4" i="1"/>
  <c r="X3" i="1"/>
  <c r="L31" i="1" a="1"/>
  <c r="L3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4" i="1" a="1"/>
  <c r="L14" i="1"/>
  <c r="L13" i="1" a="1"/>
  <c r="L13" i="1"/>
  <c r="L12" i="1" a="1"/>
  <c r="L12" i="1"/>
  <c r="AB14" i="1"/>
  <c r="AC14" i="1" a="1"/>
  <c r="AC14" i="1"/>
  <c r="K6" i="1" a="1"/>
  <c r="K6" i="1"/>
  <c r="AC29" i="1" a="1"/>
  <c r="AC29" i="1"/>
  <c r="AI29" i="1"/>
  <c r="AB29" i="1"/>
  <c r="AF29" i="1"/>
  <c r="AI14" i="1"/>
  <c r="AF14" i="1"/>
  <c r="K2" i="1"/>
  <c r="E10" i="1"/>
  <c r="AF10" i="1" a="1"/>
  <c r="AF10" i="1"/>
  <c r="AG36" i="1"/>
  <c r="AG35" i="1"/>
  <c r="AB2" i="1" a="1"/>
  <c r="AB2" i="1"/>
  <c r="AD2" i="1" a="1"/>
  <c r="AD2" i="1"/>
  <c r="F10" i="1" a="1"/>
  <c r="F10" i="1"/>
  <c r="K43" i="1"/>
  <c r="I40" i="1" a="1"/>
  <c r="I40" i="1" l="1"/>
  <c r="N40" i="1" l="1"/>
  <c r="J40" i="1"/>
  <c r="S39" i="1" l="1"/>
  <c r="Q39" i="1"/>
  <c r="I39" i="1" a="1"/>
  <c r="I39" i="1" l="1"/>
  <c r="N39" i="1" l="1"/>
  <c r="J39" i="1"/>
  <c r="T39" i="1" l="1"/>
  <c r="S38" i="1"/>
  <c r="Q38" i="1"/>
  <c r="I38" i="1" a="1"/>
  <c r="I38" i="1" l="1"/>
  <c r="N38" i="1" s="1"/>
  <c r="J38" i="1" l="1"/>
  <c r="T38" i="1" l="1"/>
  <c r="F38" i="1" l="1"/>
  <c r="S37" i="1"/>
  <c r="Q37" i="1"/>
  <c r="I37" i="1" a="1"/>
  <c r="I37" i="1" l="1"/>
  <c r="N37" i="1" s="1"/>
  <c r="J37" i="1" l="1"/>
  <c r="T37" i="1" l="1"/>
  <c r="F37" i="1" l="1"/>
  <c r="I36" i="1" a="1"/>
  <c r="I36" i="1" l="1"/>
  <c r="N36" i="1" l="1"/>
  <c r="J36" i="1"/>
  <c r="T36" i="1" l="1"/>
  <c r="I35" i="1" a="1"/>
  <c r="I35" i="1" l="1"/>
  <c r="N35" i="1" l="1"/>
  <c r="J35" i="1"/>
  <c r="I34" i="1" a="1"/>
  <c r="I34" i="1" l="1"/>
  <c r="N34" i="1" l="1"/>
  <c r="J34" i="1"/>
  <c r="T34" i="1" l="1"/>
  <c r="I33" i="1" a="1"/>
  <c r="I33" i="1" l="1"/>
  <c r="N33" i="1" l="1"/>
  <c r="J33" i="1"/>
  <c r="T33" i="1" l="1"/>
  <c r="I32" i="1" a="1"/>
  <c r="I32" i="1" l="1"/>
  <c r="N32" i="1" l="1"/>
  <c r="J32" i="1"/>
  <c r="T32" i="1" l="1"/>
  <c r="S31" i="1"/>
  <c r="Q31" i="1"/>
  <c r="I31" i="1" a="1"/>
  <c r="I31" i="1" l="1"/>
  <c r="N31" i="1" l="1"/>
  <c r="J31" i="1"/>
  <c r="T31" i="1" l="1"/>
  <c r="S30" i="1"/>
  <c r="Q30" i="1"/>
  <c r="I30" i="1" a="1"/>
  <c r="I30" i="1" l="1"/>
  <c r="N30" i="1" l="1"/>
  <c r="J30" i="1"/>
  <c r="T30" i="1" l="1"/>
  <c r="S29" i="1"/>
  <c r="Q29" i="1"/>
  <c r="I29" i="1" a="1"/>
  <c r="I29" i="1" l="1"/>
  <c r="N29" i="1" l="1"/>
  <c r="J29" i="1"/>
  <c r="T29" i="1" l="1"/>
  <c r="I28" i="1" a="1"/>
  <c r="I28" i="1" l="1"/>
  <c r="N28" i="1" l="1"/>
  <c r="J28" i="1"/>
  <c r="I27" i="1" a="1"/>
  <c r="I27" i="1" l="1"/>
  <c r="N27" i="1" l="1"/>
  <c r="J27" i="1"/>
  <c r="I26" i="1" a="1"/>
  <c r="I26" i="1" l="1"/>
  <c r="N26" i="1" l="1"/>
  <c r="J26" i="1"/>
  <c r="T26" i="1" l="1"/>
  <c r="I25" i="1" a="1"/>
  <c r="I25" i="1" l="1"/>
  <c r="N25" i="1" l="1"/>
  <c r="J25" i="1"/>
  <c r="I24" i="1" a="1"/>
  <c r="I24" i="1" l="1"/>
  <c r="N24" i="1" l="1"/>
  <c r="J24" i="1"/>
  <c r="T24" i="1" l="1"/>
  <c r="I23" i="1" a="1"/>
  <c r="I23" i="1" l="1"/>
  <c r="N23" i="1" l="1"/>
  <c r="J23" i="1"/>
  <c r="I22" i="1" a="1"/>
  <c r="I22" i="1" l="1"/>
  <c r="N22" i="1" l="1"/>
  <c r="J22" i="1"/>
  <c r="T22" i="1" l="1"/>
  <c r="I21" i="1" a="1"/>
  <c r="I21" i="1" l="1"/>
  <c r="N21" i="1" l="1"/>
  <c r="J21" i="1"/>
  <c r="S20" i="1" l="1"/>
  <c r="Q20" i="1"/>
  <c r="I20" i="1" a="1"/>
  <c r="I20" i="1" l="1"/>
  <c r="N20" i="1" l="1"/>
  <c r="J20" i="1"/>
  <c r="T20" i="1" l="1"/>
  <c r="I19" i="1" a="1"/>
  <c r="I19" i="1" l="1"/>
  <c r="N19" i="1" l="1"/>
  <c r="J19" i="1"/>
  <c r="T19" i="1" l="1"/>
  <c r="I18" i="1" a="1"/>
  <c r="I18" i="1" l="1"/>
  <c r="N18" i="1" l="1"/>
  <c r="J18" i="1"/>
  <c r="I17" i="1" a="1"/>
  <c r="I17" i="1" l="1"/>
  <c r="N17" i="1" l="1"/>
  <c r="J17" i="1"/>
  <c r="S16" i="1" l="1"/>
  <c r="Q16" i="1"/>
  <c r="I16" i="1" a="1"/>
  <c r="I16" i="1" l="1"/>
  <c r="N16" i="1" l="1"/>
  <c r="J16" i="1"/>
  <c r="T16" i="1" l="1"/>
  <c r="I14" i="1" a="1"/>
  <c r="I14" i="1" l="1"/>
  <c r="N14" i="1" l="1"/>
  <c r="J14" i="1"/>
  <c r="S13" i="1" l="1"/>
  <c r="Q13" i="1"/>
  <c r="I13" i="1" a="1"/>
  <c r="I13" i="1" l="1"/>
  <c r="N13" i="1" l="1"/>
  <c r="J13" i="1"/>
  <c r="T13" i="1" l="1"/>
  <c r="S12" i="1"/>
  <c r="Q12" i="1"/>
  <c r="I12" i="1" a="1"/>
  <c r="I12" i="1" l="1"/>
  <c r="N12" i="1" l="1"/>
  <c r="J12" i="1"/>
  <c r="T12" i="1" l="1"/>
  <c r="I10" i="1" a="1"/>
  <c r="I10" i="1" l="1"/>
  <c r="J10" i="1" s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P40" i="1" l="1"/>
  <c r="P39" i="1"/>
  <c r="AH39" i="1"/>
  <c r="P38" i="1"/>
  <c r="AH38" i="1"/>
  <c r="P37" i="1"/>
  <c r="AH37" i="1"/>
  <c r="P36" i="1"/>
  <c r="AH36" i="1"/>
  <c r="P35" i="1"/>
  <c r="AH34" i="1"/>
  <c r="AH33" i="1"/>
  <c r="AH32" i="1"/>
  <c r="P31" i="1"/>
  <c r="AH31" i="1"/>
  <c r="P30" i="1"/>
  <c r="AH30" i="1"/>
  <c r="P29" i="1"/>
  <c r="AH29" i="1"/>
  <c r="P28" i="1"/>
  <c r="P27" i="1"/>
  <c r="P26" i="1"/>
  <c r="AH26" i="1"/>
  <c r="P25" i="1"/>
  <c r="P24" i="1"/>
  <c r="AH24" i="1"/>
  <c r="P23" i="1"/>
  <c r="P22" i="1"/>
  <c r="AH22" i="1"/>
  <c r="P21" i="1"/>
  <c r="P20" i="1"/>
  <c r="AH20" i="1"/>
  <c r="P19" i="1"/>
  <c r="AH19" i="1"/>
  <c r="P18" i="1"/>
  <c r="P17" i="1"/>
  <c r="P16" i="1"/>
  <c r="AH16" i="1"/>
  <c r="P14" i="1"/>
  <c r="P13" i="1"/>
  <c r="AH13" i="1"/>
  <c r="P12" i="1"/>
  <c r="AH12" i="1"/>
  <c r="AD8" i="1"/>
  <c r="I7" i="1" a="1"/>
  <c r="AH10" i="1" l="1"/>
  <c r="I7" i="1"/>
  <c r="J7" i="1" s="1"/>
  <c r="L7" i="1" s="1"/>
  <c r="AD20" i="1"/>
  <c r="V20" i="1"/>
  <c r="AD13" i="1"/>
  <c r="V13" i="1"/>
  <c r="AD14" i="1"/>
  <c r="AD38" i="1"/>
  <c r="V38" i="1"/>
  <c r="AD29" i="1"/>
  <c r="V29" i="1"/>
  <c r="AD31" i="1"/>
  <c r="V31" i="1"/>
  <c r="AD25" i="1"/>
  <c r="AD27" i="1"/>
  <c r="AD19" i="1"/>
  <c r="V19" i="1"/>
  <c r="AD22" i="1"/>
  <c r="V22" i="1"/>
  <c r="AD12" i="1"/>
  <c r="V12" i="1"/>
  <c r="AD24" i="1"/>
  <c r="V24" i="1"/>
  <c r="AD16" i="1"/>
  <c r="V16" i="1"/>
  <c r="AD17" i="1"/>
  <c r="AD39" i="1"/>
  <c r="V39" i="1"/>
  <c r="AD21" i="1"/>
  <c r="AD35" i="1"/>
  <c r="AD26" i="1"/>
  <c r="V26" i="1"/>
  <c r="AD18" i="1"/>
  <c r="AD28" i="1"/>
  <c r="AD30" i="1"/>
  <c r="V30" i="1"/>
  <c r="AD23" i="1"/>
  <c r="AD36" i="1"/>
  <c r="V36" i="1"/>
  <c r="AD37" i="1"/>
  <c r="V37" i="1"/>
  <c r="AD40" i="1"/>
  <c r="C7" i="1" a="1"/>
  <c r="C7" i="1" l="1"/>
  <c r="D7" i="1" s="1"/>
  <c r="AE6" i="1"/>
  <c r="P6" i="1"/>
  <c r="I6" i="1" a="1"/>
  <c r="I6" i="1" l="1"/>
  <c r="J6" i="1" s="1"/>
  <c r="C6" i="1" a="1"/>
  <c r="C6" i="1" l="1"/>
  <c r="D6" i="1" s="1"/>
  <c r="AE5" i="1"/>
  <c r="AE7" i="1" s="1"/>
  <c r="O40" i="1" l="1"/>
  <c r="R39" i="1"/>
  <c r="O39" i="1"/>
  <c r="R38" i="1"/>
  <c r="U39" i="1"/>
  <c r="O38" i="1"/>
  <c r="U38" i="1"/>
  <c r="R37" i="1"/>
  <c r="O37" i="1"/>
  <c r="U37" i="1"/>
  <c r="O36" i="1"/>
  <c r="U36" i="1"/>
  <c r="O35" i="1"/>
  <c r="P34" i="1"/>
  <c r="O34" i="1"/>
  <c r="U34" i="1"/>
  <c r="P33" i="1"/>
  <c r="O33" i="1"/>
  <c r="U33" i="1"/>
  <c r="P32" i="1"/>
  <c r="O32" i="1"/>
  <c r="R31" i="1"/>
  <c r="U32" i="1"/>
  <c r="O31" i="1"/>
  <c r="R30" i="1"/>
  <c r="U31" i="1"/>
  <c r="O30" i="1"/>
  <c r="R29" i="1"/>
  <c r="U30" i="1"/>
  <c r="O29" i="1"/>
  <c r="U29" i="1"/>
  <c r="O28" i="1"/>
  <c r="O27" i="1"/>
  <c r="O26" i="1"/>
  <c r="U26" i="1"/>
  <c r="O25" i="1"/>
  <c r="O24" i="1"/>
  <c r="U24" i="1"/>
  <c r="O23" i="1"/>
  <c r="O22" i="1"/>
  <c r="U22" i="1"/>
  <c r="O21" i="1"/>
  <c r="R20" i="1"/>
  <c r="O20" i="1"/>
  <c r="U20" i="1"/>
  <c r="O19" i="1"/>
  <c r="U19" i="1"/>
  <c r="O18" i="1"/>
  <c r="O17" i="1"/>
  <c r="R16" i="1"/>
  <c r="O16" i="1"/>
  <c r="U16" i="1"/>
  <c r="O14" i="1"/>
  <c r="R13" i="1"/>
  <c r="O13" i="1"/>
  <c r="R12" i="1"/>
  <c r="U13" i="1"/>
  <c r="W10" i="1"/>
  <c r="O12" i="1"/>
  <c r="U12" i="1"/>
  <c r="I5" i="1" a="1"/>
  <c r="I5" i="1" l="1"/>
  <c r="J5" i="1" s="1"/>
  <c r="L5" i="1" s="1"/>
  <c r="Z36" i="1"/>
  <c r="AA36" i="1"/>
  <c r="Y36" i="1"/>
  <c r="AA24" i="1"/>
  <c r="Z24" i="1"/>
  <c r="Y24" i="1"/>
  <c r="Z20" i="1"/>
  <c r="Y20" i="1"/>
  <c r="AA20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4" i="1"/>
  <c r="W13" i="1"/>
  <c r="W12" i="1"/>
  <c r="AA16" i="1"/>
  <c r="Z16" i="1"/>
  <c r="Y16" i="1"/>
  <c r="Z31" i="1"/>
  <c r="AA31" i="1"/>
  <c r="Y31" i="1"/>
  <c r="AD32" i="1"/>
  <c r="V32" i="1"/>
  <c r="P10" i="1"/>
  <c r="P7" i="1"/>
  <c r="P5" i="1"/>
  <c r="AA19" i="1"/>
  <c r="Y19" i="1"/>
  <c r="Z19" i="1"/>
  <c r="AA13" i="1"/>
  <c r="Z13" i="1"/>
  <c r="Y13" i="1"/>
  <c r="Z29" i="1"/>
  <c r="Y29" i="1"/>
  <c r="AA29" i="1"/>
  <c r="Z22" i="1"/>
  <c r="Y22" i="1"/>
  <c r="AA22" i="1"/>
  <c r="Z37" i="1"/>
  <c r="AA37" i="1"/>
  <c r="Y37" i="1"/>
  <c r="Z38" i="1"/>
  <c r="Y38" i="1"/>
  <c r="AA38" i="1"/>
  <c r="Z32" i="1"/>
  <c r="AA32" i="1"/>
  <c r="Y32" i="1"/>
  <c r="AD33" i="1"/>
  <c r="V33" i="1"/>
  <c r="O6" i="1"/>
  <c r="O5" i="1"/>
  <c r="AD34" i="1"/>
  <c r="V34" i="1"/>
  <c r="AA30" i="1"/>
  <c r="Z30" i="1"/>
  <c r="Y30" i="1"/>
  <c r="Z39" i="1"/>
  <c r="AA39" i="1"/>
  <c r="Y39" i="1"/>
  <c r="AA26" i="1"/>
  <c r="Z26" i="1"/>
  <c r="Y26" i="1"/>
  <c r="Y33" i="1"/>
  <c r="AA33" i="1"/>
  <c r="Z33" i="1"/>
  <c r="AA12" i="1"/>
  <c r="Z12" i="1"/>
  <c r="Y12" i="1"/>
  <c r="AA34" i="1"/>
  <c r="Z34" i="1"/>
  <c r="Y34" i="1"/>
  <c r="AD10" i="1" l="1"/>
  <c r="O8" i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AC2" i="1" a="1"/>
  <c r="AC2" i="1" l="1"/>
  <c r="I2" i="1" a="1"/>
  <c r="I2" i="1" l="1"/>
  <c r="J2" i="1" s="1"/>
  <c r="C2" i="1" a="1"/>
  <c r="C2" i="1" l="1"/>
  <c r="D2" i="1" s="1"/>
  <c r="V1" i="1"/>
  <c r="U1" i="1"/>
  <c r="I1" i="1" a="1"/>
  <c r="I1" i="1" l="1"/>
  <c r="J1" i="1" s="1"/>
  <c r="C1" i="1" a="1"/>
  <c r="L6" i="2" a="1"/>
  <c r="C1" i="1" l="1"/>
  <c r="D1" i="1" s="1"/>
  <c r="L6" i="2"/>
  <c r="L7" i="2" a="1"/>
  <c r="L7" i="2" l="1"/>
  <c r="AB247" i="89" a="1"/>
  <c r="AB247" i="89" l="1"/>
  <c r="AB34" i="89" a="1"/>
  <c r="AB34" i="89" l="1"/>
  <c r="AB240" i="89" a="1"/>
  <c r="AB240" i="89" l="1"/>
  <c r="AB196" i="89" a="1"/>
  <c r="AB196" i="89"/>
  <c r="AB195" i="89" a="1"/>
  <c r="AB195" i="89"/>
  <c r="AB81" i="89" a="1"/>
  <c r="AB81" i="89"/>
  <c r="AB40" i="89" a="1"/>
  <c r="AB40" i="89"/>
  <c r="AB39" i="89" a="1"/>
  <c r="AB39" i="89"/>
  <c r="V249" i="89" a="1"/>
  <c r="V249" i="89"/>
  <c r="T239" i="89" a="1"/>
  <c r="T239" i="89"/>
  <c r="O248" i="89" a="1"/>
  <c r="O248" i="89"/>
  <c r="C68" i="89" a="1"/>
  <c r="C68" i="89"/>
  <c r="O171" i="89" a="1"/>
  <c r="O171" i="89"/>
  <c r="V20" i="89" a="1"/>
  <c r="V20" i="89"/>
  <c r="T248" i="89" a="1"/>
  <c r="T248" i="89"/>
  <c r="T197" i="89" a="1"/>
  <c r="T197" i="89"/>
  <c r="V171" i="89" a="1"/>
  <c r="V171" i="89"/>
  <c r="O249" i="89" a="1"/>
  <c r="O249" i="89"/>
  <c r="C197" i="89" a="1"/>
  <c r="C197" i="89"/>
  <c r="T63" i="89" a="1"/>
  <c r="T63" i="89"/>
  <c r="T20" i="89" a="1"/>
  <c r="T20" i="89"/>
  <c r="C33" i="89" a="1"/>
  <c r="C33" i="89"/>
  <c r="C187" i="89" a="1"/>
  <c r="C187" i="89"/>
  <c r="AA63" i="89" a="1"/>
  <c r="AA63" i="89"/>
  <c r="O33" i="89" a="1"/>
  <c r="O33" i="89"/>
  <c r="C239" i="89" a="1"/>
  <c r="C239" i="89"/>
  <c r="T249" i="89" a="1"/>
  <c r="T249" i="89"/>
  <c r="O63" i="89" a="1"/>
  <c r="O63" i="89"/>
  <c r="Z63" i="89" a="1"/>
  <c r="O68" i="89" a="1"/>
  <c r="Z63" i="89" l="1"/>
  <c r="O68" i="89"/>
  <c r="C20" i="89" a="1"/>
  <c r="C20" i="89" l="1"/>
  <c r="C249" i="89" a="1"/>
  <c r="C249" i="89"/>
  <c r="O197" i="89" a="1"/>
  <c r="O197" i="89"/>
  <c r="V248" i="89" a="1"/>
  <c r="V248" i="89"/>
  <c r="C248" i="89" a="1"/>
  <c r="C248" i="89"/>
  <c r="O239" i="89" a="1"/>
  <c r="O239" i="89"/>
  <c r="T33" i="89" a="1"/>
  <c r="T33" i="89"/>
  <c r="Z249" i="89" a="1"/>
  <c r="Z249" i="89"/>
  <c r="AA249" i="89" a="1"/>
  <c r="AA249" i="89"/>
  <c r="V63" i="89" a="1"/>
  <c r="V63" i="89"/>
  <c r="T187" i="89" a="1"/>
  <c r="T187" i="89"/>
  <c r="T68" i="89" a="1"/>
  <c r="T68" i="89"/>
  <c r="O187" i="89" a="1"/>
  <c r="O187" i="89"/>
  <c r="V197" i="89" a="1"/>
  <c r="V197" i="89" l="1"/>
  <c r="C63" i="89" a="1"/>
  <c r="C63" i="89"/>
  <c r="V33" i="89" a="1"/>
  <c r="V33" i="89"/>
  <c r="Z239" i="89" a="1"/>
  <c r="Z239" i="89"/>
  <c r="AA239" i="89" a="1"/>
  <c r="AA239" i="89"/>
  <c r="V239" i="89" a="1"/>
  <c r="V239" i="89"/>
  <c r="C171" i="89" a="1"/>
  <c r="C171" i="89"/>
  <c r="O20" i="89" a="1"/>
  <c r="O20" i="89"/>
  <c r="Z248" i="89" a="1"/>
  <c r="Z248" i="89" l="1"/>
  <c r="AA248" i="89" a="1"/>
  <c r="AA248" i="89"/>
  <c r="T171" i="89" a="1"/>
  <c r="T171" i="89"/>
  <c r="V68" i="89" a="1"/>
  <c r="V68" i="89"/>
  <c r="V187" i="89" a="1"/>
  <c r="V187" i="89"/>
  <c r="AB129" i="89" a="1"/>
  <c r="AB129" i="89"/>
  <c r="AB160" i="89" a="1"/>
  <c r="AB160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S240" i="89" a="1"/>
  <c r="S240" i="89"/>
  <c r="R240" i="89" a="1"/>
  <c r="S34" i="89" a="1"/>
  <c r="R240" i="89" l="1"/>
  <c r="S34" i="89"/>
  <c r="R34" i="89" a="1"/>
  <c r="AC28" i="2" a="1"/>
  <c r="R34" i="89" l="1"/>
  <c r="AC28" i="2"/>
  <c r="AC27" i="2" a="1"/>
  <c r="AC27" i="2"/>
  <c r="AC26" i="2" a="1"/>
  <c r="AC26" i="2"/>
  <c r="AQ20" i="2" a="1"/>
  <c r="AQ20" i="2"/>
  <c r="AQ19" i="2" a="1"/>
  <c r="AQ19" i="2"/>
  <c r="AQ18" i="2" a="1"/>
  <c r="AQ18" i="2"/>
  <c r="AB212" i="89" a="1"/>
  <c r="AB212" i="89"/>
  <c r="AB211" i="89" a="1"/>
  <c r="AB211" i="89"/>
  <c r="AC15" i="2" a="1"/>
  <c r="AC15" i="2"/>
  <c r="AC14" i="2" a="1"/>
  <c r="AC14" i="2"/>
  <c r="AC13" i="2" a="1"/>
  <c r="AC13" i="2"/>
  <c r="AC12" i="2" a="1"/>
  <c r="AC12" i="2"/>
  <c r="AQ7" i="2" a="1"/>
  <c r="AQ7" i="2"/>
  <c r="AQ6" i="2" a="1"/>
  <c r="AQ6" i="2"/>
  <c r="AB8" i="89" a="1"/>
  <c r="AB8" i="89"/>
  <c r="AB27" i="89" a="1"/>
  <c r="AB27" i="89"/>
  <c r="AB26" i="89" a="1"/>
  <c r="AB26" i="89"/>
  <c r="AC23" i="2" a="1"/>
  <c r="AC23" i="2"/>
  <c r="AC22" i="2" a="1"/>
  <c r="AC22" i="2"/>
  <c r="AC21" i="2" a="1"/>
  <c r="AC21" i="2"/>
  <c r="AQ17" i="2" a="1"/>
  <c r="AQ17" i="2"/>
  <c r="AQ16" i="2" a="1"/>
  <c r="AQ16" i="2"/>
  <c r="AB69" i="89" a="1"/>
  <c r="AB69" i="89"/>
  <c r="AC17" i="2" a="1"/>
  <c r="AC17" i="2"/>
  <c r="AC16" i="2" a="1"/>
  <c r="AC16" i="2"/>
  <c r="AC25" i="2" a="1"/>
  <c r="AC25" i="2"/>
  <c r="AC20" i="2" a="1"/>
  <c r="AC20" i="2"/>
  <c r="AC19" i="2" a="1"/>
  <c r="AC19" i="2"/>
  <c r="AC18" i="2" a="1"/>
  <c r="AC18" i="2"/>
  <c r="AQ28" i="2" a="1"/>
  <c r="AQ28" i="2"/>
  <c r="AQ27" i="2" a="1"/>
  <c r="AQ27" i="2"/>
  <c r="AQ26" i="2" a="1"/>
  <c r="AQ26" i="2"/>
  <c r="AB7" i="89" a="1"/>
  <c r="AB7" i="89"/>
  <c r="AB14" i="89" a="1"/>
  <c r="AB14" i="89"/>
  <c r="AB13" i="89" a="1"/>
  <c r="AB13" i="89"/>
  <c r="AQ23" i="2" a="1"/>
  <c r="AQ23" i="2"/>
  <c r="AQ22" i="2" a="1"/>
  <c r="AQ22" i="2"/>
  <c r="AQ21" i="2" a="1"/>
  <c r="AQ21" i="2"/>
  <c r="AB205" i="89" a="1"/>
  <c r="AB205" i="89"/>
  <c r="AB204" i="89" a="1"/>
  <c r="AB204" i="89"/>
  <c r="AB203" i="89" a="1"/>
  <c r="AB203" i="89"/>
  <c r="AB186" i="89" a="1"/>
  <c r="AB186" i="89"/>
  <c r="AC7" i="2" a="1"/>
  <c r="AC7" i="2"/>
  <c r="AC6" i="2" a="1"/>
  <c r="AC6" i="2"/>
  <c r="AQ9" i="2" a="1"/>
  <c r="AQ9" i="2"/>
  <c r="AQ8" i="2" a="1"/>
  <c r="AQ8" i="2"/>
  <c r="AQ11" i="2" a="1"/>
  <c r="AQ11" i="2"/>
  <c r="AQ10" i="2" a="1"/>
  <c r="AQ10" i="2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0" i="89" a="1"/>
  <c r="AB170" i="89"/>
  <c r="AB169" i="89" a="1"/>
  <c r="AB169" i="89"/>
  <c r="AQ15" i="2" a="1"/>
  <c r="AQ15" i="2"/>
  <c r="AQ14" i="2" a="1"/>
  <c r="AQ14" i="2"/>
  <c r="AQ13" i="2" a="1"/>
  <c r="AQ13" i="2"/>
  <c r="AQ12" i="2" a="1"/>
  <c r="AQ12" i="2"/>
  <c r="AB56" i="89" a="1"/>
  <c r="AB56" i="89"/>
  <c r="AB55" i="89" a="1"/>
  <c r="AB55" i="89"/>
  <c r="AB50" i="89" a="1"/>
  <c r="AB50" i="89"/>
  <c r="AB49" i="89" a="1"/>
  <c r="AB49" i="89"/>
  <c r="AC9" i="2" a="1"/>
  <c r="AC9" i="2"/>
  <c r="AC8" i="2" a="1"/>
  <c r="AC8" i="2"/>
  <c r="AC11" i="2" a="1"/>
  <c r="AC11" i="2"/>
  <c r="AC10" i="2" a="1"/>
  <c r="AC10" i="2"/>
  <c r="AQ25" i="2" a="1"/>
  <c r="AQ25" i="2"/>
  <c r="AB76" i="89" a="1"/>
  <c r="AB76" i="89"/>
  <c r="AB75" i="89" a="1"/>
  <c r="AB75" i="89"/>
  <c r="T224" i="89" a="1"/>
  <c r="T224" i="89"/>
  <c r="O240" i="89" a="1"/>
  <c r="O240" i="89"/>
  <c r="T62" i="89" a="1"/>
  <c r="T62" i="89"/>
  <c r="O195" i="89" a="1"/>
  <c r="O195" i="89"/>
  <c r="O39" i="89" a="1"/>
  <c r="O39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34" i="89" a="1"/>
  <c r="O34" i="89"/>
  <c r="V34" i="89" a="1"/>
  <c r="V34" i="89" l="1"/>
  <c r="O62" i="89" a="1"/>
  <c r="O62" i="89"/>
  <c r="C39" i="89" a="1"/>
  <c r="C39" i="89"/>
  <c r="T213" i="89" a="1"/>
  <c r="T213" i="89"/>
  <c r="T39" i="89" a="1"/>
  <c r="T39" i="89"/>
  <c r="C188" i="89" a="1"/>
  <c r="C188" i="89"/>
  <c r="C34" i="89" a="1"/>
  <c r="C34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O188" i="89" a="1"/>
  <c r="O188" i="89"/>
  <c r="O213" i="89" a="1"/>
  <c r="O213" i="89" l="1"/>
  <c r="T34" i="89" a="1"/>
  <c r="T34" i="89"/>
  <c r="T195" i="89" a="1"/>
  <c r="T195" i="89"/>
  <c r="C251" i="89" a="1"/>
  <c r="C251" i="89"/>
  <c r="V188" i="89" a="1"/>
  <c r="V188" i="89"/>
  <c r="V246" i="89" a="1"/>
  <c r="V246" i="89"/>
  <c r="O224" i="89" a="1"/>
  <c r="O224" i="89"/>
  <c r="V39" i="89" a="1"/>
  <c r="V39" i="89" l="1"/>
  <c r="V240" i="89" a="1"/>
  <c r="V240" i="89"/>
  <c r="S81" i="89" a="1"/>
  <c r="S81" i="89"/>
  <c r="R81" i="89" a="1"/>
  <c r="S196" i="89"/>
  <c r="R196" i="89" s="1" a="1"/>
  <c r="S247" i="89" a="1"/>
  <c r="R196" i="89" l="1"/>
  <c r="R81" i="89"/>
  <c r="S247" i="89"/>
  <c r="R247" i="89" a="1"/>
  <c r="AB138" i="89" a="1"/>
  <c r="R247" i="89" l="1"/>
  <c r="AB138" i="89"/>
  <c r="AB137" i="89" a="1"/>
  <c r="AB137" i="89"/>
  <c r="AB136" i="89" a="1"/>
  <c r="AB136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122" i="89" a="1"/>
  <c r="AB122" i="89"/>
  <c r="AC5" i="2" a="1"/>
  <c r="AC5" i="2"/>
  <c r="AC4" i="2" a="1"/>
  <c r="AC4" i="2"/>
  <c r="AC24" i="2" a="1"/>
  <c r="AC24" i="2"/>
  <c r="AQ24" i="2" a="1"/>
  <c r="AQ24" i="2"/>
  <c r="AB19" i="89" a="1"/>
  <c r="AB19" i="89"/>
  <c r="AQ5" i="2" a="1"/>
  <c r="AQ5" i="2"/>
  <c r="AQ4" i="2" a="1"/>
  <c r="AQ4" i="2"/>
  <c r="AB225" i="89" a="1"/>
  <c r="AB225" i="89"/>
  <c r="AB223" i="89" a="1"/>
  <c r="AB223" i="89"/>
  <c r="AB222" i="89" a="1"/>
  <c r="AB222" i="89"/>
  <c r="O40" i="89" a="1"/>
  <c r="O40" i="89"/>
  <c r="V81" i="89" a="1"/>
  <c r="V81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T211" i="89" a="1"/>
  <c r="T211" i="89" l="1"/>
  <c r="C8" i="89" a="1"/>
  <c r="C8" i="89"/>
  <c r="V75" i="89" a="1"/>
  <c r="V75" i="89"/>
  <c r="O186" i="89" a="1"/>
  <c r="O186" i="89"/>
  <c r="T81" i="89" a="1"/>
  <c r="T81" i="89" l="1"/>
  <c r="C211" i="89" a="1"/>
  <c r="C211" i="89"/>
  <c r="T40" i="89" a="1"/>
  <c r="T40" i="89"/>
  <c r="O8" i="89" a="1"/>
  <c r="O8" i="89"/>
  <c r="V8" i="89" a="1"/>
  <c r="V8" i="89" l="1"/>
  <c r="T212" i="89" a="1"/>
  <c r="T212" i="89"/>
  <c r="V186" i="89" a="1"/>
  <c r="V186" i="89"/>
  <c r="T247" i="89" a="1"/>
  <c r="T247" i="89"/>
  <c r="V247" i="89" a="1"/>
  <c r="V247" i="89"/>
  <c r="V40" i="89" a="1"/>
  <c r="V40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T186" i="89" a="1"/>
  <c r="T186" i="89"/>
  <c r="V212" i="89" a="1"/>
  <c r="V212" i="89"/>
  <c r="C81" i="89" a="1"/>
  <c r="C81" i="89"/>
  <c r="T75" i="89" a="1"/>
  <c r="T75" i="89"/>
  <c r="C247" i="89" a="1"/>
  <c r="C247" i="89"/>
  <c r="T8" i="89" a="1"/>
  <c r="T8" i="89"/>
  <c r="T250" i="89" a="1"/>
  <c r="T250" i="89"/>
  <c r="C40" i="89" a="1"/>
  <c r="C40" i="89"/>
  <c r="S160" i="89" a="1"/>
  <c r="S160" i="89"/>
  <c r="R160" i="89" a="1"/>
  <c r="S108" i="89" a="1"/>
  <c r="R160" i="89" l="1"/>
  <c r="S108" i="89"/>
  <c r="R108" i="89" a="1"/>
  <c r="S116" i="89" a="1"/>
  <c r="R108" i="89" l="1"/>
  <c r="S116" i="89"/>
  <c r="R116" i="89" a="1"/>
  <c r="S129" i="89" a="1"/>
  <c r="R116" i="89" l="1"/>
  <c r="S129" i="89"/>
  <c r="R129" i="89" a="1"/>
  <c r="S154" i="89" a="1"/>
  <c r="R129" i="89" l="1"/>
  <c r="S154" i="89"/>
  <c r="R154" i="89" a="1"/>
  <c r="E8" i="89" a="1"/>
  <c r="R154" i="89" l="1"/>
  <c r="E8" i="89"/>
  <c r="E7" i="89" a="1"/>
  <c r="E7" i="89"/>
  <c r="E224" i="89" a="1"/>
  <c r="E224" i="89"/>
  <c r="E205" i="89" a="1"/>
  <c r="E205" i="89"/>
  <c r="D205" i="89" a="1"/>
  <c r="D205" i="89"/>
  <c r="D19" i="89"/>
  <c r="E50" i="89" a="1"/>
  <c r="E50" i="89"/>
  <c r="E68" i="89"/>
  <c r="E39" i="89" a="1"/>
  <c r="E39" i="89"/>
  <c r="E62" i="89" a="1"/>
  <c r="E62" i="89"/>
  <c r="D68" i="89"/>
  <c r="D81" i="89" a="1"/>
  <c r="D81" i="89"/>
  <c r="E81" i="89" a="1"/>
  <c r="E81" i="89"/>
  <c r="D224" i="89" a="1"/>
  <c r="D224" i="89"/>
  <c r="D62" i="89" a="1"/>
  <c r="D62" i="89"/>
  <c r="D50" i="89" a="1"/>
  <c r="D50" i="89"/>
  <c r="D7" i="89" a="1"/>
  <c r="D7" i="89"/>
  <c r="D39" i="89" a="1"/>
  <c r="D39" i="89"/>
  <c r="D8" i="89" a="1"/>
  <c r="D8" i="89"/>
  <c r="E19" i="89"/>
  <c r="F11" i="252" a="1"/>
  <c r="F11" i="252"/>
  <c r="P17" i="252" a="1"/>
  <c r="P17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S20" i="252" a="1"/>
  <c r="S20" i="252"/>
  <c r="M17" i="252" a="1"/>
  <c r="M17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F17" i="252" a="1"/>
  <c r="F17" i="252"/>
  <c r="N18" i="252" a="1"/>
  <c r="N18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P16" i="252" a="1"/>
  <c r="P16" i="252"/>
  <c r="O7" i="252" a="1"/>
  <c r="O7" i="252"/>
  <c r="O18" i="252" a="1"/>
  <c r="O18" i="252"/>
  <c r="F18" i="252" a="1"/>
  <c r="F18" i="252"/>
  <c r="F8" i="252" a="1"/>
  <c r="F8" i="252"/>
  <c r="S17" i="252" a="1"/>
  <c r="S1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X47" i="338" a="1"/>
  <c r="X47" i="338"/>
  <c r="T14" i="338" a="1"/>
  <c r="T14" i="338"/>
  <c r="P34" i="338" a="1"/>
  <c r="P34" i="338"/>
  <c r="X9" i="338" a="1"/>
  <c r="X9" i="338"/>
  <c r="X46" i="338" a="1"/>
  <c r="X46" i="338"/>
  <c r="P50" i="338" a="1"/>
  <c r="P50" i="338"/>
  <c r="P36" i="338" a="1"/>
  <c r="P36" i="338"/>
  <c r="P11" i="338" a="1"/>
  <c r="P11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6" i="2" a="1"/>
  <c r="E6" i="2"/>
  <c r="F6" i="2" a="1"/>
  <c r="F6" i="2"/>
  <c r="AD8" i="2" a="1"/>
  <c r="AD8" i="2"/>
  <c r="V233" i="89" a="1"/>
  <c r="V233" i="89"/>
  <c r="V178" i="89" a="1"/>
  <c r="V178" i="89"/>
  <c r="V169" i="89" a="1"/>
  <c r="V169" i="89"/>
  <c r="T26" i="2" a="1"/>
  <c r="T26" i="2"/>
  <c r="O7" i="89" a="1"/>
  <c r="O7" i="89"/>
  <c r="C15" i="2" a="1"/>
  <c r="C15" i="2"/>
  <c r="D26" i="2" a="1"/>
  <c r="D26" i="2"/>
  <c r="C7" i="89" a="1"/>
  <c r="C7" i="89"/>
  <c r="D10" i="2" a="1"/>
  <c r="D10" i="2"/>
  <c r="C180" i="89" a="1"/>
  <c r="C180" i="89"/>
  <c r="AA14" i="2" a="1"/>
  <c r="AA14" i="2"/>
  <c r="T56" i="89" a="1"/>
  <c r="T56" i="89"/>
  <c r="T6" i="2" a="1"/>
  <c r="T6" i="2"/>
  <c r="O26" i="89" a="1"/>
  <c r="O26" i="89"/>
  <c r="AA6" i="2" a="1"/>
  <c r="AA6" i="2"/>
  <c r="T26" i="89" a="1"/>
  <c r="T26" i="89"/>
  <c r="F11" i="2" a="1"/>
  <c r="F11" i="2"/>
  <c r="E8" i="2" a="1"/>
  <c r="E8" i="2"/>
  <c r="T14" i="2" a="1"/>
  <c r="T14" i="2"/>
  <c r="O56" i="89" a="1"/>
  <c r="O56" i="89"/>
  <c r="AD15" i="2" a="1"/>
  <c r="AD15" i="2"/>
  <c r="V50" i="89" a="1"/>
  <c r="V50" i="89"/>
  <c r="AD14" i="2" a="1"/>
  <c r="AD14" i="2"/>
  <c r="V56" i="89" a="1"/>
  <c r="V56" i="89"/>
  <c r="C8" i="2" a="1"/>
  <c r="C8" i="2"/>
  <c r="AA27" i="2" a="1"/>
  <c r="AA27" i="2"/>
  <c r="T13" i="89" a="1"/>
  <c r="T13" i="89"/>
  <c r="C10" i="2" a="1"/>
  <c r="C10" i="2"/>
  <c r="AA11" i="2" a="1"/>
  <c r="AA11" i="2"/>
  <c r="T234" i="89" a="1"/>
  <c r="T234" i="89"/>
  <c r="F15" i="2" a="1"/>
  <c r="F15" i="2"/>
  <c r="C14" i="2" a="1"/>
  <c r="C14" i="2"/>
  <c r="AR14" i="2" a="1"/>
  <c r="AR14" i="2"/>
  <c r="AA10" i="2" a="1"/>
  <c r="AA10" i="2"/>
  <c r="T180" i="89" a="1"/>
  <c r="T180" i="89"/>
  <c r="C6" i="2" a="1"/>
  <c r="C6" i="2"/>
  <c r="T27" i="2" a="1"/>
  <c r="T27" i="2"/>
  <c r="O13" i="89" a="1"/>
  <c r="O13" i="89"/>
  <c r="D8" i="2" a="1"/>
  <c r="D8" i="2"/>
  <c r="C233" i="89" a="1"/>
  <c r="C233" i="89"/>
  <c r="C178" i="89" a="1"/>
  <c r="C178" i="89"/>
  <c r="C169" i="89" a="1"/>
  <c r="C169" i="89"/>
  <c r="D6" i="2" a="1"/>
  <c r="D6" i="2"/>
  <c r="C26" i="89" a="1"/>
  <c r="C26" i="89"/>
  <c r="T11" i="2" a="1"/>
  <c r="T11" i="2"/>
  <c r="O234" i="89" a="1"/>
  <c r="O234" i="89"/>
  <c r="AR6" i="2" a="1"/>
  <c r="AR6" i="2" l="1"/>
  <c r="T10" i="2" a="1"/>
  <c r="T10" i="2"/>
  <c r="O180" i="89" a="1"/>
  <c r="O180" i="89"/>
  <c r="E15" i="2" a="1"/>
  <c r="E15" i="2"/>
  <c r="AD26" i="2" a="1"/>
  <c r="AD26" i="2"/>
  <c r="V7" i="89" a="1"/>
  <c r="V7" i="89"/>
  <c r="E14" i="2" a="1"/>
  <c r="E14" i="2"/>
  <c r="AD11" i="2" a="1"/>
  <c r="AD11" i="2"/>
  <c r="V234" i="89" a="1"/>
  <c r="V234" i="89"/>
  <c r="AD10" i="2" a="1"/>
  <c r="AD10" i="2"/>
  <c r="V180" i="89" a="1"/>
  <c r="V180" i="89"/>
  <c r="AA26" i="2" a="1"/>
  <c r="AA26" i="2"/>
  <c r="T7" i="89" a="1"/>
  <c r="T7" i="89"/>
  <c r="F14" i="2" a="1"/>
  <c r="F14" i="2"/>
  <c r="E10" i="2" a="1"/>
  <c r="E10" i="2"/>
  <c r="E26" i="2" a="1"/>
  <c r="E26" i="2"/>
  <c r="C11" i="2" a="1"/>
  <c r="C11" i="2"/>
  <c r="F26" i="2" a="1"/>
  <c r="F26" i="2"/>
  <c r="AR11" i="2" a="1"/>
  <c r="AR11" i="2"/>
  <c r="D15" i="2" a="1"/>
  <c r="D15" i="2"/>
  <c r="C50" i="89" a="1"/>
  <c r="C50" i="89"/>
  <c r="T15" i="2" a="1"/>
  <c r="T15" i="2"/>
  <c r="O50" i="89" a="1"/>
  <c r="O50" i="89"/>
  <c r="AR8" i="2" a="1"/>
  <c r="AR8" i="2" l="1"/>
  <c r="AA15" i="2" a="1"/>
  <c r="AA15" i="2"/>
  <c r="T50" i="89" a="1"/>
  <c r="T50" i="89"/>
  <c r="D14" i="2" a="1"/>
  <c r="D14" i="2"/>
  <c r="C56" i="89" a="1"/>
  <c r="C56" i="89"/>
  <c r="F27" i="2" a="1"/>
  <c r="F27" i="2"/>
  <c r="D11" i="2" a="1"/>
  <c r="D11" i="2"/>
  <c r="C234" i="89" a="1"/>
  <c r="C234" i="89"/>
  <c r="D27" i="2" a="1"/>
  <c r="D27" i="2"/>
  <c r="C13" i="89" a="1"/>
  <c r="C13" i="89"/>
  <c r="T8" i="2" a="1"/>
  <c r="T8" i="2"/>
  <c r="O233" i="89" a="1"/>
  <c r="O233" i="89"/>
  <c r="O178" i="89" a="1"/>
  <c r="O178" i="89" l="1"/>
  <c r="O169" i="89" a="1"/>
  <c r="O169" i="89" l="1"/>
  <c r="C27" i="2" a="1"/>
  <c r="C27" i="2" l="1"/>
  <c r="E11" i="2" a="1"/>
  <c r="E11" i="2"/>
  <c r="E27" i="2" a="1"/>
  <c r="E27" i="2"/>
  <c r="C26" i="2" a="1"/>
  <c r="C26" i="2"/>
  <c r="F10" i="2" a="1"/>
  <c r="F10" i="2"/>
  <c r="F8" i="2" a="1"/>
  <c r="F8" i="2"/>
  <c r="AD27" i="2" a="1"/>
  <c r="AD27" i="2"/>
  <c r="V13" i="89" a="1"/>
  <c r="V13" i="89"/>
  <c r="AR27" i="2" a="1"/>
  <c r="AR27" i="2"/>
  <c r="AR15" i="2" a="1"/>
  <c r="AR15" i="2"/>
  <c r="AA8" i="2" a="1"/>
  <c r="AA8" i="2"/>
  <c r="T233" i="89" a="1"/>
  <c r="T233" i="89"/>
  <c r="T178" i="89" a="1"/>
  <c r="T178" i="89"/>
  <c r="T169" i="89" a="1"/>
  <c r="T169" i="89"/>
  <c r="AR26" i="2" a="1"/>
  <c r="AR26" i="2"/>
  <c r="AR10" i="2" a="1"/>
  <c r="AR10" i="2"/>
  <c r="AD6" i="2" a="1"/>
  <c r="AD6" i="2"/>
  <c r="V26" i="89" a="1"/>
  <c r="V26" i="89"/>
  <c r="D55" i="89" a="1"/>
  <c r="D55" i="89"/>
  <c r="D49" i="89" a="1"/>
  <c r="D49" i="89"/>
  <c r="E33" i="89" a="1"/>
  <c r="E33" i="89"/>
  <c r="D75" i="89" a="1"/>
  <c r="D75" i="89"/>
  <c r="D34" i="89" a="1"/>
  <c r="D34" i="89"/>
  <c r="E63" i="89" a="1"/>
  <c r="E63" i="89"/>
  <c r="E225" i="89" a="1"/>
  <c r="E225" i="89"/>
  <c r="D20" i="89" a="1"/>
  <c r="D20" i="89"/>
  <c r="E75" i="89" a="1"/>
  <c r="E75" i="89"/>
  <c r="E34" i="89" a="1"/>
  <c r="E34" i="89"/>
  <c r="D225" i="89" a="1"/>
  <c r="D225" i="89"/>
  <c r="D63" i="89" a="1"/>
  <c r="D63" i="89"/>
  <c r="E195" i="89" a="1"/>
  <c r="E195" i="89"/>
  <c r="D33" i="89" a="1"/>
  <c r="D33" i="89"/>
  <c r="E204" i="89" a="1"/>
  <c r="E204" i="89"/>
  <c r="E197" i="89" a="1"/>
  <c r="E197" i="89"/>
  <c r="D197" i="89" a="1"/>
  <c r="D197" i="89"/>
  <c r="D204" i="89" a="1"/>
  <c r="D204" i="89"/>
  <c r="D195" i="89" a="1"/>
  <c r="D195" i="89"/>
  <c r="E55" i="89" a="1"/>
  <c r="E55" i="89"/>
  <c r="E49" i="89" a="1"/>
  <c r="E49" i="89"/>
  <c r="E20" i="89" a="1"/>
  <c r="E20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K29" i="338" a="1"/>
  <c r="AK29" i="338"/>
  <c r="F34" i="446" a="1"/>
  <c r="F34" i="446"/>
  <c r="AG12" i="338"/>
  <c r="AK18" i="338" a="1"/>
  <c r="AK18" i="338"/>
  <c r="F41" i="446" a="1"/>
  <c r="F41" i="446"/>
  <c r="F42" i="446" a="1"/>
  <c r="F42" i="446"/>
  <c r="G41" i="446" a="1"/>
  <c r="G41" i="446"/>
  <c r="AK40" i="338" a="1"/>
  <c r="AK40" i="338"/>
  <c r="AJ39" i="338" a="1"/>
  <c r="AJ39" i="338"/>
  <c r="AJ15" i="338" a="1"/>
  <c r="AJ15" i="338"/>
  <c r="D32" i="446" a="1"/>
  <c r="D32" i="446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M15" i="252" a="1"/>
  <c r="M15" i="252"/>
  <c r="O12" i="252" a="1"/>
  <c r="O12" i="252"/>
  <c r="M9" i="252" a="1"/>
  <c r="M9" i="252"/>
  <c r="O15" i="252" a="1"/>
  <c r="O15" i="252"/>
  <c r="L9" i="252" a="1"/>
  <c r="L9" i="252"/>
  <c r="O9" i="252" a="1"/>
  <c r="O9" i="252"/>
  <c r="N15" i="252" a="1"/>
  <c r="N15" i="252"/>
  <c r="M12" i="252" a="1"/>
  <c r="M12" i="252"/>
  <c r="N9" i="252" a="1"/>
  <c r="N9" i="252"/>
  <c r="D26" i="89" a="1"/>
  <c r="D26" i="89"/>
  <c r="L12" i="252" a="1"/>
  <c r="L12" i="252"/>
  <c r="N12" i="252" a="1"/>
  <c r="N12" i="252"/>
  <c r="D13" i="89" a="1"/>
  <c r="D13" i="89"/>
  <c r="D223" i="89" a="1"/>
  <c r="D223" i="89"/>
  <c r="L15" i="252" a="1"/>
  <c r="L15" i="252"/>
  <c r="E56" i="89" a="1"/>
  <c r="E56" i="89"/>
  <c r="E27" i="89" a="1"/>
  <c r="E27" i="89"/>
  <c r="D40" i="89" a="1"/>
  <c r="D40" i="89"/>
  <c r="D222" i="89" a="1"/>
  <c r="D222" i="89"/>
  <c r="D203" i="89" a="1"/>
  <c r="D203" i="89"/>
  <c r="D14" i="89" a="1"/>
  <c r="D14" i="89"/>
  <c r="E40" i="89" a="1"/>
  <c r="E40" i="89"/>
  <c r="E196" i="89" a="1"/>
  <c r="E196" i="89"/>
  <c r="D196" i="89" a="1"/>
  <c r="D196" i="89"/>
  <c r="E203" i="89" a="1"/>
  <c r="E203" i="89"/>
  <c r="D56" i="89" a="1"/>
  <c r="D56" i="89"/>
  <c r="E223" i="89" a="1"/>
  <c r="E223" i="89"/>
  <c r="E13" i="89" a="1"/>
  <c r="E13" i="89"/>
  <c r="D27" i="89" a="1"/>
  <c r="D27" i="89"/>
  <c r="E26" i="89" a="1"/>
  <c r="E26" i="89"/>
  <c r="E222" i="89" a="1"/>
  <c r="E222" i="89"/>
  <c r="E14" i="89" a="1"/>
  <c r="E14" i="89"/>
  <c r="E249" i="89" a="1"/>
  <c r="E249" i="89"/>
  <c r="E211" i="89" a="1"/>
  <c r="E211" i="89"/>
  <c r="S90" i="89" a="1"/>
  <c r="S90" i="89"/>
  <c r="R90" i="89" a="1"/>
  <c r="E179" i="89" a="1"/>
  <c r="R90" i="89" l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S27" i="89" a="1"/>
  <c r="S27" i="89"/>
  <c r="R27" i="89" a="1"/>
  <c r="S179" i="89" a="1"/>
  <c r="R27" i="89" l="1"/>
  <c r="S179" i="89"/>
  <c r="R179" i="89" a="1"/>
  <c r="S145" i="89" a="1"/>
  <c r="R179" i="89" l="1"/>
  <c r="S145" i="89"/>
  <c r="R145" i="89" a="1"/>
  <c r="S101" i="89" a="1"/>
  <c r="R145" i="89" l="1"/>
  <c r="S101" i="89"/>
  <c r="R101" i="89" a="1"/>
  <c r="Z25" i="2"/>
  <c r="AV25" i="2" s="1" a="1"/>
  <c r="Z23" i="2"/>
  <c r="AV23" i="2" s="1" a="1"/>
  <c r="S123" i="89" a="1"/>
  <c r="AV23" i="2" l="1"/>
  <c r="AV25" i="2"/>
  <c r="R101" i="89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Z28" i="2"/>
  <c r="AV28" i="2" s="1" a="1"/>
  <c r="AJ36" i="338" a="1"/>
  <c r="AV28" i="2" l="1"/>
  <c r="R109" i="89"/>
  <c r="AJ36" i="338"/>
  <c r="AK45" i="338" a="1"/>
  <c r="AK45" i="338"/>
  <c r="AH36" i="338" a="1"/>
  <c r="AH36" i="338"/>
  <c r="AG45" i="338"/>
  <c r="AF36" i="338"/>
  <c r="AI45" i="338" a="1"/>
  <c r="AI45" i="338"/>
  <c r="T69" i="89" a="1"/>
  <c r="T69" i="89"/>
  <c r="V69" i="89" a="1"/>
  <c r="V69" i="89"/>
  <c r="E69" i="89" a="1"/>
  <c r="E69" i="89"/>
  <c r="C69" i="89" a="1"/>
  <c r="C69" i="89"/>
  <c r="D69" i="89" a="1"/>
  <c r="D69" i="89"/>
  <c r="O69" i="89" a="1"/>
  <c r="O69" i="89"/>
  <c r="AK53" i="338" a="1"/>
  <c r="AK53" i="338" l="1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E247" i="89" a="1"/>
  <c r="E247" i="89"/>
  <c r="AG49" i="338"/>
  <c r="AG48" i="338"/>
  <c r="E180" i="89" a="1"/>
  <c r="E180" i="89"/>
  <c r="E246" i="89" a="1"/>
  <c r="E246" i="89"/>
  <c r="E212" i="89" a="1"/>
  <c r="E212" i="89"/>
  <c r="G24" i="446" a="1"/>
  <c r="G24" i="446"/>
  <c r="E187" i="89" a="1"/>
  <c r="E187" i="89"/>
  <c r="E248" i="89" a="1"/>
  <c r="E248" i="89"/>
  <c r="E239" i="89" a="1"/>
  <c r="E239" i="89"/>
  <c r="E240" i="89" a="1"/>
  <c r="E240" i="89"/>
  <c r="E234" i="89" a="1"/>
  <c r="E234" i="89"/>
  <c r="AH9" i="338" a="1"/>
  <c r="AH9" i="338"/>
  <c r="AH8" i="338" a="1"/>
  <c r="AH8" i="338"/>
  <c r="F18" i="446" a="1"/>
  <c r="F18" i="446"/>
  <c r="AJ9" i="338" a="1"/>
  <c r="AJ9" i="338"/>
  <c r="AJ8" i="338" a="1"/>
  <c r="AJ8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F17" i="446" a="1"/>
  <c r="F17" i="446"/>
  <c r="D35" i="446" a="1"/>
  <c r="D35" i="446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D26" i="446" a="1"/>
  <c r="D26" i="446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D30" i="446" a="1"/>
  <c r="D30" i="446"/>
  <c r="AF34" i="338"/>
  <c r="AF13" i="338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D36" i="446" a="1"/>
  <c r="D36" i="446"/>
  <c r="AG37" i="338"/>
  <c r="AG36" i="338"/>
  <c r="AG35" i="338"/>
  <c r="AG34" i="338"/>
  <c r="AF51" i="338"/>
  <c r="AF50" i="338"/>
  <c r="AF9" i="338"/>
  <c r="AF8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G21" i="446" a="1"/>
  <c r="G21" i="446"/>
  <c r="AH34" i="338" a="1"/>
  <c r="AH34" i="338"/>
  <c r="AH13" i="338" a="1"/>
  <c r="AH13" i="338"/>
  <c r="F35" i="446" a="1"/>
  <c r="F35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D160" i="89" a="1"/>
  <c r="D160" i="89"/>
  <c r="V154" i="89" a="1"/>
  <c r="V154" i="89"/>
  <c r="V153" i="89" a="1"/>
  <c r="V153" i="89"/>
  <c r="V96" i="89" a="1"/>
  <c r="V96" i="89"/>
  <c r="T129" i="89" a="1"/>
  <c r="T129" i="89"/>
  <c r="C154" i="89" a="1"/>
  <c r="C154" i="89"/>
  <c r="C153" i="89" a="1"/>
  <c r="C153" i="89"/>
  <c r="E102" i="89" a="1"/>
  <c r="E102" i="89"/>
  <c r="C129" i="89" a="1"/>
  <c r="C129" i="89"/>
  <c r="V115" i="89" a="1"/>
  <c r="V115" i="89"/>
  <c r="E108" i="89" a="1"/>
  <c r="E108" i="89"/>
  <c r="C115" i="89" a="1"/>
  <c r="C115" i="89"/>
  <c r="V102" i="89" a="1"/>
  <c r="V102" i="89"/>
  <c r="E137" i="89" a="1"/>
  <c r="E137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T154" i="89" a="1"/>
  <c r="T154" i="89"/>
  <c r="T153" i="89" a="1"/>
  <c r="T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F13" i="252" a="1"/>
  <c r="F13" i="252"/>
  <c r="M13" i="252" a="1"/>
  <c r="M13" i="252"/>
  <c r="L13" i="252" a="1"/>
  <c r="L13" i="252"/>
  <c r="O13" i="252" a="1"/>
  <c r="O13" i="252"/>
  <c r="N13" i="252" a="1"/>
  <c r="N13" i="252"/>
  <c r="AJ37" i="338" a="1"/>
  <c r="AJ37" i="338"/>
  <c r="AH37" i="338" a="1"/>
  <c r="AH37" i="338"/>
  <c r="AF37" i="338"/>
  <c r="D22" i="2" a="1"/>
  <c r="D22" i="2"/>
  <c r="C204" i="89" a="1"/>
  <c r="C204" i="89"/>
  <c r="C7" i="2" a="1"/>
  <c r="C7" i="2"/>
  <c r="AR7" i="2" a="1"/>
  <c r="AR7" i="2"/>
  <c r="D23" i="2" a="1"/>
  <c r="D23" i="2"/>
  <c r="C205" i="89" a="1"/>
  <c r="C205" i="89"/>
  <c r="D13" i="2" a="1"/>
  <c r="D13" i="2"/>
  <c r="C55" i="89" a="1"/>
  <c r="C55" i="89"/>
  <c r="C49" i="89" a="1"/>
  <c r="C49" i="89"/>
  <c r="AA21" i="2" a="1"/>
  <c r="AA21" i="2"/>
  <c r="T203" i="89" a="1"/>
  <c r="T203" i="89"/>
  <c r="C4" i="2" a="1"/>
  <c r="C4" i="2"/>
  <c r="D28" i="2" a="1"/>
  <c r="D28" i="2"/>
  <c r="C14" i="89" a="1"/>
  <c r="C14" i="89"/>
  <c r="E22" i="2" a="1"/>
  <c r="E22" i="2"/>
  <c r="F13" i="2" a="1"/>
  <c r="F13" i="2"/>
  <c r="AD13" i="2" a="1"/>
  <c r="AD13" i="2"/>
  <c r="V55" i="89" a="1"/>
  <c r="V55" i="89"/>
  <c r="V49" i="89" a="1"/>
  <c r="V49" i="89"/>
  <c r="AD28" i="2" a="1"/>
  <c r="AD28" i="2"/>
  <c r="V14" i="89" a="1"/>
  <c r="V14" i="89"/>
  <c r="F7" i="2" a="1"/>
  <c r="F7" i="2"/>
  <c r="C22" i="2" a="1"/>
  <c r="C22" i="2"/>
  <c r="AR25" i="2" a="1"/>
  <c r="AR25" i="2"/>
  <c r="C13" i="2" a="1"/>
  <c r="C13" i="2"/>
  <c r="AD25" i="2" a="1"/>
  <c r="AD25" i="2"/>
  <c r="V76" i="89" a="1"/>
  <c r="V76" i="89"/>
  <c r="AA4" i="2" a="1"/>
  <c r="AA4" i="2"/>
  <c r="T222" i="89" a="1"/>
  <c r="T222" i="89"/>
  <c r="C28" i="2" a="1"/>
  <c r="C28" i="2"/>
  <c r="T4" i="2" a="1"/>
  <c r="T4" i="2"/>
  <c r="O222" i="89" a="1"/>
  <c r="O222" i="89"/>
  <c r="AR9" i="2" a="1"/>
  <c r="AR9" i="2"/>
  <c r="E21" i="2" a="1"/>
  <c r="E21" i="2"/>
  <c r="AA22" i="2" a="1"/>
  <c r="AA22" i="2"/>
  <c r="T204" i="89" a="1"/>
  <c r="T204" i="89"/>
  <c r="D9" i="2" a="1"/>
  <c r="D9" i="2"/>
  <c r="C179" i="89" a="1"/>
  <c r="C179" i="89"/>
  <c r="C170" i="89" a="1"/>
  <c r="C170" i="89"/>
  <c r="F5" i="2" a="1"/>
  <c r="F5" i="2"/>
  <c r="E23" i="2" a="1"/>
  <c r="E23" i="2"/>
  <c r="AD23" i="2" a="1"/>
  <c r="AD23" i="2"/>
  <c r="V205" i="89" a="1"/>
  <c r="V205" i="89"/>
  <c r="AA9" i="2" a="1"/>
  <c r="AA9" i="2"/>
  <c r="T179" i="89" a="1"/>
  <c r="T179" i="89"/>
  <c r="T170" i="89" a="1"/>
  <c r="T170" i="89"/>
  <c r="AA28" i="2" a="1"/>
  <c r="AA28" i="2"/>
  <c r="T14" i="89" a="1"/>
  <c r="T14" i="89"/>
  <c r="E13" i="2" a="1"/>
  <c r="E13" i="2"/>
  <c r="E25" i="2" a="1"/>
  <c r="E25" i="2"/>
  <c r="D76" i="89" a="1"/>
  <c r="D76" i="89"/>
  <c r="T9" i="2" a="1"/>
  <c r="T9" i="2"/>
  <c r="O179" i="89" a="1"/>
  <c r="O179" i="89"/>
  <c r="O170" i="89" a="1"/>
  <c r="O170" i="89"/>
  <c r="F4" i="2" a="1"/>
  <c r="F4" i="2"/>
  <c r="AR28" i="2" a="1"/>
  <c r="AR28" i="2"/>
  <c r="AD4" i="2" a="1"/>
  <c r="AD4" i="2"/>
  <c r="V222" i="89" a="1"/>
  <c r="V222" i="89"/>
  <c r="T22" i="2" a="1"/>
  <c r="T22" i="2"/>
  <c r="O204" i="89" a="1"/>
  <c r="O204" i="89"/>
  <c r="F22" i="2" a="1"/>
  <c r="F22" i="2"/>
  <c r="E5" i="2" a="1"/>
  <c r="E5" i="2"/>
  <c r="T5" i="2" a="1"/>
  <c r="T5" i="2"/>
  <c r="O223" i="89" a="1"/>
  <c r="O223" i="89"/>
  <c r="C23" i="2" a="1"/>
  <c r="C23" i="2"/>
  <c r="C9" i="2" a="1"/>
  <c r="C9" i="2"/>
  <c r="F21" i="2" a="1"/>
  <c r="F21" i="2"/>
  <c r="F25" i="2" a="1"/>
  <c r="F25" i="2"/>
  <c r="E76" i="89" a="1"/>
  <c r="E76" i="89"/>
  <c r="F28" i="2" a="1"/>
  <c r="F28" i="2"/>
  <c r="D21" i="2" a="1"/>
  <c r="D21" i="2"/>
  <c r="C203" i="89" a="1"/>
  <c r="C203" i="89"/>
  <c r="F23" i="2" a="1"/>
  <c r="F23" i="2"/>
  <c r="E7" i="2" a="1"/>
  <c r="E7" i="2"/>
  <c r="AD5" i="2" a="1"/>
  <c r="AD5" i="2"/>
  <c r="V223" i="89" a="1"/>
  <c r="V223" i="89"/>
  <c r="T28" i="2" a="1"/>
  <c r="T28" i="2"/>
  <c r="O14" i="89" a="1"/>
  <c r="O14" i="89"/>
  <c r="AA5" i="2" a="1"/>
  <c r="AA5" i="2" l="1"/>
  <c r="T223" i="89" a="1"/>
  <c r="T223" i="89"/>
  <c r="AR5" i="2" a="1"/>
  <c r="AR5" i="2"/>
  <c r="AD9" i="2" a="1"/>
  <c r="AD9" i="2"/>
  <c r="V179" i="89" a="1"/>
  <c r="V179" i="89"/>
  <c r="V170" i="89" a="1"/>
  <c r="V170" i="89"/>
  <c r="T23" i="2" a="1"/>
  <c r="T23" i="2"/>
  <c r="O205" i="89" a="1"/>
  <c r="O205" i="89"/>
  <c r="D25" i="2" a="1"/>
  <c r="D25" i="2" l="1"/>
  <c r="C76" i="89" a="1"/>
  <c r="C76" i="89"/>
  <c r="D5" i="2" a="1"/>
  <c r="D5" i="2"/>
  <c r="C223" i="89" a="1"/>
  <c r="C223" i="89"/>
  <c r="AR13" i="2" a="1"/>
  <c r="AR13" i="2"/>
  <c r="T25" i="2" a="1"/>
  <c r="T25" i="2"/>
  <c r="O76" i="89" a="1"/>
  <c r="O76" i="89"/>
  <c r="E4" i="2" a="1"/>
  <c r="E4" i="2"/>
  <c r="AD7" i="2" a="1"/>
  <c r="AD7" i="2"/>
  <c r="V27" i="89" a="1"/>
  <c r="V27" i="89"/>
  <c r="AA25" i="2" a="1"/>
  <c r="AA25" i="2"/>
  <c r="T76" i="89" a="1"/>
  <c r="T76" i="89"/>
  <c r="AR22" i="2" a="1"/>
  <c r="AR22" i="2"/>
  <c r="D4" i="2" a="1"/>
  <c r="D4" i="2"/>
  <c r="C222" i="89" a="1"/>
  <c r="C222" i="89"/>
  <c r="C5" i="2" a="1"/>
  <c r="C5" i="2"/>
  <c r="D7" i="2" a="1"/>
  <c r="D7" i="2"/>
  <c r="C27" i="89" a="1"/>
  <c r="C27" i="89"/>
  <c r="E9" i="2" a="1"/>
  <c r="E9" i="2"/>
  <c r="C21" i="2" a="1"/>
  <c r="C21" i="2"/>
  <c r="Z76" i="89" a="1"/>
  <c r="Z76" i="89"/>
  <c r="AA13" i="2" a="1"/>
  <c r="AA13" i="2"/>
  <c r="T55" i="89" a="1"/>
  <c r="T55" i="89"/>
  <c r="T49" i="89" a="1"/>
  <c r="T49" i="89"/>
  <c r="T7" i="2" a="1"/>
  <c r="T7" i="2"/>
  <c r="O27" i="89" a="1"/>
  <c r="O27" i="89"/>
  <c r="AA23" i="2" a="1"/>
  <c r="AA23" i="2" l="1"/>
  <c r="T205" i="89" a="1"/>
  <c r="T205" i="89"/>
  <c r="AR21" i="2" a="1"/>
  <c r="AR21" i="2"/>
  <c r="F9" i="2" a="1"/>
  <c r="F9" i="2"/>
  <c r="AD22" i="2" a="1"/>
  <c r="AD22" i="2"/>
  <c r="V204" i="89" a="1"/>
  <c r="V204" i="89"/>
  <c r="AA7" i="2" a="1"/>
  <c r="AA7" i="2"/>
  <c r="T27" i="89" a="1"/>
  <c r="T27" i="89"/>
  <c r="AR4" i="2" a="1"/>
  <c r="AR4" i="2"/>
  <c r="AR23" i="2" a="1"/>
  <c r="AR23" i="2"/>
  <c r="T13" i="2" a="1"/>
  <c r="T13" i="2"/>
  <c r="O55" i="89" a="1"/>
  <c r="O55" i="89"/>
  <c r="O49" i="89" a="1"/>
  <c r="O49" i="89" l="1"/>
  <c r="T21" i="2" a="1"/>
  <c r="T21" i="2" l="1"/>
  <c r="O203" i="89" a="1"/>
  <c r="O203" i="89"/>
  <c r="C25" i="2" a="1"/>
  <c r="C25" i="2" l="1"/>
  <c r="E28" i="2" a="1"/>
  <c r="E28" i="2"/>
  <c r="AD21" i="2" a="1"/>
  <c r="AD21" i="2"/>
  <c r="V203" i="89" a="1"/>
  <c r="V203" i="89"/>
  <c r="F6" i="446" a="1"/>
  <c r="F6" i="446"/>
  <c r="F5" i="446" a="1"/>
  <c r="F5" i="446"/>
  <c r="G6" i="446" a="1"/>
  <c r="G6" i="446"/>
  <c r="G5" i="446" a="1"/>
  <c r="G5" i="446"/>
  <c r="Z12" i="2"/>
  <c r="AV12" i="2" s="1" a="1"/>
  <c r="Z20" i="2"/>
  <c r="AV20" i="2" s="1" a="1"/>
  <c r="Z17" i="2"/>
  <c r="AV17" i="2" s="1" a="1"/>
  <c r="O6" i="252" a="1"/>
  <c r="AV17" i="2" l="1"/>
  <c r="AV20" i="2"/>
  <c r="AV12" i="2"/>
  <c r="O6" i="252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09" i="89" a="1"/>
  <c r="D109" i="89"/>
  <c r="D145" i="89" a="1"/>
  <c r="D145" i="89"/>
  <c r="C90" i="89" a="1"/>
  <c r="C90" i="89"/>
  <c r="T136" i="89" a="1"/>
  <c r="T136" i="89"/>
  <c r="D101" i="89" a="1"/>
  <c r="D101" i="89"/>
  <c r="C123" i="89" a="1"/>
  <c r="C123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D89" i="89" a="1"/>
  <c r="D89" i="89"/>
  <c r="Z101" i="89" a="1"/>
  <c r="Z101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F18" i="2" a="1"/>
  <c r="F18" i="2"/>
  <c r="D18" i="2" a="1"/>
  <c r="D18" i="2"/>
  <c r="C12" i="2" a="1"/>
  <c r="C12" i="2"/>
  <c r="AD16" i="2" a="1"/>
  <c r="AD16" i="2"/>
  <c r="C16" i="2" a="1"/>
  <c r="C16" i="2"/>
  <c r="C19" i="2" a="1"/>
  <c r="C19" i="2"/>
  <c r="AR16" i="2" a="1"/>
  <c r="AR16" i="2"/>
  <c r="AR19" i="2" a="1"/>
  <c r="AR19" i="2"/>
  <c r="F16" i="2" a="1"/>
  <c r="F16" i="2"/>
  <c r="T17" i="2" a="1"/>
  <c r="T17" i="2"/>
  <c r="F24" i="2" a="1"/>
  <c r="F24" i="2"/>
  <c r="AA16" i="2" a="1"/>
  <c r="AA16" i="2"/>
  <c r="AD20" i="2" a="1"/>
  <c r="AD20" i="2"/>
  <c r="AD18" i="2" a="1"/>
  <c r="AD18" i="2"/>
  <c r="AD19" i="2" a="1"/>
  <c r="AD19" i="2"/>
  <c r="F20" i="2" a="1"/>
  <c r="F20" i="2"/>
  <c r="AA24" i="2" a="1"/>
  <c r="AA24" i="2"/>
  <c r="F17" i="2" a="1"/>
  <c r="F17" i="2"/>
  <c r="T12" i="2" a="1"/>
  <c r="T12" i="2"/>
  <c r="AR17" i="2" a="1"/>
  <c r="AR17" i="2"/>
  <c r="AR18" i="2" a="1"/>
  <c r="AR18" i="2"/>
  <c r="T18" i="2" a="1"/>
  <c r="T18" i="2"/>
  <c r="D19" i="2" a="1"/>
  <c r="D19" i="2"/>
  <c r="E19" i="2" a="1"/>
  <c r="E19" i="2"/>
  <c r="D12" i="2" a="1"/>
  <c r="D12" i="2"/>
  <c r="AA18" i="2" a="1"/>
  <c r="AA18" i="2"/>
  <c r="F19" i="2" a="1"/>
  <c r="F19" i="2"/>
  <c r="T20" i="2" a="1"/>
  <c r="T20" i="2"/>
  <c r="AA17" i="2" a="1"/>
  <c r="AA17" i="2"/>
  <c r="AA19" i="2" a="1"/>
  <c r="AA19" i="2"/>
  <c r="E18" i="2" a="1"/>
  <c r="E18" i="2"/>
  <c r="AD17" i="2" a="1"/>
  <c r="AD17" i="2"/>
  <c r="T16" i="2" a="1"/>
  <c r="T16" i="2"/>
  <c r="T24" i="2" a="1"/>
  <c r="T24" i="2"/>
  <c r="AA12" i="2" a="1"/>
  <c r="AA12" i="2"/>
  <c r="T19" i="2" a="1"/>
  <c r="T19" i="2"/>
  <c r="E16" i="2" a="1"/>
  <c r="E16" i="2"/>
  <c r="AR20" i="2" a="1"/>
  <c r="AR20" i="2"/>
  <c r="D17" i="2" a="1"/>
  <c r="D17" i="2"/>
  <c r="AR12" i="2" a="1"/>
  <c r="AR12" i="2"/>
  <c r="D16" i="2" a="1"/>
  <c r="D16" i="2"/>
  <c r="C20" i="2" a="1"/>
  <c r="C20" i="2"/>
  <c r="F12" i="2" a="1"/>
  <c r="F12" i="2"/>
  <c r="D20" i="2" a="1"/>
  <c r="D20" i="2"/>
  <c r="D24" i="2" a="1"/>
  <c r="D24" i="2"/>
  <c r="E12" i="2" a="1"/>
  <c r="E12" i="2"/>
  <c r="AD12" i="2" a="1"/>
  <c r="AD12" i="2"/>
  <c r="E24" i="2" a="1"/>
  <c r="E24" i="2"/>
  <c r="C24" i="2" a="1"/>
  <c r="C24" i="2"/>
  <c r="AD24" i="2" a="1"/>
  <c r="AD24" i="2"/>
  <c r="E20" i="2" a="1"/>
  <c r="E20" i="2"/>
  <c r="AA20" i="2" a="1"/>
  <c r="AA20" i="2"/>
  <c r="C18" i="2" a="1"/>
  <c r="C18" i="2"/>
  <c r="E17" i="2" a="1"/>
  <c r="E17" i="2"/>
  <c r="AR24" i="2" a="1"/>
  <c r="AR24" i="2"/>
  <c r="C17" i="2" a="1"/>
  <c r="C17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G9" i="338"/>
  <c r="AK9" i="338" a="1"/>
  <c r="AK9" i="338"/>
  <c r="AG54" i="338"/>
  <c r="AH18" i="338" a="1"/>
  <c r="AH18" i="338"/>
  <c r="AH17" i="338" a="1"/>
  <c r="AH17" i="338"/>
  <c r="F16" i="446" a="1"/>
  <c r="F16" i="446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2" i="446" a="1"/>
  <c r="G12" i="446"/>
  <c r="F7" i="446" a="1"/>
  <c r="F7" i="446"/>
  <c r="F20" i="446" a="1"/>
  <c r="F20" i="446"/>
  <c r="F8" i="446" a="1"/>
  <c r="F8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S225" i="89" a="1"/>
  <c r="S225" i="89"/>
  <c r="R225" i="89" a="1"/>
  <c r="S19" i="89" a="1"/>
  <c r="R225" i="89" l="1"/>
  <c r="S19" i="89"/>
  <c r="R19" i="89" a="1"/>
  <c r="T19" i="89"/>
  <c r="O19" i="89"/>
  <c r="V19" i="89"/>
  <c r="O225" i="89" a="1"/>
  <c r="R19" i="89" l="1"/>
  <c r="O225" i="89"/>
  <c r="C19" i="89"/>
  <c r="C225" i="89" a="1"/>
  <c r="C225" i="89"/>
  <c r="V225" i="89" a="1"/>
  <c r="V225" i="89"/>
  <c r="T225" i="89" a="1"/>
  <c r="T225" i="89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T82" i="89" a="1"/>
  <c r="T82" i="89"/>
  <c r="U55" i="338" a="1"/>
  <c r="U55" i="338"/>
  <c r="V55" i="338" a="1"/>
  <c r="V55" i="338"/>
  <c r="L55" i="338" a="1"/>
  <c r="L55" i="338"/>
  <c r="J55" i="338" a="1"/>
  <c r="J55" i="338"/>
  <c r="J14" i="338" a="1"/>
  <c r="J14" i="338"/>
  <c r="H55" i="338" a="1"/>
  <c r="H55" i="338"/>
  <c r="D82" i="89" a="1"/>
  <c r="D82" i="89"/>
  <c r="E82" i="89" a="1"/>
  <c r="E82" i="89"/>
  <c r="O82" i="89" a="1"/>
  <c r="O82" i="89"/>
  <c r="P55" i="338" a="1"/>
  <c r="P55" i="338"/>
  <c r="AI55" i="338" a="1"/>
  <c r="AI55" i="338"/>
  <c r="AI14" i="338" a="1"/>
  <c r="AI14" i="338"/>
  <c r="AH55" i="338" a="1"/>
  <c r="AH55" i="338"/>
  <c r="J1" i="24" a="1"/>
  <c r="J1" i="24"/>
  <c r="K2" i="2" a="1"/>
  <c r="K2" i="2"/>
  <c r="S55" i="338" a="1"/>
  <c r="S55" i="338"/>
  <c r="AK55" i="338" a="1"/>
  <c r="AK55" i="338"/>
  <c r="AK14" i="338" a="1"/>
  <c r="AK14" i="338"/>
  <c r="AJ55" i="338" a="1"/>
  <c r="AJ55" i="338"/>
  <c r="Z82" i="89" a="1"/>
  <c r="Z82" i="89"/>
  <c r="AA82" i="89" a="1"/>
  <c r="AA82" i="89"/>
  <c r="X55" i="338" a="1"/>
  <c r="X55" i="338"/>
  <c r="T55" i="338" a="1"/>
  <c r="T55" i="338"/>
  <c r="C82" i="89" a="1"/>
  <c r="C82" i="89"/>
  <c r="V82" i="89" a="1"/>
  <c r="V82" i="89"/>
  <c r="BA17" i="2"/>
  <c r="K17" i="2"/>
  <c r="G17" i="2" a="1"/>
  <c r="AN17" i="2" a="1"/>
  <c r="Q17" i="2" a="1"/>
  <c r="AF17" i="2" a="1"/>
  <c r="L17" i="2" a="1"/>
  <c r="P17" i="2" a="1"/>
  <c r="P17" i="2" l="1"/>
  <c r="L17" i="2"/>
  <c r="AF17" i="2"/>
  <c r="Q17" i="2"/>
  <c r="AN17" i="2"/>
  <c r="G17" i="2"/>
  <c r="BB17" i="2"/>
  <c r="BC17" i="2" s="1"/>
  <c r="S17" i="2" a="1"/>
  <c r="R17" i="2" l="1"/>
  <c r="S17" i="2"/>
  <c r="AP17" i="2" s="1"/>
  <c r="O17" i="2"/>
  <c r="U17" i="2"/>
  <c r="AO17" i="2" l="1"/>
  <c r="AE17" i="2"/>
  <c r="AT17" i="2"/>
  <c r="AS17" i="2"/>
  <c r="AL17" i="2"/>
  <c r="AB17" i="2"/>
  <c r="M17" i="2"/>
  <c r="X17" i="2"/>
  <c r="Y17" i="2" s="1"/>
  <c r="AM17" i="2"/>
  <c r="P16" i="2" a="1"/>
  <c r="P16" i="2" l="1"/>
  <c r="BA16" i="2"/>
  <c r="J16" i="2"/>
  <c r="K16" i="2" s="1"/>
  <c r="G16" i="2" a="1"/>
  <c r="AN16" i="2" a="1"/>
  <c r="AF16" i="2" a="1"/>
  <c r="L16" i="2" a="1"/>
  <c r="Q16" i="2" a="1"/>
  <c r="Q16" i="2" l="1"/>
  <c r="R16" i="2" s="1"/>
  <c r="L16" i="2"/>
  <c r="AF16" i="2"/>
  <c r="AN16" i="2"/>
  <c r="G16" i="2"/>
  <c r="BB16" i="2"/>
  <c r="BC16" i="2" s="1"/>
  <c r="S16" i="2" a="1"/>
  <c r="S16" i="2" l="1"/>
  <c r="AO16" i="2" s="1"/>
  <c r="O16" i="2"/>
  <c r="AP16" i="2"/>
  <c r="Z16" i="2"/>
  <c r="AV16" i="2" s="1" a="1"/>
  <c r="AV16" i="2" l="1"/>
  <c r="U16" i="2"/>
  <c r="AS16" i="2"/>
  <c r="AL16" i="2"/>
  <c r="Q14" i="1" s="1"/>
  <c r="AT16" i="2"/>
  <c r="AB16" i="2"/>
  <c r="M16" i="2"/>
  <c r="X16" i="2"/>
  <c r="Y16" i="2" s="1"/>
  <c r="AM16" i="2"/>
  <c r="AE16" i="2"/>
  <c r="W19" i="252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T14" i="1" l="1"/>
  <c r="R14" i="1"/>
  <c r="J8" i="252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AH14" i="1" l="1"/>
  <c r="U14" i="1"/>
  <c r="BD17" i="2"/>
  <c r="V17" i="2"/>
  <c r="AK17" i="2"/>
  <c r="AI17" i="2"/>
  <c r="W17" i="2"/>
  <c r="BD16" i="2"/>
  <c r="V16" i="2"/>
  <c r="AK16" i="2"/>
  <c r="AI16" i="2"/>
  <c r="W16" i="2"/>
  <c r="AB197" i="89" a="1"/>
  <c r="AB239" i="89" a="1"/>
  <c r="AB250" i="89" a="1"/>
  <c r="S195" i="89" a="1"/>
  <c r="AB33" i="89" a="1"/>
  <c r="S55" i="89" a="1"/>
  <c r="AB188" i="89" a="1"/>
  <c r="AB246" i="89" a="1"/>
  <c r="AB224" i="89" a="1"/>
  <c r="AB62" i="89" a="1"/>
  <c r="S69" i="89" a="1"/>
  <c r="AB251" i="89" a="1"/>
  <c r="AB248" i="89" a="1"/>
  <c r="AB213" i="89" a="1"/>
  <c r="S14" i="1" l="1"/>
  <c r="V14" i="1" s="1"/>
  <c r="Y14" i="1"/>
  <c r="Z14" i="1"/>
  <c r="AA14" i="1"/>
  <c r="AB213" i="89"/>
  <c r="AB248" i="89"/>
  <c r="AB251" i="89"/>
  <c r="AB62" i="89"/>
  <c r="AB224" i="89"/>
  <c r="AB246" i="89"/>
  <c r="AB188" i="89"/>
  <c r="AB33" i="89"/>
  <c r="AB250" i="89"/>
  <c r="AB239" i="89"/>
  <c r="AB197" i="89"/>
  <c r="S195" i="89"/>
  <c r="S55" i="89"/>
  <c r="S69" i="89"/>
  <c r="R195" i="89" a="1"/>
  <c r="R69" i="89" a="1"/>
  <c r="R55" i="89" a="1"/>
  <c r="S39" i="89" a="1"/>
  <c r="R69" i="89" l="1"/>
  <c r="R195" i="89"/>
  <c r="R55" i="89"/>
  <c r="S39" i="89"/>
  <c r="R39" i="89" a="1"/>
  <c r="R39" i="89" l="1"/>
  <c r="AG17" i="2" l="1"/>
  <c r="AH17" i="2"/>
  <c r="AG16" i="2"/>
  <c r="AH16" i="2"/>
  <c r="BA28" i="2" l="1"/>
  <c r="BA27" i="2"/>
  <c r="BA26" i="2"/>
  <c r="BA25" i="2"/>
  <c r="BA24" i="2"/>
  <c r="BA23" i="2"/>
  <c r="BA22" i="2"/>
  <c r="BA21" i="2"/>
  <c r="BA20" i="2"/>
  <c r="BA19" i="2"/>
  <c r="BA18" i="2"/>
  <c r="BA15" i="2"/>
  <c r="BA14" i="2"/>
  <c r="BA13" i="2"/>
  <c r="BA12" i="2"/>
  <c r="BA11" i="2"/>
  <c r="BA10" i="2"/>
  <c r="BA9" i="2"/>
  <c r="BA8" i="2"/>
  <c r="BA7" i="2"/>
  <c r="BA6" i="2"/>
  <c r="BA5" i="2"/>
  <c r="BA4" i="2"/>
  <c r="L26" i="2" a="1"/>
  <c r="L26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L8" i="2" a="1"/>
  <c r="L19" i="2" a="1"/>
  <c r="AN24" i="2" a="1"/>
  <c r="L10" i="2" a="1"/>
  <c r="L9" i="2" a="1"/>
  <c r="L22" i="2" a="1"/>
  <c r="L28" i="2" a="1"/>
  <c r="L15" i="2" a="1"/>
  <c r="L21" i="2" a="1"/>
  <c r="AF24" i="2" a="1"/>
  <c r="G24" i="2" a="1"/>
  <c r="L5" i="2" a="1"/>
  <c r="L13" i="2" a="1"/>
  <c r="L25" i="2" a="1"/>
  <c r="L11" i="2" a="1"/>
  <c r="L18" i="2" a="1"/>
  <c r="L12" i="2" a="1"/>
  <c r="Q24" i="2" a="1"/>
  <c r="L4" i="2" a="1"/>
  <c r="L27" i="2" a="1"/>
  <c r="L23" i="2" a="1"/>
  <c r="P24" i="2" a="1"/>
  <c r="L14" i="2" a="1"/>
  <c r="L24" i="2" a="1"/>
  <c r="L20" i="2" a="1"/>
  <c r="L4" i="2" l="1"/>
  <c r="AF24" i="2"/>
  <c r="P24" i="2"/>
  <c r="AN24" i="2"/>
  <c r="L24" i="2"/>
  <c r="G24" i="2"/>
  <c r="Q24" i="2"/>
  <c r="L21" i="2"/>
  <c r="L9" i="2"/>
  <c r="L8" i="2"/>
  <c r="L28" i="2"/>
  <c r="L20" i="2"/>
  <c r="L27" i="2"/>
  <c r="L19" i="2"/>
  <c r="L12" i="2"/>
  <c r="L23" i="2"/>
  <c r="L18" i="2"/>
  <c r="L11" i="2"/>
  <c r="L25" i="2"/>
  <c r="L22" i="2"/>
  <c r="L15" i="2"/>
  <c r="L5" i="2"/>
  <c r="L14" i="2"/>
  <c r="L10" i="2"/>
  <c r="L13" i="2"/>
  <c r="AB171" i="89" a="1"/>
  <c r="AB187" i="89" a="1"/>
  <c r="AB20" i="89" a="1"/>
  <c r="AB63" i="89" a="1"/>
  <c r="AB68" i="89" a="1"/>
  <c r="AB249" i="89" a="1"/>
  <c r="AB187" i="89" l="1"/>
  <c r="AB171" i="89"/>
  <c r="AB63" i="89"/>
  <c r="AB20" i="89"/>
  <c r="AB68" i="89"/>
  <c r="AB249" i="89"/>
  <c r="S26" i="89" a="1"/>
  <c r="Z11" i="2"/>
  <c r="AV11" i="2" s="1" a="1"/>
  <c r="Z27" i="2"/>
  <c r="AV27" i="2" s="1" a="1"/>
  <c r="S56" i="89" a="1"/>
  <c r="AV11" i="2" l="1"/>
  <c r="AV27" i="2"/>
  <c r="S56" i="89"/>
  <c r="S26" i="89"/>
  <c r="R56" i="89" a="1"/>
  <c r="R26" i="89" a="1"/>
  <c r="R26" i="89" l="1"/>
  <c r="R56" i="89"/>
  <c r="R24" i="2" l="1"/>
  <c r="BB24" i="2"/>
  <c r="BC24" i="2" s="1"/>
  <c r="S24" i="2" a="1"/>
  <c r="S24" i="2" l="1"/>
  <c r="AO24" i="2" s="1"/>
  <c r="O24" i="2"/>
  <c r="Z24" i="2"/>
  <c r="AV24" i="2" s="1" a="1"/>
  <c r="AV24" i="2" l="1"/>
  <c r="U24" i="2"/>
  <c r="AP24" i="2"/>
  <c r="AE24" i="2"/>
  <c r="AS24" i="2"/>
  <c r="AT24" i="2"/>
  <c r="AL24" i="2"/>
  <c r="Q21" i="1" s="1"/>
  <c r="AB24" i="2"/>
  <c r="AM24" i="2"/>
  <c r="X24" i="2"/>
  <c r="Y24" i="2" s="1"/>
  <c r="M24" i="2"/>
  <c r="G20" i="2" a="1"/>
  <c r="Q20" i="2" a="1"/>
  <c r="AN20" i="2" a="1"/>
  <c r="AF20" i="2" a="1"/>
  <c r="P20" i="2" a="1"/>
  <c r="T21" i="1" l="1"/>
  <c r="R21" i="1"/>
  <c r="G20" i="2"/>
  <c r="O20" i="2"/>
  <c r="P20" i="2"/>
  <c r="Q20" i="2"/>
  <c r="AF20" i="2"/>
  <c r="AN20" i="2"/>
  <c r="S20" i="2" a="1"/>
  <c r="AH21" i="1" l="1"/>
  <c r="U21" i="1"/>
  <c r="R20" i="2"/>
  <c r="S20" i="2"/>
  <c r="U20" i="2" s="1"/>
  <c r="BB20" i="2"/>
  <c r="Z4" i="2"/>
  <c r="AV4" i="2" s="1" a="1"/>
  <c r="AA21" i="1" l="1"/>
  <c r="Y21" i="1"/>
  <c r="Z21" i="1"/>
  <c r="AV4" i="2"/>
  <c r="AO20" i="2"/>
  <c r="AP20" i="2"/>
  <c r="M20" i="2"/>
  <c r="AL20" i="2"/>
  <c r="AB20" i="2"/>
  <c r="AS20" i="2"/>
  <c r="AT20" i="2"/>
  <c r="X20" i="2"/>
  <c r="Y20" i="2" s="1"/>
  <c r="AM20" i="2"/>
  <c r="AE20" i="2"/>
  <c r="BC20" i="2"/>
  <c r="J4" i="2" l="1"/>
  <c r="K4" i="2" s="1"/>
  <c r="L160" i="89" a="1"/>
  <c r="W160" i="89" a="1"/>
  <c r="K160" i="89" a="1"/>
  <c r="L160" i="89" l="1"/>
  <c r="I160" i="89" s="1"/>
  <c r="W160" i="89"/>
  <c r="K160" i="89"/>
  <c r="AA160" i="89" a="1"/>
  <c r="G25" i="2" a="1"/>
  <c r="AA160" i="89" l="1"/>
  <c r="G25" i="2"/>
  <c r="BB25" i="2"/>
  <c r="P25" i="2" a="1"/>
  <c r="AN25" i="2" a="1"/>
  <c r="S197" i="89" a="1"/>
  <c r="Q25" i="2" a="1"/>
  <c r="S33" i="89"/>
  <c r="AF25" i="2" a="1"/>
  <c r="S239" i="89" a="1"/>
  <c r="BC25" i="2" l="1"/>
  <c r="S197" i="89"/>
  <c r="S239" i="89"/>
  <c r="AN25" i="2"/>
  <c r="Q25" i="2"/>
  <c r="P25" i="2"/>
  <c r="AF25" i="2"/>
  <c r="R197" i="89" a="1"/>
  <c r="R33" i="89" a="1"/>
  <c r="R239" i="89" a="1"/>
  <c r="S25" i="2" a="1"/>
  <c r="R197" i="89" l="1"/>
  <c r="R33" i="89"/>
  <c r="R239" i="89"/>
  <c r="S25" i="2"/>
  <c r="AO25" i="2" s="1"/>
  <c r="R25" i="2"/>
  <c r="O25" i="2"/>
  <c r="U25" i="2" l="1"/>
  <c r="AP25" i="2"/>
  <c r="AE25" i="2"/>
  <c r="AS25" i="2"/>
  <c r="AL25" i="2"/>
  <c r="Q28" i="1" s="1"/>
  <c r="AT25" i="2"/>
  <c r="AB25" i="2"/>
  <c r="AM25" i="2"/>
  <c r="X25" i="2"/>
  <c r="Y25" i="2" s="1"/>
  <c r="M25" i="2"/>
  <c r="F34" i="89" a="1"/>
  <c r="K34" i="89" a="1"/>
  <c r="F33" i="89" a="1"/>
  <c r="W33" i="89" a="1"/>
  <c r="W76" i="89" a="1"/>
  <c r="W34" i="89" a="1"/>
  <c r="K33" i="89" a="1"/>
  <c r="L33" i="89" a="1"/>
  <c r="L34" i="89" a="1"/>
  <c r="L76" i="89" a="1"/>
  <c r="K76" i="89" a="1"/>
  <c r="T28" i="1" l="1"/>
  <c r="R28" i="1"/>
  <c r="F34" i="89"/>
  <c r="F33" i="89"/>
  <c r="K33" i="89"/>
  <c r="L33" i="89"/>
  <c r="K34" i="89"/>
  <c r="W33" i="89"/>
  <c r="W34" i="89"/>
  <c r="L34" i="89"/>
  <c r="K76" i="89"/>
  <c r="W76" i="89"/>
  <c r="L76" i="89"/>
  <c r="S137" i="89" a="1"/>
  <c r="S102" i="89" a="1"/>
  <c r="S122" i="89" a="1"/>
  <c r="S76" i="89" a="1"/>
  <c r="AH28" i="1" l="1"/>
  <c r="U28" i="1"/>
  <c r="S76" i="89"/>
  <c r="S102" i="89"/>
  <c r="S122" i="89"/>
  <c r="S137" i="89"/>
  <c r="R76" i="89" a="1"/>
  <c r="R102" i="89" a="1"/>
  <c r="R122" i="89" a="1"/>
  <c r="R137" i="89" a="1"/>
  <c r="L39" i="89" a="1"/>
  <c r="W81" i="89"/>
  <c r="W40" i="89" a="1"/>
  <c r="K81" i="89"/>
  <c r="L40" i="89" a="1"/>
  <c r="L81" i="89"/>
  <c r="K40" i="89" a="1"/>
  <c r="F40" i="89" a="1"/>
  <c r="K39" i="89" a="1"/>
  <c r="F39" i="89" a="1"/>
  <c r="F81" i="89"/>
  <c r="W39" i="89" a="1"/>
  <c r="AA28" i="1" l="1"/>
  <c r="Z28" i="1"/>
  <c r="Y28" i="1"/>
  <c r="R137" i="89"/>
  <c r="R122" i="89"/>
  <c r="R102" i="89"/>
  <c r="R76" i="89"/>
  <c r="F40" i="89"/>
  <c r="F39" i="89"/>
  <c r="K40" i="89"/>
  <c r="K39" i="89"/>
  <c r="L40" i="89"/>
  <c r="L39" i="89"/>
  <c r="W40" i="89"/>
  <c r="W39" i="89"/>
  <c r="BB11" i="2" l="1"/>
  <c r="AF11" i="2" a="1"/>
  <c r="AN11" i="2" a="1"/>
  <c r="G11" i="2" a="1"/>
  <c r="P11" i="2" a="1"/>
  <c r="Q11" i="2" a="1"/>
  <c r="BC11" i="2" l="1"/>
  <c r="AN11" i="2"/>
  <c r="AF11" i="2"/>
  <c r="G11" i="2"/>
  <c r="P11" i="2"/>
  <c r="Q11" i="2"/>
  <c r="S11" i="2" a="1"/>
  <c r="R11" i="2" l="1"/>
  <c r="S11" i="2"/>
  <c r="U11" i="2" s="1"/>
  <c r="O11" i="2"/>
  <c r="AO11" i="2" l="1"/>
  <c r="AP11" i="2"/>
  <c r="AT11" i="2"/>
  <c r="AS11" i="2"/>
  <c r="AL11" i="2"/>
  <c r="M11" i="2"/>
  <c r="AB11" i="2"/>
  <c r="X11" i="2"/>
  <c r="Y11" i="2" s="1"/>
  <c r="AM11" i="2"/>
  <c r="AE11" i="2"/>
  <c r="W234" i="89" a="1"/>
  <c r="L234" i="89" a="1"/>
  <c r="F234" i="89" a="1"/>
  <c r="K234" i="89" a="1"/>
  <c r="F234" i="89" l="1"/>
  <c r="L234" i="89"/>
  <c r="K234" i="89"/>
  <c r="W234" i="89"/>
  <c r="H205" i="89"/>
  <c r="H188" i="89"/>
  <c r="W82" i="89" a="1"/>
  <c r="W82" i="89" l="1"/>
  <c r="A26" i="89"/>
  <c r="H27" i="89"/>
  <c r="A27" i="89" l="1"/>
  <c r="A29" i="89" s="1"/>
  <c r="BB28" i="2"/>
  <c r="AN27" i="2" a="1"/>
  <c r="G27" i="2" a="1"/>
  <c r="G28" i="2" a="1"/>
  <c r="AN28" i="2" a="1"/>
  <c r="AF28" i="2" a="1"/>
  <c r="Q28" i="2" a="1"/>
  <c r="AF27" i="2" a="1"/>
  <c r="P27" i="2" a="1"/>
  <c r="Q27" i="2" a="1"/>
  <c r="P28" i="2" a="1"/>
  <c r="AN27" i="2" l="1"/>
  <c r="AN28" i="2"/>
  <c r="AF28" i="2"/>
  <c r="G28" i="2"/>
  <c r="BC28" i="2"/>
  <c r="G27" i="2"/>
  <c r="AF27" i="2"/>
  <c r="P28" i="2"/>
  <c r="Q28" i="2"/>
  <c r="Q27" i="2"/>
  <c r="P27" i="2"/>
  <c r="BB27" i="2"/>
  <c r="BC27" i="2" s="1"/>
  <c r="S28" i="2" a="1"/>
  <c r="S27" i="2" a="1"/>
  <c r="R28" i="2" l="1"/>
  <c r="S28" i="2"/>
  <c r="AP28" i="2" s="1"/>
  <c r="S27" i="2"/>
  <c r="U27" i="2" s="1"/>
  <c r="O28" i="2"/>
  <c r="O27" i="2"/>
  <c r="R27" i="2"/>
  <c r="U28" i="2" l="1"/>
  <c r="AO27" i="2"/>
  <c r="AO28" i="2"/>
  <c r="AP27" i="2"/>
  <c r="AE28" i="2"/>
  <c r="AL28" i="2"/>
  <c r="AT28" i="2"/>
  <c r="AS28" i="2"/>
  <c r="X28" i="2"/>
  <c r="Y28" i="2" s="1"/>
  <c r="AB28" i="2"/>
  <c r="M28" i="2"/>
  <c r="AM28" i="2"/>
  <c r="AE27" i="2"/>
  <c r="AT27" i="2"/>
  <c r="AL27" i="2"/>
  <c r="AS27" i="2"/>
  <c r="X27" i="2"/>
  <c r="Y27" i="2" s="1"/>
  <c r="M27" i="2"/>
  <c r="AB27" i="2"/>
  <c r="AM27" i="2"/>
  <c r="BB10" i="2" l="1"/>
  <c r="Q10" i="2" a="1"/>
  <c r="AF10" i="2" a="1"/>
  <c r="P10" i="2" a="1"/>
  <c r="AN10" i="2" a="1"/>
  <c r="G10" i="2" a="1"/>
  <c r="AN10" i="2" l="1"/>
  <c r="BC10" i="2"/>
  <c r="G10" i="2"/>
  <c r="P10" i="2"/>
  <c r="Q10" i="2"/>
  <c r="AF10" i="2"/>
  <c r="S10" i="2" a="1"/>
  <c r="R10" i="2" l="1"/>
  <c r="S10" i="2"/>
  <c r="AO10" i="2" s="1"/>
  <c r="O10" i="2"/>
  <c r="Z10" i="2"/>
  <c r="AV10" i="2" s="1" a="1"/>
  <c r="AV10" i="2" l="1"/>
  <c r="AP10" i="2"/>
  <c r="U10" i="2"/>
  <c r="AE10" i="2"/>
  <c r="AL10" i="2"/>
  <c r="AT10" i="2"/>
  <c r="AS10" i="2"/>
  <c r="X10" i="2"/>
  <c r="Y10" i="2" s="1"/>
  <c r="M10" i="2"/>
  <c r="AB10" i="2"/>
  <c r="AM10" i="2"/>
  <c r="BB5" i="2" l="1"/>
  <c r="BB4" i="2"/>
  <c r="AN4" i="2" a="1"/>
  <c r="AF5" i="2" a="1"/>
  <c r="P4" i="2" a="1"/>
  <c r="AN5" i="2" a="1"/>
  <c r="G4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4" i="2" a="1"/>
  <c r="S5" i="2" a="1"/>
  <c r="S5" i="2" l="1"/>
  <c r="U5" i="2" s="1"/>
  <c r="S4" i="2"/>
  <c r="U4" i="2" s="1"/>
  <c r="R4" i="2"/>
  <c r="O5" i="2"/>
  <c r="O4" i="2"/>
  <c r="R5" i="2"/>
  <c r="Z5" i="2"/>
  <c r="AV5" i="2" s="1" a="1"/>
  <c r="AV5" i="2" l="1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AM4" i="2"/>
  <c r="M4" i="2"/>
  <c r="X4" i="2"/>
  <c r="Y4" i="2" s="1"/>
  <c r="AB4" i="2"/>
  <c r="AE5" i="2"/>
  <c r="Q23" i="1" l="1"/>
  <c r="T23" i="1" s="1"/>
  <c r="I31" i="2"/>
  <c r="W180" i="89" a="1"/>
  <c r="K180" i="89" a="1"/>
  <c r="F180" i="89" a="1"/>
  <c r="L180" i="89" a="1"/>
  <c r="R23" i="1" l="1"/>
  <c r="AH23" i="1"/>
  <c r="U23" i="1"/>
  <c r="L180" i="89"/>
  <c r="W180" i="89"/>
  <c r="K180" i="89"/>
  <c r="F180" i="89"/>
  <c r="K20" i="89" a="1"/>
  <c r="W20" i="89" a="1"/>
  <c r="F20" i="89" a="1"/>
  <c r="L20" i="89" a="1"/>
  <c r="Y23" i="1" l="1"/>
  <c r="Z23" i="1"/>
  <c r="AA23" i="1"/>
  <c r="W20" i="89"/>
  <c r="F20" i="89"/>
  <c r="L20" i="89"/>
  <c r="K20" i="89"/>
  <c r="W222" i="89" a="1"/>
  <c r="W222" i="89" l="1"/>
  <c r="L222" i="89" a="1"/>
  <c r="L222" i="89" l="1"/>
  <c r="K222" i="89" a="1"/>
  <c r="K222" i="89" l="1"/>
  <c r="F222" i="89" a="1"/>
  <c r="F222" i="89" l="1"/>
  <c r="K225" i="89" a="1"/>
  <c r="K225" i="89" l="1"/>
  <c r="L225" i="89" a="1"/>
  <c r="L225" i="89" l="1"/>
  <c r="W225" i="89" a="1"/>
  <c r="W225" i="89" l="1"/>
  <c r="F225" i="89" a="1"/>
  <c r="F225" i="89" l="1"/>
  <c r="W223" i="89" a="1"/>
  <c r="W223" i="89" l="1"/>
  <c r="L223" i="89" a="1"/>
  <c r="L223" i="89" l="1"/>
  <c r="K223" i="89" a="1"/>
  <c r="K223" i="89" l="1"/>
  <c r="F223" i="89" a="1"/>
  <c r="F223" i="89" l="1"/>
  <c r="I225" i="89" l="1"/>
  <c r="AA225" i="89" a="1"/>
  <c r="N225" i="89" a="1"/>
  <c r="AA225" i="89" l="1"/>
  <c r="N225" i="89"/>
  <c r="M225" i="89"/>
  <c r="Z225" i="89" a="1"/>
  <c r="Z225" i="89" l="1"/>
  <c r="J225" i="89"/>
  <c r="U225" i="89"/>
  <c r="F224" i="89" a="1"/>
  <c r="F224" i="89" l="1"/>
  <c r="K224" i="89" a="1"/>
  <c r="K224" i="89" l="1"/>
  <c r="L224" i="89" a="1"/>
  <c r="L224" i="89" l="1"/>
  <c r="W224" i="89" a="1"/>
  <c r="W224" i="89" l="1"/>
  <c r="S20" i="89" a="1"/>
  <c r="AB82" i="89" a="1"/>
  <c r="AB82" i="89" l="1"/>
  <c r="S20" i="89"/>
  <c r="J31" i="2"/>
  <c r="K31" i="2"/>
  <c r="R20" i="89" a="1"/>
  <c r="R20" i="89" l="1"/>
  <c r="L31" i="2"/>
  <c r="S251" i="89" a="1"/>
  <c r="K14" i="89" a="1"/>
  <c r="W13" i="89" a="1"/>
  <c r="K13" i="89" a="1"/>
  <c r="L233" i="89" a="1"/>
  <c r="W14" i="89" a="1"/>
  <c r="F14" i="89" a="1"/>
  <c r="F13" i="89" a="1"/>
  <c r="W233" i="89" a="1"/>
  <c r="F233" i="89" a="1"/>
  <c r="S171" i="89" a="1"/>
  <c r="S13" i="89" a="1"/>
  <c r="L13" i="89" a="1"/>
  <c r="L14" i="89" a="1"/>
  <c r="K23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R171" i="89" a="1"/>
  <c r="R251" i="89" a="1"/>
  <c r="R13" i="89" a="1"/>
  <c r="N234" i="89" a="1"/>
  <c r="R171" i="89" l="1"/>
  <c r="R251" i="89"/>
  <c r="R13" i="89"/>
  <c r="N234" i="89"/>
  <c r="H197" i="89"/>
  <c r="Z234" i="89" a="1"/>
  <c r="W195" i="89" a="1"/>
  <c r="W197" i="89" a="1"/>
  <c r="F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L197" i="89" a="1"/>
  <c r="L197" i="89" l="1"/>
  <c r="S82" i="89" a="1"/>
  <c r="K197" i="89" a="1"/>
  <c r="S50" i="89" a="1"/>
  <c r="S224" i="89" a="1"/>
  <c r="S224" i="89" l="1"/>
  <c r="S82" i="89"/>
  <c r="S50" i="89"/>
  <c r="K197" i="89"/>
  <c r="R224" i="89" a="1"/>
  <c r="R50" i="89" a="1"/>
  <c r="F197" i="89" a="1"/>
  <c r="R82" i="89" a="1"/>
  <c r="R224" i="89" l="1"/>
  <c r="R50" i="89"/>
  <c r="R82" i="89"/>
  <c r="F197" i="89"/>
  <c r="F203" i="89" a="1"/>
  <c r="F203" i="89" l="1"/>
  <c r="K203" i="89" a="1"/>
  <c r="K203" i="89" l="1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K8" i="89" a="1"/>
  <c r="W8" i="89" a="1"/>
  <c r="F8" i="89" a="1"/>
  <c r="L8" i="89" a="1"/>
  <c r="W8" i="89" l="1"/>
  <c r="F8" i="89"/>
  <c r="L8" i="89"/>
  <c r="K8" i="89"/>
  <c r="R165" i="444" l="1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AA246" i="89" a="1"/>
  <c r="F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N233" i="89" a="1"/>
  <c r="AA233" i="89" l="1"/>
  <c r="I236" i="89"/>
  <c r="N233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N224" i="89" a="1"/>
  <c r="AC225" i="89" l="1"/>
  <c r="Y225" i="89"/>
  <c r="N224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N223" i="89" a="1"/>
  <c r="AA223" i="89" l="1"/>
  <c r="N223" i="89"/>
  <c r="Z223" i="89" a="1"/>
  <c r="Z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N222" i="89" a="1"/>
  <c r="AA222" i="89" l="1"/>
  <c r="I221" i="89"/>
  <c r="K228" i="89"/>
  <c r="I226" i="89"/>
  <c r="M229" i="89" s="1"/>
  <c r="I228" i="89"/>
  <c r="I230" i="89" s="1"/>
  <c r="N222" i="89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Z212" i="89" a="1"/>
  <c r="Z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K217" i="89"/>
  <c r="I217" i="89"/>
  <c r="I219" i="89" s="1"/>
  <c r="I215" i="89"/>
  <c r="M218" i="89" s="1"/>
  <c r="N211" i="89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N195" i="89" a="1"/>
  <c r="AA195" i="89" l="1"/>
  <c r="I198" i="89"/>
  <c r="I200" i="89"/>
  <c r="N195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2" i="89"/>
  <c r="I174" i="89"/>
  <c r="N169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AA154" i="89" a="1"/>
  <c r="N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Z145" i="89" s="1" a="1"/>
  <c r="Z145" i="89" l="1"/>
  <c r="AA145" i="89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Z138" i="89" s="1" a="1"/>
  <c r="Z138" i="89" l="1"/>
  <c r="AA138" i="89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Z50" i="89" a="1"/>
  <c r="Z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Z49" i="89" a="1"/>
  <c r="Z49" i="89" l="1"/>
  <c r="P49" i="89"/>
  <c r="Q49" i="89" s="1"/>
  <c r="Q51" i="89" s="1"/>
  <c r="I48" i="89" l="1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N40" i="89" a="1"/>
  <c r="AA40" i="89" l="1"/>
  <c r="N40" i="89"/>
  <c r="Z40" i="89" a="1"/>
  <c r="Z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N39" i="89" a="1"/>
  <c r="N39" i="89" l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N34" i="89" a="1"/>
  <c r="N34" i="89" l="1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N33" i="89" a="1"/>
  <c r="AA33" i="89" l="1"/>
  <c r="I35" i="89"/>
  <c r="I36" i="89" s="1"/>
  <c r="K37" i="89"/>
  <c r="N33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N27" i="89" a="1"/>
  <c r="AA27" i="89" l="1"/>
  <c r="N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N20" i="89" a="1"/>
  <c r="N20" i="89" l="1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G18" i="89"/>
  <c r="N19" i="89" a="1"/>
  <c r="N19" i="89" l="1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N7" i="89" a="1"/>
  <c r="N7" i="89" l="1"/>
  <c r="Z7" i="89" a="1"/>
  <c r="Z7" i="89" l="1"/>
  <c r="P7" i="89"/>
  <c r="P10" i="89" l="1"/>
  <c r="Q7" i="89"/>
  <c r="Q9" i="89" s="1"/>
  <c r="Q11" i="89" s="1"/>
  <c r="K5" i="89"/>
  <c r="H47" i="2"/>
  <c r="H46" i="2"/>
  <c r="H45" i="2"/>
  <c r="H44" i="2"/>
  <c r="J42" i="2"/>
  <c r="J41" i="2"/>
  <c r="J40" i="2"/>
  <c r="J39" i="2"/>
  <c r="J38" i="2"/>
  <c r="J37" i="2"/>
  <c r="J36" i="2"/>
  <c r="J35" i="2"/>
  <c r="I30" i="2"/>
  <c r="I29" i="2"/>
  <c r="S7" i="89" a="1"/>
  <c r="J46" i="2" l="1"/>
  <c r="I46" i="2" s="1"/>
  <c r="J45" i="2"/>
  <c r="I45" i="2" s="1"/>
  <c r="J47" i="2"/>
  <c r="I47" i="2" s="1"/>
  <c r="J44" i="2"/>
  <c r="I44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6" i="2" a="1"/>
  <c r="AN26" i="2" l="1"/>
  <c r="AF26" i="2" a="1"/>
  <c r="AF26" i="2" l="1"/>
  <c r="Q26" i="2" a="1"/>
  <c r="Q26" i="2" l="1"/>
  <c r="P26" i="2" a="1"/>
  <c r="P26" i="2" l="1"/>
  <c r="R26" i="2" s="1"/>
  <c r="BB26" i="2" l="1"/>
  <c r="BC26" i="2" s="1"/>
  <c r="G26" i="2" a="1"/>
  <c r="G26" i="2" l="1"/>
  <c r="O26" i="2"/>
  <c r="S26" i="2" a="1"/>
  <c r="S26" i="2" l="1"/>
  <c r="AO26" i="2" l="1"/>
  <c r="U26" i="2"/>
  <c r="AP26" i="2"/>
  <c r="Z26" i="2"/>
  <c r="AV26" i="2" s="1" a="1"/>
  <c r="AV26" i="2" l="1"/>
  <c r="AE26" i="2"/>
  <c r="AT26" i="2"/>
  <c r="AS26" i="2"/>
  <c r="AL26" i="2"/>
  <c r="Q25" i="1" s="1"/>
  <c r="AB26" i="2"/>
  <c r="M26" i="2"/>
  <c r="T25" i="1" l="1"/>
  <c r="R25" i="1"/>
  <c r="AM26" i="2"/>
  <c r="X26" i="2"/>
  <c r="Y26" i="2" s="1"/>
  <c r="AN9" i="2" a="1"/>
  <c r="AH25" i="1" l="1"/>
  <c r="U25" i="1"/>
  <c r="AN9" i="2"/>
  <c r="AF9" i="2" a="1"/>
  <c r="Y25" i="1" l="1"/>
  <c r="Z25" i="1"/>
  <c r="AA25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S9" i="2" a="1"/>
  <c r="S9" i="2" l="1"/>
  <c r="AO9" i="2" l="1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S8" i="2" a="1"/>
  <c r="S8" i="2" l="1"/>
  <c r="AO8" i="2" l="1"/>
  <c r="AP8" i="2"/>
  <c r="U8" i="2"/>
  <c r="Z8" i="2"/>
  <c r="AV8" i="2" s="1" a="1"/>
  <c r="AV8" i="2" l="1"/>
  <c r="AE8" i="2"/>
  <c r="AT8" i="2"/>
  <c r="AS8" i="2"/>
  <c r="AL8" i="2"/>
  <c r="Q17" i="1" s="1"/>
  <c r="AB8" i="2"/>
  <c r="M8" i="2"/>
  <c r="T17" i="1" l="1"/>
  <c r="R17" i="1"/>
  <c r="AM8" i="2"/>
  <c r="X8" i="2"/>
  <c r="Y8" i="2" s="1"/>
  <c r="AN7" i="2" a="1"/>
  <c r="AH17" i="1" l="1"/>
  <c r="U17" i="1"/>
  <c r="AN7" i="2"/>
  <c r="AF7" i="2" a="1"/>
  <c r="Z17" i="1" l="1"/>
  <c r="AA17" i="1"/>
  <c r="Y17" i="1"/>
  <c r="AF7" i="2"/>
  <c r="Q7" i="2" a="1"/>
  <c r="Q7" i="2" l="1"/>
  <c r="P7" i="2" a="1"/>
  <c r="P7" i="2" l="1"/>
  <c r="R7" i="2" s="1"/>
  <c r="BB7" i="2" l="1"/>
  <c r="BC7" i="2" s="1"/>
  <c r="G7" i="2" a="1"/>
  <c r="G7" i="2" l="1"/>
  <c r="O7" i="2"/>
  <c r="S7" i="2" a="1"/>
  <c r="S7" i="2" l="1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O6" i="2" l="1"/>
  <c r="AP6" i="2"/>
  <c r="U6" i="2"/>
  <c r="Z6" i="2"/>
  <c r="AV6" i="2" s="1" a="1"/>
  <c r="AV6" i="2" l="1"/>
  <c r="AE6" i="2"/>
  <c r="AT6" i="2"/>
  <c r="AS6" i="2"/>
  <c r="AL6" i="2"/>
  <c r="Q18" i="1" s="1"/>
  <c r="AB6" i="2"/>
  <c r="M6" i="2"/>
  <c r="T18" i="1" l="1"/>
  <c r="R18" i="1"/>
  <c r="AM6" i="2"/>
  <c r="X6" i="2"/>
  <c r="Y6" i="2" s="1"/>
  <c r="AN19" i="2" a="1"/>
  <c r="AH18" i="1" l="1"/>
  <c r="U18" i="1"/>
  <c r="AN19" i="2"/>
  <c r="AF19" i="2" a="1"/>
  <c r="Z18" i="1" l="1"/>
  <c r="AA18" i="1"/>
  <c r="Y18" i="1"/>
  <c r="AF19" i="2"/>
  <c r="Q19" i="2" a="1"/>
  <c r="Q19" i="2" l="1"/>
  <c r="P19" i="2" a="1"/>
  <c r="P19" i="2" l="1"/>
  <c r="R19" i="2" s="1"/>
  <c r="BB19" i="2" l="1"/>
  <c r="BC19" i="2" s="1"/>
  <c r="G19" i="2" a="1"/>
  <c r="G19" i="2" l="1"/>
  <c r="O19" i="2"/>
  <c r="S19" i="2" a="1"/>
  <c r="S19" i="2" l="1"/>
  <c r="AO19" i="2" l="1"/>
  <c r="AP19" i="2"/>
  <c r="U19" i="2"/>
  <c r="Z19" i="2"/>
  <c r="AV19" i="2" s="1" a="1"/>
  <c r="AV19" i="2" l="1"/>
  <c r="AE19" i="2"/>
  <c r="AT19" i="2"/>
  <c r="AS19" i="2"/>
  <c r="AL19" i="2"/>
  <c r="AB19" i="2"/>
  <c r="M19" i="2"/>
  <c r="AM19" i="2" l="1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l="1"/>
  <c r="AP18" i="2"/>
  <c r="U18" i="2"/>
  <c r="Z18" i="2"/>
  <c r="AV18" i="2" s="1" a="1"/>
  <c r="AV18" i="2" l="1"/>
  <c r="AE18" i="2"/>
  <c r="AT18" i="2"/>
  <c r="AS18" i="2"/>
  <c r="AL18" i="2"/>
  <c r="Q35" i="1" s="1"/>
  <c r="AB18" i="2"/>
  <c r="M18" i="2"/>
  <c r="T35" i="1" l="1"/>
  <c r="R35" i="1"/>
  <c r="AM18" i="2"/>
  <c r="X18" i="2"/>
  <c r="Y18" i="2" s="1"/>
  <c r="AN15" i="2" a="1"/>
  <c r="AH35" i="1" l="1"/>
  <c r="U35" i="1"/>
  <c r="AN15" i="2"/>
  <c r="AF15" i="2" a="1"/>
  <c r="AA35" i="1" l="1"/>
  <c r="Y35" i="1"/>
  <c r="Z35" i="1"/>
  <c r="R1" i="1"/>
  <c r="U5" i="1"/>
  <c r="AF15" i="2"/>
  <c r="Q15" i="2" a="1"/>
  <c r="Z5" i="1" l="1"/>
  <c r="Q15" i="2"/>
  <c r="P15" i="2" a="1"/>
  <c r="P15" i="2" l="1"/>
  <c r="R15" i="2" s="1"/>
  <c r="BB15" i="2" l="1"/>
  <c r="BC15" i="2" s="1"/>
  <c r="G15" i="2" a="1"/>
  <c r="G15" i="2" l="1"/>
  <c r="O15" i="2"/>
  <c r="S15" i="2" a="1"/>
  <c r="S15" i="2" l="1"/>
  <c r="AP15" i="2" s="1"/>
  <c r="AO15" i="2" l="1"/>
  <c r="U15" i="2"/>
  <c r="Z15" i="2"/>
  <c r="AV15" i="2" s="1" a="1"/>
  <c r="AV15" i="2" l="1"/>
  <c r="AE15" i="2"/>
  <c r="AT15" i="2"/>
  <c r="AS15" i="2"/>
  <c r="AL15" i="2"/>
  <c r="AB15" i="2"/>
  <c r="M15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l="1"/>
  <c r="AP13" i="2"/>
  <c r="U13" i="2"/>
  <c r="Z13" i="2"/>
  <c r="AV13" i="2" s="1" a="1"/>
  <c r="AV13" i="2" l="1"/>
  <c r="AE13" i="2"/>
  <c r="AS13" i="2"/>
  <c r="AT13" i="2"/>
  <c r="AL13" i="2"/>
  <c r="AB13" i="2"/>
  <c r="M13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30" i="2"/>
  <c r="L30" i="2"/>
  <c r="O12" i="2"/>
  <c r="S12" i="2" a="1"/>
  <c r="S12" i="2" l="1"/>
  <c r="AO12" i="2" l="1"/>
  <c r="AP12" i="2"/>
  <c r="U12" i="2"/>
  <c r="AE12" i="2" l="1"/>
  <c r="AT12" i="2"/>
  <c r="AS12" i="2"/>
  <c r="AL12" i="2"/>
  <c r="Q27" i="1" s="1"/>
  <c r="AB12" i="2"/>
  <c r="M12" i="2"/>
  <c r="T27" i="1" l="1"/>
  <c r="R27" i="1"/>
  <c r="AM12" i="2"/>
  <c r="X12" i="2"/>
  <c r="Y12" i="2" s="1"/>
  <c r="AN23" i="2" a="1"/>
  <c r="AH27" i="1" l="1"/>
  <c r="U27" i="1"/>
  <c r="AN23" i="2"/>
  <c r="AF23" i="2" a="1"/>
  <c r="Z27" i="1" l="1"/>
  <c r="AA27" i="1"/>
  <c r="Y27" i="1"/>
  <c r="AF23" i="2"/>
  <c r="Q23" i="2" a="1"/>
  <c r="Q23" i="2" l="1"/>
  <c r="P23" i="2" a="1"/>
  <c r="P23" i="2" l="1"/>
  <c r="R23" i="2" s="1"/>
  <c r="BB23" i="2" l="1"/>
  <c r="BC23" i="2" s="1"/>
  <c r="G23" i="2" a="1"/>
  <c r="G23" i="2" l="1"/>
  <c r="O23" i="2"/>
  <c r="S23" i="2" a="1"/>
  <c r="S23" i="2" l="1"/>
  <c r="AO23" i="2" l="1"/>
  <c r="AP23" i="2"/>
  <c r="U23" i="2"/>
  <c r="AE23" i="2" l="1"/>
  <c r="AS23" i="2"/>
  <c r="AT23" i="2"/>
  <c r="AL23" i="2"/>
  <c r="AB23" i="2"/>
  <c r="M23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G22" i="2" a="1"/>
  <c r="G22" i="2" l="1"/>
  <c r="BB22" i="2"/>
  <c r="BC22" i="2" s="1"/>
  <c r="O22" i="2"/>
  <c r="S22" i="2" a="1"/>
  <c r="S22" i="2" l="1"/>
  <c r="AO22" i="2" l="1"/>
  <c r="U22" i="2"/>
  <c r="AP22" i="2"/>
  <c r="Z22" i="2"/>
  <c r="AV22" i="2" s="1" a="1"/>
  <c r="AV22" i="2" l="1"/>
  <c r="AE22" i="2"/>
  <c r="AS22" i="2"/>
  <c r="AT22" i="2"/>
  <c r="AL22" i="2"/>
  <c r="AB22" i="2"/>
  <c r="M22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J29" i="2"/>
  <c r="BB21" i="2"/>
  <c r="BC21" i="2" s="1"/>
  <c r="K29" i="2"/>
  <c r="L29" i="2"/>
  <c r="S21" i="2" a="1"/>
  <c r="O21" i="2" l="1"/>
  <c r="S21" i="2"/>
  <c r="AO21" i="2" l="1"/>
  <c r="AP21" i="2"/>
  <c r="U21" i="2"/>
  <c r="Z21" i="2"/>
  <c r="AV21" i="2" s="1" a="1"/>
  <c r="AV21" i="2" l="1"/>
  <c r="AE21" i="2"/>
  <c r="AT21" i="2"/>
  <c r="AS21" i="2"/>
  <c r="AL21" i="2"/>
  <c r="Q40" i="1" s="1"/>
  <c r="AB21" i="2"/>
  <c r="M21" i="2"/>
  <c r="T40" i="1" l="1"/>
  <c r="R40" i="1"/>
  <c r="AM21" i="2"/>
  <c r="X21" i="2"/>
  <c r="Y21" i="2" s="1"/>
  <c r="R6" i="1" l="1"/>
  <c r="R5" i="1"/>
  <c r="AH40" i="1"/>
  <c r="U40" i="1"/>
  <c r="U2" i="2"/>
  <c r="R2" i="2"/>
  <c r="Q2" i="2" a="1"/>
  <c r="R8" i="1" l="1"/>
  <c r="R7" i="1"/>
  <c r="Y40" i="1"/>
  <c r="Z40" i="1"/>
  <c r="Z10" i="1" s="1"/>
  <c r="AA40" i="1"/>
  <c r="U6" i="1"/>
  <c r="W1" i="1"/>
  <c r="Q2" i="2"/>
  <c r="S2" i="2" s="1"/>
  <c r="P2" i="2" a="1"/>
  <c r="Z6" i="1" l="1"/>
  <c r="Z7" i="1" s="1"/>
  <c r="U8" i="1"/>
  <c r="U7" i="1"/>
  <c r="U10" i="1" s="1"/>
  <c r="U3" i="1"/>
  <c r="AA5" i="1"/>
  <c r="AA6" i="1"/>
  <c r="AB6" i="1" s="1"/>
  <c r="P2" i="2"/>
  <c r="L2" i="2" a="1"/>
  <c r="AB5" i="1" l="1"/>
  <c r="AA8" i="1"/>
  <c r="AA7" i="1"/>
  <c r="AA10" i="1" s="1"/>
  <c r="L2" i="2"/>
  <c r="I2" i="2" l="1"/>
  <c r="X1" i="2"/>
  <c r="R1" i="2"/>
  <c r="O1" i="2"/>
  <c r="H1" i="2"/>
  <c r="BD24" i="2" l="1"/>
  <c r="V24" i="2"/>
  <c r="AK24" i="2"/>
  <c r="S21" i="1" s="1"/>
  <c r="V21" i="1" s="1"/>
  <c r="AI24" i="2"/>
  <c r="W24" i="2"/>
  <c r="AI20" i="2"/>
  <c r="W20" i="2"/>
  <c r="BD20" i="2"/>
  <c r="V20" i="2"/>
  <c r="AK20" i="2"/>
  <c r="BD25" i="2"/>
  <c r="V25" i="2"/>
  <c r="AI25" i="2"/>
  <c r="AK25" i="2"/>
  <c r="S28" i="1" s="1"/>
  <c r="V28" i="1" s="1"/>
  <c r="W25" i="2"/>
  <c r="BD11" i="2"/>
  <c r="AI11" i="2"/>
  <c r="V11" i="2"/>
  <c r="AK11" i="2"/>
  <c r="W11" i="2"/>
  <c r="BD28" i="2"/>
  <c r="BD27" i="2"/>
  <c r="AI28" i="2"/>
  <c r="AK28" i="2"/>
  <c r="AK27" i="2"/>
  <c r="AI27" i="2"/>
  <c r="V28" i="2"/>
  <c r="V27" i="2"/>
  <c r="W28" i="2"/>
  <c r="W27" i="2"/>
  <c r="BD10" i="2"/>
  <c r="V10" i="2"/>
  <c r="AK10" i="2"/>
  <c r="AI10" i="2"/>
  <c r="W10" i="2"/>
  <c r="BD5" i="2"/>
  <c r="BD4" i="2"/>
  <c r="V5" i="2"/>
  <c r="V4" i="2"/>
  <c r="AI5" i="2"/>
  <c r="AK5" i="2"/>
  <c r="S23" i="1" s="1"/>
  <c r="V23" i="1" s="1"/>
  <c r="AI4" i="2"/>
  <c r="W4" i="2"/>
  <c r="W5" i="2"/>
  <c r="BD26" i="2"/>
  <c r="V26" i="2"/>
  <c r="AI26" i="2"/>
  <c r="AK26" i="2"/>
  <c r="W26" i="2"/>
  <c r="BD9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I6" i="2"/>
  <c r="AK6" i="2"/>
  <c r="V6" i="2"/>
  <c r="W6" i="2"/>
  <c r="BD19" i="2"/>
  <c r="AK19" i="2"/>
  <c r="V19" i="2"/>
  <c r="AI19" i="2"/>
  <c r="W19" i="2"/>
  <c r="BD18" i="2"/>
  <c r="V18" i="2"/>
  <c r="AI18" i="2"/>
  <c r="AK18" i="2"/>
  <c r="W18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23" i="2"/>
  <c r="AK23" i="2"/>
  <c r="V23" i="2"/>
  <c r="AI23" i="2"/>
  <c r="W23" i="2"/>
  <c r="BD22" i="2"/>
  <c r="V22" i="2"/>
  <c r="AI22" i="2"/>
  <c r="AK22" i="2"/>
  <c r="W22" i="2"/>
  <c r="BD21" i="2"/>
  <c r="V21" i="2"/>
  <c r="AK21" i="2"/>
  <c r="AI21" i="2"/>
  <c r="W21" i="2"/>
  <c r="S35" i="1" l="1"/>
  <c r="V35" i="1" s="1"/>
  <c r="S25" i="1"/>
  <c r="V25" i="1" s="1"/>
  <c r="S27" i="1"/>
  <c r="V27" i="1" s="1"/>
  <c r="S17" i="1"/>
  <c r="V17" i="1" s="1"/>
  <c r="S40" i="1"/>
  <c r="V40" i="1" s="1"/>
  <c r="S18" i="1"/>
  <c r="V18" i="1" s="1"/>
  <c r="AI1" i="2"/>
  <c r="W1" i="2"/>
  <c r="V1" i="2"/>
  <c r="V6" i="1" l="1"/>
  <c r="W6" i="1" s="1"/>
  <c r="X6" i="1" s="1"/>
  <c r="Y6" i="1" s="1"/>
  <c r="V5" i="1"/>
  <c r="T1" i="1"/>
  <c r="S1" i="1" s="1"/>
  <c r="S5" i="1"/>
  <c r="S7" i="1"/>
  <c r="S6" i="1"/>
  <c r="S10" i="1"/>
  <c r="AJ16" i="2"/>
  <c r="AJ17" i="2"/>
  <c r="AJ20" i="2"/>
  <c r="AJ24" i="2"/>
  <c r="AJ25" i="2"/>
  <c r="B10" i="24"/>
  <c r="AJ23" i="2"/>
  <c r="AJ22" i="2"/>
  <c r="AJ9" i="2"/>
  <c r="AJ21" i="2"/>
  <c r="AJ6" i="2"/>
  <c r="AJ5" i="2"/>
  <c r="AJ10" i="2"/>
  <c r="AJ11" i="2"/>
  <c r="AJ18" i="2"/>
  <c r="AJ19" i="2"/>
  <c r="AJ8" i="2"/>
  <c r="AJ27" i="2"/>
  <c r="AJ15" i="2"/>
  <c r="AJ26" i="2"/>
  <c r="AJ14" i="2"/>
  <c r="AJ28" i="2"/>
  <c r="AJ12" i="2"/>
  <c r="AJ13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X5" i="1" l="1"/>
  <c r="Y5" i="1" s="1"/>
  <c r="Y7" i="1" s="1"/>
  <c r="W2" i="1"/>
  <c r="V10" i="1"/>
  <c r="P2" i="1" s="1"/>
  <c r="W7" i="1"/>
  <c r="AH24" i="2"/>
  <c r="AG24" i="2"/>
  <c r="AH20" i="2"/>
  <c r="AG20" i="2"/>
  <c r="AH25" i="2"/>
  <c r="AG25" i="2"/>
  <c r="X110" i="89"/>
  <c r="AH11" i="2"/>
  <c r="AG11" i="2"/>
  <c r="AG28" i="2"/>
  <c r="AG27" i="2"/>
  <c r="AH28" i="2"/>
  <c r="AH27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6" i="2"/>
  <c r="AH26" i="2"/>
  <c r="AG9" i="2"/>
  <c r="AH9" i="2"/>
  <c r="AG8" i="2"/>
  <c r="AH8" i="2"/>
  <c r="AG7" i="2"/>
  <c r="AH7" i="2"/>
  <c r="AG6" i="2"/>
  <c r="AH6" i="2"/>
  <c r="AG19" i="2"/>
  <c r="AH19" i="2"/>
  <c r="AG18" i="2"/>
  <c r="AH18" i="2"/>
  <c r="AG15" i="2"/>
  <c r="AH15" i="2"/>
  <c r="AG14" i="2"/>
  <c r="AH14" i="2"/>
  <c r="AG13" i="2"/>
  <c r="AH13" i="2"/>
  <c r="AG12" i="2"/>
  <c r="AH12" i="2"/>
  <c r="AG23" i="2"/>
  <c r="AH23" i="2"/>
  <c r="AG22" i="2"/>
  <c r="AH22" i="2"/>
  <c r="AG21" i="2"/>
  <c r="AH21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L49" i="338" a="1"/>
  <c r="V49" i="338" a="1"/>
  <c r="U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U48" i="338" a="1"/>
  <c r="V48" i="338" a="1"/>
  <c r="L48" i="338" a="1"/>
  <c r="V48" i="338" l="1"/>
  <c r="U48" i="338"/>
  <c r="L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U32" i="338" a="1"/>
  <c r="V32" i="338" a="1"/>
  <c r="V32" i="338" l="1"/>
  <c r="U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L17" i="338" l="1"/>
  <c r="U17" i="338"/>
  <c r="V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U46" i="338" a="1"/>
  <c r="AU50" i="338" a="1"/>
  <c r="AU8" i="338" a="1"/>
  <c r="AU33" i="338" a="1"/>
  <c r="AP54" i="338" a="1"/>
  <c r="AU15" i="338" a="1"/>
  <c r="AP36" i="338" a="1"/>
  <c r="AP39" i="338" a="1"/>
  <c r="AU44" i="338" a="1"/>
  <c r="AP40" i="338" a="1"/>
  <c r="AP53" i="338" a="1"/>
  <c r="AU41" i="338" a="1"/>
  <c r="AU39" i="338" a="1"/>
  <c r="AP34" i="338" a="1"/>
  <c r="AP12" i="338" a="1"/>
  <c r="AU54" i="338" a="1"/>
  <c r="AU9" i="338" a="1"/>
  <c r="AP11" i="338" a="1"/>
  <c r="AU52" i="338" a="1"/>
  <c r="AP46" i="338" a="1"/>
  <c r="AP38" i="338" a="1"/>
  <c r="AP49" i="338" a="1"/>
  <c r="AU49" i="338" a="1"/>
  <c r="AP31" i="338" a="1"/>
  <c r="AP32" i="338" a="1"/>
  <c r="AU45" i="338" a="1"/>
  <c r="AU47" i="338" a="1"/>
  <c r="AP15" i="338" a="1"/>
  <c r="AP13" i="338" a="1"/>
  <c r="AP37" i="338" a="1"/>
  <c r="AP45" i="338" a="1"/>
  <c r="AP16" i="338" a="1"/>
  <c r="AU31" i="338" a="1"/>
  <c r="AP41" i="338" a="1"/>
  <c r="AP33" i="338" a="1"/>
  <c r="AU40" i="338" a="1"/>
  <c r="AU32" i="338" a="1"/>
  <c r="AP52" i="338" a="1"/>
  <c r="AU48" i="338" a="1"/>
  <c r="AU13" i="338" a="1"/>
  <c r="AU16" i="338" a="1"/>
  <c r="AP29" i="338" a="1"/>
  <c r="AU51" i="338" a="1"/>
  <c r="AU30" i="338" a="1"/>
  <c r="AU42" i="338" a="1"/>
  <c r="AU17" i="338" a="1"/>
  <c r="AU29" i="338" a="1"/>
  <c r="AP10" i="338" a="1"/>
  <c r="AP30" i="338" a="1"/>
  <c r="AU38" i="338" a="1"/>
  <c r="AP42" i="338" a="1"/>
  <c r="AU37" i="338" a="1"/>
  <c r="AP18" i="338" a="1"/>
  <c r="AP14" i="338" a="1"/>
  <c r="AU11" i="338" a="1"/>
  <c r="AP51" i="338" a="1"/>
  <c r="AP44" i="338" a="1"/>
  <c r="AU18" i="338" a="1"/>
  <c r="AP35" i="338" a="1"/>
  <c r="AP47" i="338" a="1"/>
  <c r="AU34" i="338" a="1"/>
  <c r="AP48" i="338" a="1"/>
  <c r="AU12" i="338" a="1"/>
  <c r="AP50" i="338" a="1"/>
  <c r="AU35" i="338" a="1"/>
  <c r="AU36" i="338" a="1"/>
  <c r="AU10" i="338" a="1"/>
  <c r="AU53" i="338" a="1"/>
  <c r="AP8" i="338" a="1"/>
  <c r="AP17" i="338" a="1"/>
  <c r="AP9" i="338" a="1"/>
  <c r="H8" i="338" a="1"/>
  <c r="AP42" i="338" l="1"/>
  <c r="AU38" i="338"/>
  <c r="AP30" i="338"/>
  <c r="AP10" i="338"/>
  <c r="AU29" i="338"/>
  <c r="AU17" i="338"/>
  <c r="AU42" i="338"/>
  <c r="AU30" i="338"/>
  <c r="AU51" i="338"/>
  <c r="AP29" i="338"/>
  <c r="AU16" i="338"/>
  <c r="AU13" i="338"/>
  <c r="AU48" i="338"/>
  <c r="AP52" i="338"/>
  <c r="AU32" i="338"/>
  <c r="AU40" i="338"/>
  <c r="AP33" i="338"/>
  <c r="AP41" i="338"/>
  <c r="AU31" i="338"/>
  <c r="AP16" i="338"/>
  <c r="AP45" i="338"/>
  <c r="AP37" i="338"/>
  <c r="AP13" i="338"/>
  <c r="AP15" i="338"/>
  <c r="AU47" i="338"/>
  <c r="AU45" i="338"/>
  <c r="AP32" i="338"/>
  <c r="AP31" i="338"/>
  <c r="AU49" i="338"/>
  <c r="AP49" i="338"/>
  <c r="AP38" i="338"/>
  <c r="AP46" i="338"/>
  <c r="AU52" i="338"/>
  <c r="AP11" i="338"/>
  <c r="AU9" i="338"/>
  <c r="AU54" i="338"/>
  <c r="AP12" i="338"/>
  <c r="AP34" i="338"/>
  <c r="AU39" i="338"/>
  <c r="AU41" i="338"/>
  <c r="AP53" i="338"/>
  <c r="AP40" i="338"/>
  <c r="AU44" i="338"/>
  <c r="AP39" i="338"/>
  <c r="AP36" i="338"/>
  <c r="AU15" i="338"/>
  <c r="AP54" i="338"/>
  <c r="AU33" i="338"/>
  <c r="AU8" i="338"/>
  <c r="AU50" i="338"/>
  <c r="AU46" i="338"/>
  <c r="AP9" i="338"/>
  <c r="AP17" i="338"/>
  <c r="AP8" i="338"/>
  <c r="AU53" i="338"/>
  <c r="AU10" i="338"/>
  <c r="AU36" i="338"/>
  <c r="AU35" i="338"/>
  <c r="AP50" i="338"/>
  <c r="AU12" i="338"/>
  <c r="AP48" i="338"/>
  <c r="AU34" i="338"/>
  <c r="AP47" i="338"/>
  <c r="AP35" i="338"/>
  <c r="AU18" i="338"/>
  <c r="AP44" i="338"/>
  <c r="AP51" i="338"/>
  <c r="AU11" i="338"/>
  <c r="AP14" i="338"/>
  <c r="AP18" i="338"/>
  <c r="AU37" i="338"/>
  <c r="H8" i="338"/>
  <c r="O8" i="338"/>
  <c r="AM3" i="338"/>
  <c r="E4" i="338"/>
  <c r="E2" i="338" s="1"/>
  <c r="U20" i="252"/>
  <c r="V20" i="252"/>
  <c r="AN3" i="338"/>
  <c r="Q2" i="338"/>
  <c r="Q4" i="338" s="1"/>
  <c r="K8" i="338"/>
  <c r="AM45" i="338"/>
  <c r="AM48" i="338"/>
  <c r="AR34" i="338"/>
  <c r="AM36" i="338"/>
  <c r="AR18" i="338"/>
  <c r="AR33" i="338"/>
  <c r="AR11" i="338"/>
  <c r="AR8" i="338"/>
  <c r="AM49" i="338"/>
  <c r="AR50" i="338"/>
  <c r="AR32" i="338"/>
  <c r="AR36" i="338"/>
  <c r="AM37" i="338"/>
  <c r="AM40" i="338"/>
  <c r="AR10" i="338"/>
  <c r="AR41" i="338"/>
  <c r="AM47" i="338"/>
  <c r="AS49" i="338"/>
  <c r="AR35" i="338"/>
  <c r="AM16" i="338"/>
  <c r="AR47" i="338"/>
  <c r="AM50" i="338"/>
  <c r="AR29" i="338"/>
  <c r="AR45" i="338"/>
  <c r="AM44" i="338"/>
  <c r="AM32" i="338"/>
  <c r="AM51" i="338"/>
  <c r="AM31" i="338"/>
  <c r="AR51" i="338"/>
  <c r="AR54" i="338"/>
  <c r="AM38" i="338"/>
  <c r="AR46" i="338"/>
  <c r="AR37" i="338"/>
  <c r="AM46" i="338"/>
  <c r="AM9" i="338"/>
  <c r="AS48" i="338"/>
  <c r="AM8" i="338"/>
  <c r="AR53" i="338"/>
  <c r="AR31" i="338"/>
  <c r="AR12" i="338"/>
  <c r="AN29" i="338"/>
  <c r="AS9" i="338"/>
  <c r="AS53" i="338"/>
  <c r="AS10" i="338"/>
  <c r="AN47" i="338"/>
  <c r="AN48" i="338"/>
  <c r="AN30" i="338"/>
  <c r="AN44" i="338"/>
  <c r="AS31" i="338"/>
  <c r="AS11" i="338"/>
  <c r="AN41" i="338"/>
  <c r="AS51" i="338"/>
  <c r="AS47" i="338"/>
  <c r="AN42" i="338"/>
  <c r="AN45" i="338"/>
  <c r="AS41" i="338"/>
  <c r="AS33" i="338"/>
  <c r="AN49" i="338"/>
  <c r="AN46" i="338"/>
  <c r="AN37" i="338"/>
  <c r="AS54" i="338"/>
  <c r="AN16" i="338"/>
  <c r="AS29" i="338"/>
  <c r="AR9" i="338"/>
  <c r="AS12" i="338"/>
  <c r="AN40" i="338"/>
  <c r="AS37" i="338"/>
  <c r="AS32" i="338"/>
  <c r="AN38" i="338"/>
  <c r="AS36" i="338"/>
  <c r="AR49" i="338"/>
  <c r="AM41" i="338"/>
  <c r="AS35" i="338"/>
  <c r="AM42" i="338"/>
  <c r="AM30" i="338"/>
  <c r="AN36" i="338"/>
  <c r="AS18" i="338"/>
  <c r="AS34" i="338"/>
  <c r="AN51" i="338"/>
  <c r="AN50" i="338"/>
  <c r="AS45" i="338"/>
  <c r="AN8" i="338"/>
  <c r="AS50" i="338"/>
  <c r="AS46" i="338"/>
  <c r="AM29" i="338"/>
  <c r="AN32" i="338"/>
  <c r="AN31" i="338"/>
  <c r="AS8" i="338"/>
  <c r="AR48" i="338"/>
  <c r="AN9" i="338"/>
  <c r="Q44" i="338" a="1"/>
  <c r="Q39" i="338" a="1"/>
  <c r="Q15" i="338" a="1"/>
  <c r="Q17" i="338" a="1"/>
  <c r="Q38" i="338" a="1"/>
  <c r="Q16" i="338" a="1"/>
  <c r="Q52" i="338" a="1"/>
  <c r="Q47" i="338" a="1"/>
  <c r="Q33" i="338" a="1"/>
  <c r="Q51" i="338" a="1"/>
  <c r="Q31" i="338" a="1"/>
  <c r="Q41" i="338" a="1"/>
  <c r="Q34" i="338" a="1"/>
  <c r="Q35" i="338" a="1"/>
  <c r="Q36" i="338" a="1"/>
  <c r="Q37" i="338" a="1"/>
  <c r="Q18" i="338" a="1"/>
  <c r="Q8" i="338" a="1"/>
  <c r="Q50" i="338" a="1"/>
  <c r="Q46" i="338" a="1"/>
  <c r="Q32" i="338" a="1"/>
  <c r="Q42" i="338" a="1"/>
  <c r="Q12" i="338" a="1"/>
  <c r="Q9" i="338" a="1"/>
  <c r="Q11" i="338" a="1"/>
  <c r="Q10" i="338" a="1"/>
  <c r="Q53" i="338" a="1"/>
  <c r="Q49" i="338" a="1"/>
  <c r="Q48" i="338" a="1"/>
  <c r="Q14" i="338" a="1"/>
  <c r="Q40" i="338" a="1"/>
  <c r="Q45" i="338" a="1"/>
  <c r="Q29" i="338" a="1"/>
  <c r="Q54" i="338" a="1"/>
  <c r="Q13" i="338" a="1"/>
  <c r="Q30" i="338" a="1"/>
  <c r="Q55" i="338" a="1"/>
  <c r="L8" i="338" a="1"/>
  <c r="U8" i="338" a="1"/>
  <c r="V8" i="338" a="1"/>
  <c r="Q52" i="338" l="1"/>
  <c r="Q16" i="338"/>
  <c r="Q38" i="338"/>
  <c r="Q17" i="338"/>
  <c r="Q15" i="338"/>
  <c r="Q39" i="338"/>
  <c r="Q44" i="338"/>
  <c r="Q11" i="338"/>
  <c r="Q9" i="338"/>
  <c r="Q12" i="338"/>
  <c r="Q42" i="338"/>
  <c r="Q32" i="338"/>
  <c r="Q46" i="338"/>
  <c r="Q50" i="338"/>
  <c r="Q8" i="338"/>
  <c r="Q18" i="338"/>
  <c r="Q37" i="338"/>
  <c r="Q36" i="338"/>
  <c r="Q35" i="338"/>
  <c r="Q34" i="338"/>
  <c r="Q41" i="338"/>
  <c r="Q31" i="338"/>
  <c r="Q51" i="338"/>
  <c r="Q33" i="338"/>
  <c r="Q47" i="338"/>
  <c r="Q30" i="338"/>
  <c r="Q13" i="338"/>
  <c r="Q54" i="338"/>
  <c r="Q29" i="338"/>
  <c r="Q45" i="338"/>
  <c r="Q40" i="338"/>
  <c r="Q14" i="338"/>
  <c r="Q48" i="338"/>
  <c r="Q49" i="338"/>
  <c r="Q53" i="338"/>
  <c r="Q10" i="338"/>
  <c r="Q55" i="338"/>
  <c r="L8" i="338"/>
  <c r="V8" i="338"/>
  <c r="U8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M11" i="338"/>
  <c r="AR40" i="338"/>
  <c r="AM33" i="338"/>
  <c r="AN34" i="338"/>
  <c r="AN11" i="338"/>
  <c r="AS40" i="338"/>
  <c r="AM52" i="338"/>
  <c r="AN33" i="338"/>
  <c r="AN52" i="338"/>
  <c r="AM17" i="338"/>
  <c r="AM18" i="338"/>
  <c r="AM54" i="338"/>
  <c r="AR30" i="338"/>
  <c r="AS30" i="338"/>
  <c r="AN17" i="338"/>
  <c r="AN18" i="338"/>
  <c r="AN14" i="338"/>
  <c r="AN35" i="338"/>
  <c r="AM10" i="338"/>
  <c r="AN10" i="338"/>
  <c r="AN13" i="338"/>
  <c r="AN54" i="338"/>
  <c r="AM14" i="338"/>
  <c r="AM35" i="338"/>
  <c r="AM15" i="338"/>
  <c r="AM13" i="338"/>
  <c r="AM39" i="338"/>
  <c r="AM53" i="338"/>
  <c r="AN39" i="338"/>
  <c r="AN53" i="338"/>
  <c r="AN15" i="338"/>
  <c r="AM34" i="338"/>
  <c r="AR16" i="338"/>
  <c r="AS17" i="338"/>
  <c r="AR38" i="338"/>
  <c r="AR42" i="338"/>
  <c r="AR39" i="338"/>
  <c r="AS16" i="338"/>
  <c r="AS13" i="338"/>
  <c r="AS44" i="338"/>
  <c r="AR44" i="338"/>
  <c r="AN12" i="338"/>
  <c r="AM12" i="338"/>
  <c r="AS52" i="338"/>
  <c r="AR52" i="338"/>
  <c r="AS38" i="338"/>
  <c r="AR13" i="338"/>
  <c r="AR17" i="338"/>
  <c r="AS42" i="338"/>
  <c r="AS39" i="338"/>
  <c r="AR15" i="338"/>
  <c r="AS15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<sst xmlns="http://schemas.openxmlformats.org/spreadsheetml/2006/main" count="16549" uniqueCount="2263">
  <si>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</si>
  <si>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</si>
  <si>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</si>
  <si>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</si>
  <si>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</si>
  <si>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</si>
  <si>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</si>
  <si>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</si>
  <si>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</si>
  <si>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</si>
  <si>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</si>
  <si>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</si>
  <si>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</si>
  <si>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</si>
  <si>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</si>
  <si>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</si>
  <si>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</si>
  <si>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</si>
  <si>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</si>
  <si>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</si>
  <si>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</si>
  <si>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</si>
  <si>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</si>
  <si>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</si>
  <si>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</si>
  <si>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</si>
  <si>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</si>
  <si>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</si>
  <si>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</si>
  <si>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</si>
  <si>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</si>
  <si>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</si>
  <si>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</si>
  <si>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</si>
  <si>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</si>
  <si>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</si>
  <si>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</si>
  <si>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</si>
  <si>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</si>
  <si>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</si>
  <si>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</si>
  <si>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</si>
  <si>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</si>
  <si>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</si>
  <si>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</si>
  <si>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</si>
  <si>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</si>
  <si>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</si>
  <si>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</si>
  <si>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</si>
  <si>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</si>
  <si>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</si>
  <si>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</si>
  <si>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</si>
  <si>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</si>
  <si>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</si>
  <si>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</si>
  <si>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</si>
  <si>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</si>
  <si>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</si>
  <si>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</si>
  <si>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</si>
  <si>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</si>
  <si>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</si>
  <si>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</si>
  <si>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</si>
  <si>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</si>
  <si>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</si>
  <si>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</si>
  <si>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</si>
  <si>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</si>
  <si>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</si>
  <si>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</si>
  <si>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</si>
  <si>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</si>
  <si>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</si>
  <si>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</si>
  <si>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</si>
  <si>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</si>
  <si>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</si>
  <si>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</si>
  <si>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</si>
  <si>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</si>
  <si>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</si>
  <si>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</si>
  <si>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</si>
  <si>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</si>
  <si>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</si>
  <si>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</si>
  <si>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</si>
  <si>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</si>
  <si>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</si>
  <si>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</si>
  <si>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</si>
  <si>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</si>
  <si>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</si>
  <si>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</si>
  <si>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</si>
  <si>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</si>
  <si>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</si>
  <si>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</si>
  <si>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</si>
  <si>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</si>
  <si>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</si>
  <si>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</si>
  <si>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</si>
  <si>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</si>
  <si>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</si>
  <si>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</si>
  <si>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</si>
  <si>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</si>
  <si>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</si>
  <si>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</si>
  <si>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</si>
  <si>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</si>
  <si>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</si>
  <si>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</si>
  <si>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</si>
  <si>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</si>
  <si>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</si>
  <si>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</si>
  <si>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</si>
  <si>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</si>
  <si>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</si>
  <si>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</si>
  <si>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</si>
  <si>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</si>
  <si>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</si>
  <si>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</si>
  <si>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</si>
  <si>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</si>
  <si>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</si>
  <si>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</si>
  <si>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</si>
  <si>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</si>
  <si>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</si>
  <si>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</si>
  <si>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</si>
  <si>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</si>
  <si>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</si>
  <si>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</si>
  <si>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</si>
  <si>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</si>
  <si>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</si>
  <si>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</si>
  <si>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</si>
  <si>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</si>
  <si>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</si>
  <si>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</si>
  <si>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</si>
  <si>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</si>
  <si>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</si>
  <si>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</si>
  <si>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</si>
  <si>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</si>
  <si>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</si>
  <si>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</si>
  <si>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</si>
  <si>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</si>
  <si>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</si>
  <si>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</si>
  <si>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</si>
  <si>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</si>
  <si>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</si>
  <si>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</si>
  <si>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</si>
  <si>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</si>
  <si>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</si>
  <si>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</si>
  <si>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</si>
  <si>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</si>
  <si>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</si>
  <si>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</si>
  <si>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</si>
  <si>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</si>
  <si>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</si>
  <si>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</si>
  <si>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</si>
  <si>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</si>
  <si>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</si>
  <si>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</si>
  <si>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</si>
  <si>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</si>
  <si>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</si>
  <si>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</si>
  <si>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</si>
  <si>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</si>
  <si>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</si>
  <si>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</si>
  <si>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</si>
  <si>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</si>
  <si>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</si>
  <si>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</si>
  <si>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</si>
  <si>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</si>
  <si>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</si>
  <si>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</si>
  <si>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</si>
  <si>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</si>
  <si>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</si>
  <si>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</si>
  <si>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</si>
  <si>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</si>
  <si>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</si>
  <si>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</si>
  <si>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</si>
  <si>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</si>
  <si>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</si>
  <si>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</si>
  <si>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</si>
  <si>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</si>
  <si>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</si>
  <si>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</si>
  <si>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</si>
  <si>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</si>
  <si>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</si>
  <si>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</si>
  <si>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</si>
  <si>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</si>
  <si>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</si>
  <si>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</si>
  <si>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</si>
  <si>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</si>
  <si>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</si>
  <si>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</si>
  <si>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</si>
  <si>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</si>
  <si>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</si>
  <si>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</si>
  <si>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</si>
  <si>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</si>
  <si>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</si>
  <si>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</si>
  <si>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</si>
  <si>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</si>
  <si>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</si>
  <si>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</si>
  <si>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</si>
  <si>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</si>
  <si>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</si>
  <si>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</si>
  <si>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</si>
  <si>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</si>
  <si>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</si>
  <si>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</si>
  <si>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</si>
  <si>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</si>
  <si>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</si>
  <si>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</si>
  <si>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</si>
  <si>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</si>
  <si>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</si>
  <si>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</si>
  <si>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</si>
  <si>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</si>
  <si>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</si>
  <si>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</si>
  <si>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</si>
  <si>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</si>
  <si>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</si>
  <si>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</si>
  <si>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</si>
  <si>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</si>
  <si>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</si>
  <si>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</si>
  <si>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</si>
  <si>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</si>
  <si>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</si>
  <si>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</si>
  <si>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</si>
  <si>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</si>
  <si>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</si>
  <si>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</si>
  <si>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</si>
  <si>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</si>
  <si>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</si>
  <si>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</si>
  <si>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</si>
  <si>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</si>
  <si>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</si>
  <si>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</si>
  <si>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</si>
  <si>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</si>
  <si>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</si>
  <si>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</si>
  <si>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</si>
  <si>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</si>
  <si>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</si>
  <si>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</si>
  <si>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</si>
  <si>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</si>
  <si>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</si>
  <si>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</si>
  <si>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</si>
  <si>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</si>
  <si>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</si>
  <si>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</si>
  <si>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</si>
  <si>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</si>
  <si>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</si>
  <si>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</si>
  <si>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</si>
  <si>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</si>
  <si>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</si>
  <si>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</si>
  <si>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</si>
  <si>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</si>
  <si>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</si>
  <si>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</si>
  <si>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</si>
  <si>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</si>
  <si>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</si>
  <si>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</si>
  <si>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</si>
  <si>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</si>
  <si>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</si>
  <si>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</si>
  <si>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</si>
  <si>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</si>
  <si>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</si>
  <si>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</si>
  <si>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</si>
  <si>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</si>
  <si>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</si>
  <si>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</si>
  <si>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</si>
  <si>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</si>
  <si>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</si>
  <si>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</si>
  <si>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</si>
  <si>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</si>
  <si>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</si>
  <si>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</si>
  <si>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</si>
  <si>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</si>
  <si>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</si>
  <si>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</si>
  <si>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</si>
  <si>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</si>
  <si>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</si>
  <si>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</si>
  <si>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</si>
  <si>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</si>
  <si>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</si>
  <si>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</si>
  <si>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</si>
  <si>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</si>
  <si>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</si>
  <si>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</si>
  <si>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</si>
  <si>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</si>
  <si>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</si>
  <si>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</si>
  <si>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</si>
  <si>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</si>
  <si>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</si>
  <si>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</si>
  <si>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</si>
  <si>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</si>
  <si>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CAH5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</si>
  <si>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</si>
  <si>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</si>
  <si>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</si>
  <si>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</si>
  <si>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</si>
  <si>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</si>
  <si>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</si>
  <si>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</si>
  <si>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</si>
  <si>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</si>
  <si>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</si>
  <si>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</si>
  <si>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</si>
  <si>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</si>
  <si>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</si>
  <si>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</si>
  <si>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</si>
  <si>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</si>
  <si>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</si>
  <si>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</si>
  <si>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</si>
  <si>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</si>
  <si>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</si>
  <si>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</si>
  <si>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</si>
  <si>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</si>
  <si>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</si>
  <si>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</si>
  <si>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</si>
  <si>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</si>
  <si>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</si>
  <si>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</si>
  <si>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</si>
  <si>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</si>
  <si>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</si>
  <si>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</si>
  <si>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</si>
  <si>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</si>
  <si>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</si>
  <si>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</si>
  <si>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</si>
  <si>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</si>
  <si>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</si>
  <si>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</si>
  <si>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</si>
  <si>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</si>
  <si>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</si>
  <si>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</si>
  <si>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</si>
  <si>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</si>
  <si>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</si>
  <si>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</si>
  <si>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</si>
  <si>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</si>
  <si>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</si>
  <si>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</si>
  <si>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</si>
  <si>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</si>
  <si>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</si>
  <si>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</si>
  <si>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</si>
  <si>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</si>
  <si>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</si>
  <si>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</si>
  <si>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</si>
  <si>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</si>
  <si>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</si>
  <si>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</si>
  <si>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</si>
  <si>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</si>
  <si>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</si>
  <si>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</si>
  <si>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</si>
  <si>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</si>
  <si>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</si>
  <si>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</si>
  <si>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</si>
  <si>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</si>
  <si>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</si>
  <si>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</si>
  <si>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</si>
  <si>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</si>
  <si>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</si>
  <si>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</si>
  <si>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</si>
  <si>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</si>
  <si>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</si>
  <si>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</si>
  <si>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</si>
  <si>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</si>
  <si>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</si>
  <si>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</si>
  <si>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</si>
  <si>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</si>
  <si>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</si>
  <si>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</si>
  <si>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</si>
  <si>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</si>
  <si>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</si>
  <si>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</si>
  <si>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</si>
  <si>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</si>
  <si>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</si>
  <si>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</si>
  <si>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</si>
  <si>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</si>
  <si>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</si>
  <si>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</si>
  <si>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</si>
  <si>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</si>
  <si>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</si>
  <si>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</si>
  <si>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</si>
  <si>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</si>
  <si>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</si>
  <si>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</si>
  <si>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</si>
  <si>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</si>
  <si>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</si>
  <si>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</si>
  <si>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</si>
  <si>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</si>
  <si>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</si>
  <si>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</si>
  <si>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</si>
  <si>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</si>
  <si>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</si>
  <si>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</si>
  <si>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</si>
  <si>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</si>
  <si>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</si>
  <si>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</si>
  <si>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</si>
  <si>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</si>
  <si>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</si>
  <si>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</si>
  <si>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</si>
  <si>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</si>
  <si>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</si>
  <si>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</si>
  <si>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</si>
  <si>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</si>
  <si>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</si>
  <si>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</si>
  <si>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</si>
  <si>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</si>
  <si>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</si>
  <si>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</si>
  <si>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</si>
  <si>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</si>
  <si>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</si>
  <si>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</si>
  <si>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</si>
  <si>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</si>
  <si>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</si>
  <si>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</si>
  <si>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</si>
  <si>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</si>
  <si>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</si>
  <si>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</si>
  <si>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</si>
  <si>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</si>
  <si>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</si>
  <si>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</si>
  <si>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</si>
  <si>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</si>
  <si>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</si>
  <si>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</si>
  <si>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</si>
  <si>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</si>
  <si>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</si>
  <si>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</si>
  <si>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</si>
  <si>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</si>
  <si>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</si>
  <si>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</si>
  <si>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</si>
  <si>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</si>
  <si>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</si>
  <si>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</si>
  <si>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</si>
  <si>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</si>
  <si>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</si>
  <si>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</si>
  <si>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</si>
  <si>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</si>
  <si>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</si>
  <si>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</si>
  <si>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</si>
  <si>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</si>
  <si>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</si>
  <si>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</si>
  <si>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</si>
  <si>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</si>
  <si>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</si>
  <si>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</si>
  <si>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</si>
  <si>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</si>
  <si>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</si>
  <si>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</si>
  <si>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</si>
  <si>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</si>
  <si>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</si>
  <si>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</si>
  <si>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</si>
  <si>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</si>
  <si>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</si>
  <si>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</si>
  <si>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</si>
  <si>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</si>
  <si>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</si>
  <si>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</si>
  <si>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</si>
  <si>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</si>
  <si>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</si>
  <si>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</si>
  <si>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</si>
  <si>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</si>
  <si>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</si>
  <si>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</si>
  <si>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</si>
  <si>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</si>
  <si>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</si>
  <si>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</si>
  <si>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</si>
  <si>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</si>
  <si>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</si>
  <si>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</si>
  <si>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</si>
  <si>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</si>
  <si>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</si>
  <si>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</si>
  <si>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</si>
  <si>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</si>
  <si>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</si>
  <si>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</si>
  <si>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</si>
  <si>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</si>
  <si>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</si>
  <si>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</si>
  <si>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</si>
  <si>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</si>
  <si>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</si>
  <si>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</si>
  <si>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</si>
  <si>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</si>
  <si>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</si>
  <si>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</si>
  <si>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</si>
  <si>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</si>
  <si>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</si>
  <si>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</si>
  <si>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</si>
  <si>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</si>
  <si>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</si>
  <si>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</si>
  <si>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</si>
  <si>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</si>
  <si>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</si>
  <si>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</si>
  <si>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</si>
  <si>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</si>
  <si>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</si>
  <si>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</si>
  <si>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</si>
  <si>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</si>
  <si>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</si>
  <si>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</si>
  <si>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</si>
  <si>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</si>
  <si>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</si>
  <si>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</si>
  <si>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</si>
  <si>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</si>
  <si>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</si>
  <si>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</si>
  <si>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</si>
  <si>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</si>
  <si>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</si>
  <si>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</si>
  <si>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</si>
  <si>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</si>
  <si>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</si>
  <si>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</si>
  <si>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</si>
  <si>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</si>
  <si>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</si>
  <si>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</si>
  <si>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</si>
  <si>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</si>
  <si>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</si>
  <si>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</si>
  <si>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</si>
  <si>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</si>
  <si>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</si>
  <si>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</si>
  <si>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</si>
  <si>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</si>
  <si>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</si>
  <si>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</si>
  <si>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</si>
  <si>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</si>
  <si>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</si>
  <si>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</si>
  <si>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</si>
  <si>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</si>
  <si>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</si>
  <si>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</si>
  <si>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</si>
  <si>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</si>
  <si>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</si>
  <si>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</si>
  <si>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</si>
  <si>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</si>
  <si>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</si>
  <si>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</si>
  <si>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</si>
  <si>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</si>
  <si>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</si>
  <si>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</si>
  <si>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</si>
  <si>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</si>
  <si>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</si>
  <si>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</si>
  <si>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</si>
  <si>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</si>
  <si>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</si>
  <si>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</si>
  <si>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</si>
  <si>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</si>
  <si>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</si>
  <si>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</si>
  <si>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</si>
  <si>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</si>
  <si>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</si>
  <si>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</si>
  <si>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</si>
  <si>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</si>
  <si>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</si>
  <si>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</si>
  <si>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</si>
  <si>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</si>
  <si>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</si>
  <si>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</si>
  <si>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</si>
  <si>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</si>
  <si>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</si>
  <si>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</si>
  <si>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</si>
  <si>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</si>
  <si>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</si>
  <si>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</si>
  <si>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</si>
  <si>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</si>
  <si>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</si>
  <si>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</si>
  <si>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</si>
  <si>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</si>
  <si>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</si>
  <si>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</si>
  <si>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</si>
  <si>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</si>
  <si>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</si>
  <si>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</si>
  <si>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</si>
  <si>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</si>
  <si>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</si>
  <si>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</si>
  <si>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</si>
  <si>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</si>
  <si>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</si>
  <si>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</si>
  <si>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</si>
  <si>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</si>
  <si>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</si>
  <si>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</si>
  <si>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</si>
  <si>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</si>
  <si>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</si>
  <si>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</si>
  <si>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</si>
  <si>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</si>
  <si>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</si>
  <si>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</si>
  <si>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</si>
  <si>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</si>
  <si>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</si>
  <si>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</si>
  <si>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</si>
  <si>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</si>
  <si>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</si>
  <si>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</si>
  <si>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</si>
  <si>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</si>
  <si>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</si>
  <si>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</si>
  <si>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</si>
  <si>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</si>
  <si>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</si>
  <si>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</si>
  <si>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</si>
  <si>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</si>
  <si>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</si>
  <si>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</si>
  <si>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</si>
  <si>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</si>
  <si>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</si>
  <si>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</si>
  <si>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</si>
  <si>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</si>
  <si>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</si>
  <si>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</si>
  <si>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</si>
  <si>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</si>
  <si>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</si>
  <si>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</si>
  <si>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</si>
  <si>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</si>
  <si>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</si>
  <si>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</si>
  <si>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</si>
  <si>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</si>
  <si>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</si>
  <si>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</si>
  <si>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</si>
  <si>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</si>
  <si>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</si>
  <si>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</si>
  <si>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</si>
  <si>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</si>
  <si>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</si>
  <si>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</si>
  <si>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</si>
  <si>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</si>
  <si>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</si>
  <si>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</si>
  <si>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</si>
  <si>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</si>
  <si>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</si>
  <si>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</si>
  <si>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</si>
  <si>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</si>
  <si>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</si>
  <si>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</si>
  <si>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</si>
  <si>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</si>
  <si>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</si>
  <si>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</si>
  <si>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</si>
  <si>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</si>
  <si>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</si>
  <si>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</si>
  <si>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</si>
  <si>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</si>
  <si>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</si>
  <si>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</si>
  <si>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</si>
  <si>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</si>
  <si>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</si>
  <si>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</si>
  <si>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</si>
  <si>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</si>
  <si>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</si>
  <si>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</si>
  <si>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</si>
  <si>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</si>
  <si>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</si>
  <si>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</si>
  <si>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</si>
  <si>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</si>
  <si>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</si>
  <si>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</si>
  <si>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</si>
  <si>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</si>
  <si>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</si>
  <si>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</si>
  <si>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</si>
  <si>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</si>
  <si>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</si>
  <si>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</si>
  <si>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</si>
  <si>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</si>
  <si>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</si>
  <si>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</si>
  <si>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</si>
  <si>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</si>
  <si>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</si>
  <si>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</si>
  <si>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</si>
  <si>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</si>
  <si>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</si>
  <si>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</si>
  <si>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</si>
  <si>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</si>
  <si>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</si>
  <si>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</si>
  <si>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</si>
  <si>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</si>
  <si>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</si>
  <si>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</si>
  <si>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</si>
  <si>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</si>
  <si>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</si>
  <si>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</si>
  <si>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</si>
  <si>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</si>
  <si>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</si>
  <si>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</si>
  <si>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</si>
  <si>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</si>
  <si>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</si>
  <si>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</si>
  <si>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</si>
  <si>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</si>
  <si>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</si>
  <si>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</si>
  <si>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</si>
  <si>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</si>
  <si>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</si>
  <si>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</si>
  <si>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</si>
  <si>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</si>
  <si>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</si>
  <si>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</si>
  <si>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</si>
  <si>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</si>
  <si>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</si>
  <si>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</si>
  <si>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</si>
  <si>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</si>
  <si>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</si>
  <si>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</si>
  <si>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</si>
  <si>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</si>
  <si>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</si>
  <si>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</si>
  <si>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</si>
  <si>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</si>
  <si>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</si>
  <si>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</si>
  <si>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</si>
  <si>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</si>
  <si>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</si>
  <si>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</si>
  <si>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</si>
  <si>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</si>
  <si>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</si>
  <si>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</si>
  <si>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</si>
  <si>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</si>
  <si>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</si>
  <si>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</si>
  <si>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</si>
  <si>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</si>
  <si>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</si>
  <si>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</si>
  <si>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</si>
  <si>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</si>
  <si>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</si>
  <si>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</si>
  <si>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</si>
  <si>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</si>
  <si>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</si>
  <si>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</si>
  <si>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</si>
  <si>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</si>
  <si>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</si>
  <si>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</si>
  <si>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</si>
  <si>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</si>
  <si>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</si>
  <si>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</si>
  <si>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</si>
  <si>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</si>
  <si>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</si>
  <si>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</si>
  <si>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</si>
  <si>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</si>
  <si>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</si>
  <si>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</si>
  <si>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</si>
  <si>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</si>
  <si>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</si>
  <si>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</si>
  <si>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</si>
  <si>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</si>
  <si>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</si>
  <si>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</si>
  <si>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</si>
  <si>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</si>
  <si>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</si>
  <si>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</si>
  <si>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</si>
  <si>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</si>
  <si>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</si>
  <si>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</si>
  <si>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</si>
  <si>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</si>
  <si>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</si>
  <si>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</si>
  <si>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</si>
  <si>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</si>
  <si>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</si>
  <si>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</si>
  <si>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</si>
  <si>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</si>
  <si>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</si>
  <si>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</si>
  <si>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</si>
  <si>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</si>
  <si>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</si>
  <si>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</si>
  <si>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</si>
  <si>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</si>
  <si>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</si>
  <si>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</si>
  <si>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</si>
  <si>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</si>
  <si>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</si>
  <si>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</si>
  <si>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</si>
  <si>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</si>
  <si>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</si>
  <si>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</si>
  <si>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</si>
  <si>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</si>
  <si>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</si>
  <si>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</si>
  <si>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</si>
  <si>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</si>
  <si>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</si>
  <si>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</si>
  <si>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</si>
  <si>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</si>
  <si>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</si>
  <si>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</si>
  <si>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</si>
  <si>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</si>
  <si>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</si>
  <si>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</si>
  <si>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</si>
  <si>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</si>
  <si>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</si>
  <si>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</si>
  <si>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</si>
  <si>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</si>
  <si>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</si>
  <si>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</si>
  <si>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</si>
  <si>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</si>
  <si>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</si>
  <si>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</si>
  <si>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</si>
  <si>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</si>
  <si>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</si>
  <si>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</si>
  <si>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</si>
  <si>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</si>
  <si>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</si>
  <si>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</si>
  <si>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</si>
  <si>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</si>
  <si>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</si>
  <si>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</si>
  <si>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</si>
  <si>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</si>
  <si>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</si>
  <si>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</si>
  <si>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</si>
  <si>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</si>
  <si>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</si>
  <si>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</si>
  <si>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</si>
  <si>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</si>
  <si>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</si>
  <si>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</si>
  <si>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</si>
  <si>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</si>
  <si>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</si>
  <si>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</si>
  <si>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</si>
  <si>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</si>
  <si>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</si>
  <si>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</si>
  <si>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</si>
  <si>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</si>
  <si>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</si>
  <si>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</si>
  <si>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</si>
  <si>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</si>
  <si>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</si>
  <si>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</si>
  <si>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</si>
  <si>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</si>
  <si>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</si>
  <si>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</si>
  <si>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</si>
  <si>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</si>
  <si>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</si>
  <si>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</si>
  <si>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</si>
  <si>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</si>
  <si>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</si>
  <si>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</si>
  <si>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</si>
  <si>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</si>
  <si>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</si>
  <si>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</si>
  <si>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</si>
  <si>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</si>
  <si>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</si>
  <si>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</si>
  <si>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</si>
  <si>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</si>
  <si>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</si>
  <si>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</si>
  <si>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</si>
  <si>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</si>
  <si>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</si>
  <si>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</si>
  <si>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</si>
  <si>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</si>
  <si>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</si>
  <si>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</si>
  <si>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</si>
  <si>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</si>
  <si>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</si>
  <si>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</si>
  <si>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</si>
  <si>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</si>
  <si>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</si>
  <si>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</si>
  <si>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</si>
  <si>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</si>
  <si>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</si>
  <si>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</si>
  <si>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</si>
  <si>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</si>
  <si>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</si>
  <si>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</si>
  <si>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</si>
  <si>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</si>
  <si>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</si>
  <si>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</si>
  <si>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</si>
  <si>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</si>
  <si>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</si>
  <si>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</si>
  <si>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</si>
  <si>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</si>
  <si>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</si>
  <si>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</si>
  <si>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</si>
  <si>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</si>
  <si>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</si>
  <si>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</si>
  <si>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</si>
  <si>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</si>
  <si>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</si>
  <si>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</si>
  <si>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</si>
  <si>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</si>
  <si>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</si>
  <si>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</si>
  <si>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</si>
  <si>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</si>
  <si>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</si>
  <si>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</si>
  <si>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</si>
  <si>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</si>
  <si>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</si>
  <si>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</si>
  <si>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</si>
  <si>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</si>
  <si>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</si>
  <si>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</si>
  <si>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</si>
  <si>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</si>
  <si>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</si>
  <si>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</si>
  <si>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</si>
  <si>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</si>
  <si>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</si>
  <si>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</si>
  <si>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</si>
  <si>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</si>
  <si>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</si>
  <si>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</si>
  <si>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</si>
  <si>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</si>
  <si>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</si>
  <si>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</si>
  <si>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</si>
  <si>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</si>
  <si>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</si>
  <si>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</si>
  <si>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</si>
  <si>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</si>
  <si>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</si>
  <si>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</si>
  <si>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</si>
  <si>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</si>
  <si>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</si>
  <si>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</si>
  <si>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</si>
  <si>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</si>
  <si>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</si>
  <si>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</si>
  <si>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</si>
  <si>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</si>
  <si>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</si>
  <si>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</si>
  <si>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</si>
  <si>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</si>
  <si>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</si>
  <si>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</si>
  <si>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</si>
  <si>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</si>
  <si>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</si>
  <si>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</si>
  <si>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</si>
  <si>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</si>
  <si>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</si>
  <si>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</si>
  <si>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</si>
  <si>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</si>
  <si>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</si>
  <si>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</si>
  <si>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</si>
  <si>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</si>
  <si>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</si>
  <si>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</si>
  <si>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</si>
  <si>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</si>
  <si>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</si>
  <si>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</si>
  <si>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</si>
  <si>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</si>
  <si>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</si>
  <si>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</si>
  <si>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</si>
  <si>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</si>
  <si>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</si>
  <si>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</si>
  <si>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</si>
  <si>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</si>
  <si>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</si>
  <si>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</si>
  <si>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</si>
  <si>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</si>
  <si>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</si>
  <si>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</si>
  <si>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</si>
  <si>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</si>
  <si>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</si>
  <si>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</si>
  <si>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</si>
  <si>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</si>
  <si>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</si>
  <si>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</si>
  <si>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</si>
  <si>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</si>
  <si>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</si>
  <si>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</si>
  <si>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</si>
  <si>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</si>
  <si>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</si>
  <si>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</si>
  <si>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</si>
  <si>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</si>
  <si>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</si>
  <si>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</si>
  <si>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</si>
  <si>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</si>
  <si>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</si>
  <si>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</si>
  <si>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</si>
  <si>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</si>
  <si>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</si>
  <si>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</si>
  <si>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</si>
  <si>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</si>
  <si>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</si>
  <si>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</si>
  <si>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</si>
  <si>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</si>
  <si>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</si>
  <si>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</si>
  <si>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</si>
  <si>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</si>
  <si>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</si>
  <si>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</si>
  <si>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</si>
  <si>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</si>
  <si>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</si>
  <si>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</si>
  <si>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</si>
  <si>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</si>
  <si>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</si>
  <si>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</si>
  <si>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</si>
  <si>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</si>
  <si>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</si>
  <si>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</si>
  <si>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</si>
  <si>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</si>
  <si>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</si>
  <si>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</si>
  <si>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</si>
  <si>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</si>
  <si>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</si>
  <si>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</si>
  <si>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</si>
  <si>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</si>
  <si>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</si>
  <si>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</si>
  <si>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</si>
  <si>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</si>
  <si>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</si>
  <si>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</si>
  <si>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</si>
  <si>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</si>
  <si>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</si>
  <si>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</si>
  <si>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</si>
  <si>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</si>
  <si>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</si>
  <si>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</si>
  <si>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</si>
  <si>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</si>
  <si>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</si>
  <si>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</si>
  <si>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</si>
  <si>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</si>
  <si>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</si>
  <si>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</si>
  <si>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</si>
  <si>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</si>
  <si>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</si>
  <si>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</si>
  <si>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</si>
  <si>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</si>
  <si>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</si>
  <si>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</si>
  <si>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</si>
  <si>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</si>
  <si>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</si>
  <si>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</si>
  <si>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</si>
  <si>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</si>
  <si>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</si>
  <si>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</si>
  <si>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</si>
  <si>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</si>
  <si>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</si>
  <si>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</si>
  <si>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</si>
  <si>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</si>
  <si>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</si>
  <si>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</si>
  <si>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</si>
  <si>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</si>
  <si>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</si>
  <si>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</si>
  <si>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</si>
  <si>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</si>
  <si>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</si>
  <si>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</si>
  <si>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</si>
  <si>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</si>
  <si>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</si>
  <si>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</si>
  <si>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</si>
  <si>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</si>
  <si>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</si>
  <si>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</si>
  <si>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</si>
  <si>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</si>
  <si>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</si>
  <si>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</si>
  <si>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</si>
  <si>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</si>
  <si>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</si>
  <si>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</si>
  <si>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</si>
  <si>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</si>
  <si>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</si>
  <si>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</si>
  <si>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</si>
  <si>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</si>
  <si>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</si>
  <si>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</si>
  <si>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</si>
  <si>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</si>
  <si>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</si>
  <si>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</si>
  <si>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</si>
  <si>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</si>
  <si>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</si>
  <si>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</si>
  <si>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</si>
  <si>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</si>
  <si>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</si>
  <si>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</si>
  <si>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</si>
  <si>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</si>
  <si>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</si>
  <si>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</si>
  <si>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</si>
  <si>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</si>
  <si>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</si>
  <si>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</si>
  <si>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</si>
  <si>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</si>
  <si>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</si>
  <si>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</si>
  <si>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</si>
  <si>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</si>
  <si>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</si>
  <si>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</si>
  <si>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</si>
  <si>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</si>
  <si>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</si>
  <si>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</si>
  <si>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</si>
  <si>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</si>
  <si>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</si>
  <si>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</si>
  <si>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</si>
  <si>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</si>
  <si>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</si>
  <si>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</si>
  <si>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</si>
  <si>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</si>
  <si>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</si>
  <si>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</si>
  <si>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</si>
  <si>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</si>
  <si>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</si>
  <si>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</si>
  <si>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</si>
  <si>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</si>
  <si>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</si>
  <si>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</si>
  <si>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</si>
  <si>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</si>
  <si>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</si>
  <si>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</si>
  <si>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</si>
  <si>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</si>
  <si>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</si>
  <si>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</si>
  <si>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</si>
  <si>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</si>
  <si>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</si>
  <si>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</si>
  <si>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</si>
  <si>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</si>
  <si>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</si>
  <si>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</si>
  <si>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</si>
  <si>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</si>
  <si>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</si>
  <si>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</si>
  <si>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</si>
  <si>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</si>
  <si>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</si>
  <si>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</si>
  <si>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</si>
  <si>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</si>
  <si>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</si>
  <si>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</si>
  <si>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</si>
  <si>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</si>
  <si>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</si>
  <si>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</si>
  <si>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</si>
  <si>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</si>
  <si>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</si>
  <si>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</si>
  <si>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</si>
  <si>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</si>
  <si>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</si>
  <si>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</si>
  <si>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</si>
  <si>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</si>
  <si>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</si>
  <si>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</si>
  <si>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</si>
  <si>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</si>
  <si>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</si>
  <si>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</si>
  <si>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</si>
  <si>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</si>
  <si>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</si>
  <si>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</si>
  <si>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</si>
  <si>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</si>
  <si>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</si>
  <si>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</si>
  <si>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</si>
  <si>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</si>
  <si>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</si>
  <si>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</si>
  <si>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</si>
  <si>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</si>
  <si>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</si>
  <si>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</si>
  <si>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</si>
  <si>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</si>
  <si>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</si>
  <si>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</si>
  <si>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</si>
  <si>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</si>
  <si>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</si>
  <si>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</si>
  <si>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</si>
  <si>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</si>
  <si>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</si>
  <si>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</si>
  <si>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</si>
  <si>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</si>
  <si>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</si>
  <si>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</si>
  <si>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</si>
  <si>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</si>
  <si>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</si>
  <si>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</si>
  <si>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</si>
  <si>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</si>
  <si>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</si>
  <si>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</si>
  <si>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</si>
  <si>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</si>
  <si>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</si>
  <si>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</si>
  <si>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</si>
  <si>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</si>
  <si>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</si>
  <si>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</si>
  <si>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</si>
  <si>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</si>
  <si>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</si>
  <si>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</si>
  <si>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</si>
  <si>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</si>
  <si>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</si>
  <si>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</si>
  <si>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</si>
  <si>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</si>
  <si>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</si>
  <si>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</si>
  <si>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</si>
  <si>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</si>
  <si>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</si>
  <si>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</si>
  <si>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</si>
  <si>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</si>
  <si>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</si>
  <si>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</si>
  <si>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</si>
  <si>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</si>
  <si>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</si>
  <si>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</si>
  <si>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</si>
  <si>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</si>
  <si>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</si>
  <si>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</si>
  <si>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</si>
  <si>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</si>
  <si>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</si>
  <si>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</si>
  <si>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</si>
  <si>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</si>
  <si>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</si>
  <si>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</si>
  <si>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</si>
  <si>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</si>
  <si>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</si>
  <si>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</si>
  <si>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</si>
  <si>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</si>
  <si>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</si>
  <si>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</si>
  <si>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</si>
  <si>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</si>
  <si>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</si>
  <si>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</si>
  <si>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</si>
  <si>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</si>
  <si>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</si>
  <si>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</si>
  <si>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</si>
  <si>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</si>
  <si>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</si>
  <si>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</si>
  <si>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</si>
  <si>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</si>
  <si>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</si>
  <si>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</si>
  <si>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</si>
  <si>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</si>
  <si>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</si>
  <si>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</si>
  <si>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</si>
  <si>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</si>
  <si>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</si>
  <si>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</si>
  <si>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</si>
  <si>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</si>
  <si>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</si>
  <si>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</si>
  <si>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</si>
  <si>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</si>
  <si>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</si>
  <si>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</si>
  <si>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</si>
  <si>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</si>
  <si>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</si>
  <si>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</si>
  <si>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</si>
  <si>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</si>
  <si>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</si>
  <si>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</si>
  <si>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</si>
  <si>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</si>
  <si>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</si>
  <si>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</si>
  <si>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</si>
  <si>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</si>
  <si>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</si>
  <si>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</si>
  <si>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</si>
  <si>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</si>
  <si>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</si>
  <si>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</si>
  <si>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</si>
  <si>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</si>
  <si>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</si>
  <si>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</si>
  <si>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</si>
  <si>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</si>
  <si>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</si>
  <si>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</si>
  <si>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</si>
  <si>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</si>
  <si>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</si>
  <si>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</si>
  <si>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</si>
  <si>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</si>
  <si>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</si>
  <si>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</si>
  <si>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</si>
  <si>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</si>
  <si>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</si>
  <si>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</si>
  <si>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</si>
  <si>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</si>
  <si>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</si>
  <si>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</si>
  <si>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</si>
  <si>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</si>
  <si>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</si>
  <si>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</si>
  <si>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</si>
  <si>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</si>
  <si>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</si>
  <si>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</si>
  <si>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</si>
  <si>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</si>
  <si>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</si>
  <si>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</si>
  <si>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</si>
  <si>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</si>
  <si>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</si>
  <si>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</si>
  <si>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</si>
  <si>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</si>
  <si>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</si>
  <si>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</si>
  <si>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</si>
  <si>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</si>
  <si>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</si>
  <si>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</si>
  <si>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</si>
  <si>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</si>
  <si>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</si>
  <si>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</si>
  <si>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</si>
  <si>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</si>
  <si>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</si>
  <si>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</si>
  <si>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</si>
  <si>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</si>
  <si>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</si>
  <si>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</si>
  <si>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</si>
  <si>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</si>
  <si>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</si>
  <si>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</si>
  <si>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</si>
  <si>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</si>
  <si>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</si>
  <si>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</si>
  <si>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</si>
  <si>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</si>
  <si>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</si>
  <si>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</si>
  <si>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</si>
  <si>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</si>
  <si>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</si>
  <si>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</si>
  <si>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</si>
  <si>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</si>
  <si>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</si>
  <si>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</si>
  <si>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</si>
  <si>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</si>
  <si>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</si>
  <si>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</si>
  <si>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</si>
  <si>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</si>
  <si>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</si>
  <si>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</si>
  <si>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</si>
  <si>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</si>
  <si>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</si>
  <si>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</si>
  <si>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</si>
  <si>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</si>
  <si>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</si>
  <si>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</si>
  <si>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</si>
  <si>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</si>
  <si>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</si>
  <si>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</si>
  <si>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</si>
  <si>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</si>
  <si>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</si>
  <si>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</si>
  <si>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</si>
  <si>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</si>
  <si>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</si>
  <si>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</si>
  <si>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</si>
  <si>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</si>
  <si>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</si>
  <si>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</si>
  <si>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</si>
  <si>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</si>
  <si>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</si>
  <si>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</si>
  <si>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</si>
  <si>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</si>
  <si>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</si>
  <si>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</si>
  <si>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</si>
  <si>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</si>
  <si>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</si>
  <si>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</si>
  <si>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</si>
  <si>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</si>
  <si>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</si>
  <si>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</si>
  <si>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</si>
  <si>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</si>
  <si>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</si>
  <si>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</si>
  <si>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</si>
  <si>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</si>
  <si>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</si>
  <si>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</si>
  <si>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</si>
  <si>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</si>
  <si>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</si>
  <si>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</si>
  <si>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</si>
  <si>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</si>
  <si>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</si>
  <si>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</si>
  <si>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</si>
  <si>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</si>
  <si>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</si>
  <si>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</si>
  <si>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</si>
  <si>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</si>
  <si>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</si>
  <si>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</si>
  <si>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</si>
  <si>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</si>
  <si>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</si>
  <si>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</si>
  <si>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</si>
  <si>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</si>
  <si>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</si>
  <si>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</si>
  <si>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</si>
  <si>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</si>
  <si>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</si>
  <si>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</si>
  <si>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</si>
  <si>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</si>
  <si>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</si>
  <si>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</si>
  <si>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</si>
  <si>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</si>
  <si>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</si>
  <si>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</si>
  <si>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</si>
  <si>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</si>
  <si>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</si>
  <si>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</si>
  <si>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</si>
  <si>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</si>
  <si>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</si>
  <si>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</si>
  <si>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</si>
  <si>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</si>
  <si>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</si>
  <si>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</si>
  <si>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</si>
  <si>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</si>
  <si>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</si>
  <si>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</si>
  <si>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</si>
  <si>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</si>
  <si>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</si>
  <si>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</si>
  <si>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</si>
  <si>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</si>
  <si>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</si>
  <si>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</si>
  <si>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</si>
  <si>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</si>
  <si>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</si>
  <si>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</si>
  <si>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</si>
  <si>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</si>
  <si>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</si>
  <si>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</si>
  <si>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</si>
  <si>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</si>
  <si>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</si>
  <si>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</si>
  <si>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</si>
  <si>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</si>
  <si>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</si>
  <si>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</si>
  <si>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</si>
  <si>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</si>
  <si>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</si>
  <si>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</si>
  <si>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</si>
  <si>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</si>
  <si>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</si>
  <si>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</si>
  <si>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</si>
  <si>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</si>
  <si>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</si>
  <si>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</si>
  <si>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</si>
  <si>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</si>
  <si>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</si>
  <si>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</si>
  <si>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</si>
  <si>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</si>
  <si>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</si>
  <si>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</si>
  <si>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</si>
  <si>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</si>
  <si>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</si>
  <si>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</si>
  <si>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</si>
  <si>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</si>
  <si>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</si>
  <si>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</si>
  <si>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</si>
  <si>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</si>
  <si>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</si>
  <si>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</si>
  <si>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</si>
  <si>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</si>
  <si>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</si>
  <si>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</si>
  <si>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</si>
  <si>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</si>
  <si>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</si>
  <si>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</si>
  <si>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</si>
  <si>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</si>
  <si>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</si>
  <si>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</si>
  <si>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</si>
  <si>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</si>
  <si>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</si>
  <si>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</si>
  <si>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</si>
  <si>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</si>
  <si>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</si>
  <si>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</si>
  <si>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</si>
  <si>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</si>
  <si>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</si>
  <si>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</si>
  <si>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</si>
  <si>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</si>
  <si>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</si>
  <si>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</si>
  <si>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</si>
  <si>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</si>
  <si>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</si>
  <si>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</si>
  <si>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</si>
  <si>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</si>
  <si>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</si>
  <si>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</si>
  <si>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</si>
  <si>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</si>
  <si>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</si>
  <si>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</si>
  <si>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</si>
  <si>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</si>
  <si>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</si>
  <si>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</si>
  <si>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</si>
  <si>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</si>
  <si>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</si>
  <si>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</si>
  <si>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</si>
  <si>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</si>
  <si>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</si>
  <si>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</si>
  <si>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</si>
  <si>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</si>
  <si>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</si>
  <si>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</si>
  <si>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</si>
  <si>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</si>
  <si>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</si>
  <si>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</si>
  <si>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</si>
  <si>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</si>
  <si>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</si>
  <si>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</si>
  <si>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</si>
  <si>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</si>
  <si>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</si>
  <si>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</si>
  <si>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</si>
  <si>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</si>
  <si>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</si>
  <si>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</si>
  <si>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</si>
  <si>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</si>
  <si>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</si>
  <si>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</si>
  <si>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</si>
  <si>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</si>
  <si>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</si>
  <si>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</si>
  <si>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</si>
  <si>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</si>
  <si>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</si>
  <si>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</si>
  <si>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</si>
  <si>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</si>
  <si>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</si>
  <si>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</si>
  <si>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</si>
  <si>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</si>
  <si>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</si>
  <si>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</si>
  <si>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</si>
  <si>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</si>
  <si>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</si>
  <si>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</si>
  <si>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</si>
  <si>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</si>
  <si>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</si>
  <si>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</si>
  <si>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</si>
  <si>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</si>
  <si>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</si>
  <si>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</si>
  <si>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</si>
  <si>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</si>
  <si>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</si>
  <si>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</si>
  <si>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</si>
  <si>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</si>
  <si>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</si>
  <si>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</si>
  <si>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</si>
  <si>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</si>
  <si>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</si>
  <si>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</si>
  <si>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</si>
  <si>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</si>
  <si>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</si>
  <si>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</si>
  <si>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</si>
  <si>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</si>
  <si>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</si>
  <si>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</si>
  <si>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</si>
  <si>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</si>
  <si>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</si>
  <si>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</si>
  <si>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</si>
  <si>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</si>
  <si>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</si>
  <si>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</si>
  <si>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</si>
  <si>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</si>
  <si>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</si>
  <si>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</si>
  <si>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</si>
  <si>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</si>
  <si>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</si>
  <si>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</si>
  <si>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</si>
  <si>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</si>
  <si>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</si>
  <si>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</si>
  <si>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</si>
  <si>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</si>
  <si>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</si>
  <si>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</si>
  <si>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</si>
  <si>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</si>
  <si>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</si>
  <si>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</si>
  <si>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</si>
  <si>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</si>
  <si>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</si>
  <si>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</si>
  <si>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</si>
  <si>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</si>
  <si>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</si>
  <si>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</si>
  <si>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</si>
  <si>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</si>
  <si>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</si>
  <si>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</si>
  <si>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</si>
  <si>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</si>
  <si>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</si>
  <si>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</si>
  <si>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</si>
  <si>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</si>
  <si>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</si>
  <si>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</si>
  <si>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</si>
  <si>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</si>
  <si>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</si>
  <si>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</si>
  <si>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</si>
  <si>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</si>
  <si>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</si>
  <si>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</si>
  <si>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</si>
  <si>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</si>
  <si>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</si>
  <si>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</si>
  <si>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</si>
  <si>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</si>
  <si>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</si>
  <si>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</si>
  <si>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</si>
  <si>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</si>
  <si>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</si>
  <si>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</si>
  <si>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</si>
  <si>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</si>
  <si>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</si>
  <si>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</si>
  <si>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</si>
  <si>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</si>
  <si>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</si>
  <si>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</si>
  <si>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</si>
  <si>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</si>
  <si>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</si>
  <si>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</si>
  <si>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</si>
  <si>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</si>
  <si>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</si>
  <si>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</si>
  <si>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</si>
  <si>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</si>
  <si>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</si>
  <si>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</si>
  <si>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</si>
  <si>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</si>
  <si>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</si>
  <si>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</si>
  <si>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</si>
  <si>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</si>
  <si>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</si>
  <si>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</si>
  <si>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</si>
  <si>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</si>
  <si>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NVDA US 01/02/26 C200</t>
  </si>
  <si>
    <t>NVDA US 01/02/26 P175</t>
  </si>
  <si>
    <t>NVDA US 01/02/26 P165</t>
  </si>
  <si>
    <t>TSM US 01/16/26 C300</t>
  </si>
  <si>
    <t>TSM US 01/16/26 C330</t>
  </si>
  <si>
    <t>AMZN US 01/16/26 P230</t>
  </si>
  <si>
    <t>AMZN US 01/16/26 C265</t>
  </si>
  <si>
    <t>AMZN US 01/16/26 P215</t>
  </si>
  <si>
    <t>NVDA US 01/02/26 C200 Equity</t>
  </si>
  <si>
    <t>NVDA US 01/02/26 P165 Equity</t>
  </si>
  <si>
    <t>NVDA US 01/02/26 P175 Equity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</si>
  <si>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</si>
  <si>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</si>
  <si>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</si>
  <si>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</si>
  <si>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</si>
  <si>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</si>
  <si>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</si>
  <si>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</si>
  <si>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</si>
  <si>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</si>
  <si>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</si>
  <si>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</si>
  <si>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</si>
  <si>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</si>
  <si>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</si>
  <si>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</si>
  <si>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</si>
  <si>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</si>
  <si>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</si>
  <si>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</si>
  <si>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</si>
  <si>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</si>
  <si>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</si>
  <si>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</si>
  <si>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</si>
  <si>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</si>
  <si>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</si>
  <si>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</si>
  <si>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</si>
  <si>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</si>
  <si>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</si>
  <si>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</si>
  <si>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</si>
  <si>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</si>
  <si>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</si>
  <si>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</si>
  <si>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</si>
  <si>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</si>
  <si>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</si>
  <si>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</si>
  <si>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</si>
  <si>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</si>
  <si>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</si>
  <si>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</si>
  <si>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</si>
  <si>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</si>
  <si>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</si>
  <si>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</si>
  <si>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</si>
  <si>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</si>
  <si>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</si>
  <si>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</si>
  <si>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</si>
  <si>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</si>
  <si>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</si>
  <si>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</si>
  <si>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</si>
  <si>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</si>
  <si>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</si>
  <si>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</si>
  <si>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</si>
  <si>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</si>
  <si>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</si>
  <si>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</si>
  <si>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</si>
  <si>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</si>
  <si>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</si>
  <si>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</si>
  <si>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</si>
  <si>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</si>
  <si>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</si>
  <si>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</si>
  <si>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</si>
  <si>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</si>
  <si>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</si>
  <si>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</si>
  <si>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</si>
  <si>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</si>
  <si>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</si>
  <si>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</si>
  <si>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</si>
  <si>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</si>
  <si>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</si>
  <si>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</si>
  <si>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</si>
  <si>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</si>
  <si>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</si>
  <si>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</si>
  <si>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</si>
  <si>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</si>
  <si>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</si>
  <si>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</si>
  <si>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</si>
  <si>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</si>
  <si>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</si>
  <si>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</si>
  <si>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</si>
  <si>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</si>
  <si>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</si>
  <si>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</si>
  <si>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</si>
  <si>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</si>
  <si>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</si>
  <si>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</si>
  <si>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</si>
  <si>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</si>
  <si>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</si>
  <si>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</si>
  <si>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</si>
  <si>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</si>
  <si>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</si>
  <si>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</si>
  <si>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</si>
  <si>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</si>
  <si>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</si>
  <si>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</si>
  <si>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</si>
  <si>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</si>
  <si>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</si>
  <si>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</si>
  <si>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</si>
  <si>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</si>
  <si>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</si>
  <si>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</si>
  <si>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</si>
  <si>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</si>
  <si>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</si>
  <si>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</si>
  <si>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</si>
  <si>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</si>
  <si>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</si>
  <si>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</si>
  <si>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</si>
  <si>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</si>
  <si>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AVGO DIVIDEND_</t>
  </si>
  <si>
    <t>Cash CNY</t>
  </si>
  <si>
    <t>QQQE DIVIDEND_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</si>
  <si>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</si>
  <si>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</si>
  <si>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</si>
  <si>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</si>
  <si>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</si>
  <si>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</si>
  <si>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</si>
  <si>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</si>
  <si>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</si>
  <si>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</si>
  <si>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</si>
  <si>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</si>
  <si>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</si>
  <si>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</si>
  <si>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</si>
  <si>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SPXW US 12/31/25 C6950 Equity</t>
  </si>
  <si>
    <t>SPXW US Equity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</si>
  <si>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</si>
  <si>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</si>
  <si>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</si>
  <si>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</si>
  <si>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</si>
  <si>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</si>
  <si>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</si>
  <si>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</si>
  <si>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</si>
  <si>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</si>
  <si>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</si>
  <si>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</si>
  <si>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12/31/2025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</si>
  <si>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</si>
  <si>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</si>
  <si>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</si>
  <si>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</si>
  <si>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</si>
  <si>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</si>
  <si>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</si>
  <si>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</si>
  <si>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</si>
  <si>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</si>
  <si>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</si>
  <si>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</si>
  <si>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</si>
  <si>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</si>
  <si>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</si>
  <si>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QQQ US 01/02/26 P614</t>
  </si>
  <si>
    <t>12/30/2025</t>
  </si>
  <si>
    <t>EWZ US 01/16/26 P32</t>
  </si>
  <si>
    <t>EWZ US 01/16/26 P32 Equity</t>
  </si>
  <si>
    <t>QQQ US 01/02/26 P614 Equity</t>
  </si>
  <si>
    <t>QQQ US 01/09/26 P610</t>
  </si>
  <si>
    <t>BIDU</t>
  </si>
  <si>
    <t>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</si>
</sst>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10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3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96" borderId="0" xfId="0" applyFont="1" applyFill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68" fontId="0" fillId="2" borderId="0" xfId="1" applyNumberFormat="1" applyFont="1" applyFill="1"/>
    <xf numFmtId="170" fontId="112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left"/>
    </xf>
    <xf numFmtId="172" fontId="111" fillId="0" borderId="0" xfId="0" applyNumberFormat="1" applyFont="1" applyFill="1" applyAlignment="1"/>
    <xf numFmtId="10" fontId="111" fillId="0" borderId="0" xfId="0" applyNumberFormat="1" applyFont="1" applyFill="1" applyAlignment="1"/>
    <xf numFmtId="0" fontId="111" fillId="0" borderId="0" xfId="0" applyFont="1" applyFill="1" applyAlignment="1">
      <alignment horizontal="left" indent="1"/>
    </xf>
    <xf numFmtId="170" fontId="111" fillId="0" borderId="0" xfId="0" applyNumberFormat="1" applyFont="1" applyFill="1" applyAlignment="1"/>
    <xf numFmtId="10" fontId="111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center" vertical="center" wrapText="1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5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-0.15383772552013397</v>
        <stp/>
        <stp>BDP|7089862060470095058|22</stp>
        <stp>TSM US 03/20/26 C300 Equity</stp>
        <stp>theta_mid_rt</stp>
        <tr r="AN27" s="2"/>
      </tp>
      <tp>
        <v>-0.37844362854957581</v>
        <stp/>
        <stp>BDP|6579755268139505027|22</stp>
        <stp>QQQ US 01/09/26 P610 Equity</stp>
        <stp>theta_mid_rt</stp>
        <tr r="AN17" s="2"/>
      </tp>
      <tp>
        <v>26338.47</v>
        <stp/>
        <stp>BDP|17098946093906753306|22</stp>
        <stp>HSI Index</stp>
        <stp>LAST_PRICE</stp>
        <tr r="H18" s="252"/>
        <tr r="H18" s="252"/>
      </tp>
      <tp>
        <v>22.25</v>
        <stp/>
        <stp>BDP|3309468697196509506|22</stp>
        <stp>META US 04/17/26 P600 Equity</stp>
        <stp>ask</stp>
        <tr r="L180" s="89"/>
        <tr r="Q10" s="2"/>
      </tp>
      <tp>
        <v>373.36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0.46</v>
        <stp/>
        <stp>BDP|6575947464128054474|22</stp>
        <stp>NVDA US 01/09/26 C200 Equity</stp>
        <stp>mid</stp>
        <tr r="L24" s="2"/>
      </tp>
      <tp>
        <v>4.258458036929369E-3</v>
        <stp/>
        <stp>BDP|9106857053131827566|22</stp>
        <stp>SPXW US 12/31/25 C6950 Index</stp>
        <stp>DELTA_MID_RT</stp>
        <tr r="W160" s="89"/>
      </tp>
      <tp>
        <v>4.2</v>
        <stp/>
        <stp>BDP|7095348905275827175|22</stp>
        <stp>AMZN US 03/20/26 P200 Equity</stp>
        <stp>ask</stp>
        <tr r="L197" s="89"/>
      </tp>
      <tp>
        <v>0.42501562833786011</v>
        <stp/>
        <stp>BDP|16080044180315030458|22</stp>
        <stp>META US 04/17/26 C690 Equity</stp>
        <stp>DELTA_MID_RT</stp>
        <tr r="AF9" s="2"/>
        <tr r="W170" s="89"/>
        <tr r="W179" s="89"/>
      </tp>
      <tp>
        <v>0.2536272406578064</v>
        <stp/>
        <stp>BDP|10294638169479339709|22</stp>
        <stp>AMZN US 03/20/26 C255 Equity</stp>
        <stp>DELTA_MID_RT</stp>
        <tr r="W195" s="89"/>
      </tp>
      <tp t="s">
        <v>#N/A N/A</v>
        <stp/>
        <stp>BDP|11300741965508391655|22</stp>
        <stp>4OZ5C 25750 Index</stp>
        <stp>ask</stp>
        <tr r="L153" s="89"/>
        <tr r="L154" s="89"/>
      </tp>
      <tp>
        <v>-0.16050773859024048</v>
        <stp/>
        <stp>BDP|4229576050417615933|22</stp>
        <stp>TSM US 03/20/26 C330 Equity</stp>
        <stp>theta_mid_rt</stp>
        <tr r="AN28" s="2"/>
      </tp>
      <tp t="s">
        <v>#N/A Real Time</v>
        <stp/>
        <stp>BDP|16888886214969650580|22</stp>
        <stp>AMZN US 10/03/25 P220 Equity</stp>
        <stp>DELTA_MID_RT</stp>
        <tr r="W248" s="89"/>
      </tp>
      <tp>
        <v>0.14000000000000001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>
        <v>0.4775128960609436</v>
        <stp/>
        <stp>BDP|594663736070453413|22</stp>
        <stp>TSM US 03/20/26 C330 Equity</stp>
        <stp>DELTA_MID_RT</stp>
        <tr r="W14" s="89"/>
        <tr r="AF28" s="2"/>
      </tp>
      <tp t="s">
        <v>#N/A Real Time</v>
        <stp/>
        <stp>BDP|4173700437419483715|22</stp>
        <stp>IMBWK5C4 5880 Index</stp>
        <stp>bid</stp>
        <tr r="K90" s="89"/>
      </tp>
      <tp>
        <v>14.35</v>
        <stp/>
        <stp>BDP|2905463583307910060|22</stp>
        <stp>META US 04/17/26 P570 Equity</stp>
        <stp>ask</stp>
        <tr r="L234" s="89"/>
        <tr r="Q11" s="2"/>
      </tp>
      <tp>
        <v>-0.19605813920497894</v>
        <stp/>
        <stp>BDP|16178066503720423746|22</stp>
        <stp>META US 04/17/26 P570 Equity</stp>
        <stp>DELTA_MID_RT</stp>
        <tr r="W234" s="89"/>
        <tr r="AF11" s="2"/>
      </tp>
      <tp t="s">
        <v>USD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5" s="2"/>
        <tr r="F50" s="89"/>
      </tp>
      <tp>
        <v>19.5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-0.2520679235458374</v>
        <stp/>
        <stp>BDP|11545238209792372403|22</stp>
        <stp>NFLX US 03/20/26 P83 Equity</stp>
        <stp>DELTA_MID_RT</stp>
        <tr r="AF23" s="2"/>
        <tr r="W205" s="89"/>
      </tp>
      <tp>
        <v>5.3</v>
        <stp/>
        <stp>BDP|2625818374220724115|22</stp>
        <stp>MSFT US 06/18/26 C585 Equity</stp>
        <stp>ask</stp>
        <tr r="L211" s="89"/>
      </tp>
      <tp>
        <v>47.1</v>
        <stp/>
        <stp>BDP|4238048935133024019|22</stp>
        <stp>AVGO US 06/18/26 C350 Equity</stp>
        <stp>mid</stp>
        <tr r="L5" s="2"/>
      </tp>
      <tp>
        <v>0.15</v>
        <stp/>
        <stp>BDP|9463483746644048287|22</stp>
        <stp>NVDA US 01/09/26 C205 Equity</stp>
        <stp>ask</stp>
        <tr r="L19" s="89"/>
      </tp>
      <tp>
        <v>19.05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0.39402821660041809</v>
        <stp/>
        <stp>BDP|12418268095423708895|22</stp>
        <stp>LITE US 02/20/26 C450 Equity</stp>
        <stp>DELTA_MID_RT</stp>
        <tr r="AF7" s="2"/>
        <tr r="W27" s="89"/>
      </tp>
      <tp>
        <v>19.45</v>
        <stp/>
        <stp>BDP|9672137993486514352|22</stp>
        <stp>FSLR US 03/20/26 C290 Equity</stp>
        <stp>bid</stp>
        <tr r="K33" s="89"/>
      </tp>
      <tp>
        <v>8.1</v>
        <stp/>
        <stp>BDP|7193738401945199132|22</stp>
        <stp>MSFT US 03/20/26 C515 Equity</stp>
        <stp>bid</stp>
        <tr r="P18" s="2"/>
      </tp>
      <tp t="s">
        <v>#N/A Real Time</v>
        <stp/>
        <stp>BDP|2533983096932488351|22</stp>
        <stp>RTYWU5C3 2425 Index</stp>
        <stp>bid</stp>
        <tr r="K144" s="89"/>
      </tp>
      <tp>
        <v>54.93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16.2</v>
        <stp/>
        <stp>BDP|5417705247970728008|22</stp>
        <stp>MSFT US 03/20/26 C490 Equity</stp>
        <stp>bid</stp>
        <tr r="P19" s="2"/>
      </tp>
      <tp>
        <v>472.94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4.1500000000000004</v>
        <stp/>
        <stp>BDP|4838578616048464597|22</stp>
        <stp>AMZN US 03/20/26 P200 Equity</stp>
        <stp>bid</stp>
        <tr r="K197" s="89"/>
      </tp>
      <tp t="s">
        <v>#N/A N/A</v>
        <stp/>
        <stp>BDP|627334566685055813|22</stp>
        <stp>4OZ5C 25750 Index</stp>
        <stp>DELTA_MID_RT</stp>
        <tr r="W153" s="89"/>
        <tr r="W154" s="89"/>
      </tp>
      <tp>
        <v>0</v>
        <stp/>
        <stp>BDP|1362504956415505755|22</stp>
        <stp>QQQ US 01/02/26 P614 Equity</stp>
        <stp>theta_mid_rt</stp>
        <tr r="AN16" s="2"/>
      </tp>
      <tp t="s">
        <v>USD</v>
        <stp/>
        <stp>BDP|8782081952628649013|22</stp>
        <stp>MRVL US 03/20/26 P90 Equity</stp>
        <stp>QUOTED_CURRENCY_REALTIME</stp>
        <tr r="G12" s="2"/>
      </tp>
      <tp t="s">
        <v>USD</v>
        <stp/>
        <stp>BDP|7525271008399615963|22</stp>
        <stp>MRVL US 03/20/26 P80 Equity</stp>
        <stp>QUOTED_CURRENCY_REALTIME</stp>
        <tr r="G14" s="2"/>
        <tr r="F56" s="89"/>
      </tp>
      <tp>
        <v>-0.42618903517723083</v>
        <stp/>
        <stp>BDP|14063713080232141765|22</stp>
        <stp>NFLX US 03/20/26 P90 Equity</stp>
        <stp>DELTA_MID_RT</stp>
        <tr r="W187" s="89"/>
      </tp>
      <tp>
        <v>373.36</v>
        <stp/>
        <stp>BDP|7974191239869249641|22</stp>
        <stp>SMH Equity</stp>
        <stp>LAST_PRICE</stp>
        <tr r="I28" s="1"/>
      </tp>
      <tp>
        <v>65.239999999999995</v>
        <stp/>
        <stp>BDP|3505174117914270567|22</stp>
        <stp>KRE Equity</stp>
        <stp>LAST PRICE</stp>
        <tr r="I54" s="338"/>
      </tp>
      <tp>
        <v>0.53216063976287842</v>
        <stp/>
        <stp>BDP|18353628177462926305|22</stp>
        <stp>LITE US 02/20/26 C400 Equity</stp>
        <stp>DELTA_MID_RT</stp>
        <tr r="AF6" s="2"/>
        <tr r="W26" s="89"/>
      </tp>
      <tp>
        <v>248.78</v>
        <stp/>
        <stp>BDP|9630309169962502325|22</stp>
        <stp>IWM Equity</stp>
        <stp>LAST PRICE</stp>
        <tr r="I48" s="338"/>
        <tr r="I49" s="338"/>
      </tp>
      <tp>
        <v>8.1999999999999993</v>
        <stp/>
        <stp>BDP|8205096055982383319|22</stp>
        <stp>MSFT US 03/20/26 C515 Equity</stp>
        <stp>mid</stp>
        <tr r="L18" s="2"/>
      </tp>
      <tp>
        <v>19.350000000000001</v>
        <stp/>
        <stp>BDP|2923899285165842182|22</stp>
        <stp>MSFT US 06/18/26 C515 Equity</stp>
        <stp>bid</stp>
        <tr r="K212" s="89"/>
      </tp>
      <tp>
        <v>11.1</v>
        <stp/>
        <stp>BDP|6135114234144854035|22</stp>
        <stp>FSLR US 03/20/26 C320 Equity</stp>
        <stp>ask</stp>
        <tr r="L34" s="89"/>
      </tp>
      <tp>
        <v>0.46471107006072998</v>
        <stp/>
        <stp>BDP|14172413379309394652|22</stp>
        <stp>FSLR US 03/20/26 C290 Equity</stp>
        <stp>DELTA_MID_RT</stp>
        <tr r="W33" s="89"/>
      </tp>
      <tp t="s">
        <v>#N/A Requesting Data...3642682099</v>
        <stp/>
        <stp>BDP|15582332073698885344</stp>
        <tr r="G19" s="446"/>
      </tp>
      <tp t="s">
        <v>#N/A Requesting Data...3214175975</v>
        <stp/>
        <stp>BDP|18146375769712507536</stp>
        <tr r="E2" s="1"/>
      </tp>
      <tp t="s">
        <v>#N/A Requesting Data...785229417</v>
        <stp/>
        <stp>BDP|13135230879275111937</stp>
        <tr r="AJ12" s="338"/>
      </tp>
      <tp t="s">
        <v>#N/A Requesting Data...2256924600</v>
        <stp/>
        <stp>BDP|17278629169738623577</stp>
        <tr r="N19" s="252"/>
        <tr r="N19" s="252"/>
      </tp>
      <tp t="s">
        <v>#N/A Requesting Data...2086726846</v>
        <stp/>
        <stp>BDP|15581562198526337530</stp>
        <tr r="AK12" s="338"/>
      </tp>
      <tp t="s">
        <v>#N/A Requesting Data...3256751444</v>
        <stp/>
        <stp>BDP|12157321975964875845</stp>
        <tr r="AG29" s="1"/>
      </tp>
      <tp t="s">
        <v>#N/A Requesting Data...1678076379</v>
        <stp/>
        <stp>BDP|13286384604342093849</stp>
        <tr r="X45" s="338"/>
      </tp>
      <tp t="s">
        <v>#N/A Requesting Data...3901713142</v>
        <stp/>
        <stp>BDP|15717048336038730484</stp>
        <tr r="AD20" s="2"/>
      </tp>
      <tp t="s">
        <v>#N/A Requesting Data...1169960203</v>
        <stp/>
        <stp>BDP|15599247768549271262</stp>
        <tr r="AD18" s="2"/>
      </tp>
      <tp t="s">
        <v>#N/A Requesting Data...1196319144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Data...1733445007</v>
        <stp/>
        <stp>BDP|18304888293894101754</stp>
        <tr r="S9" s="338"/>
      </tp>
      <tp t="s">
        <v>#N/A Requesting Data...3143382659</v>
        <stp/>
        <stp>BDP|10639276692284852548</stp>
        <tr r="F28" s="446"/>
      </tp>
      <tp t="s">
        <v>#N/A Requesting Data...3214337160</v>
        <stp/>
        <stp>BDP|10905454282945565359</stp>
        <tr r="AR28" s="2"/>
      </tp>
      <tp t="s">
        <v>#N/A Requesting Data...769501493</v>
        <stp/>
        <stp>BDP|10749518787913680498</stp>
        <tr r="G41" s="446"/>
      </tp>
      <tp t="s">
        <v>#N/A Requesting Data...3602454401</v>
        <stp/>
        <stp>BDP|15491877244086779510</stp>
        <tr r="C90" s="89"/>
      </tp>
      <tp t="s">
        <v>#N/A Requesting Data...2238674883</v>
        <stp/>
        <stp>BDP|15695611486636466754</stp>
        <tr r="D19" s="89"/>
      </tp>
      <tp t="s">
        <v>#N/A Requesting Data...875692317</v>
        <stp/>
        <stp>BDP|14781319439677828976</stp>
        <tr r="T251" s="89"/>
      </tp>
      <tp t="s">
        <v>#N/A Requesting Data...868628085</v>
        <stp/>
        <stp>BDP|12497145892616892699</stp>
        <tr r="D102" s="89"/>
      </tp>
      <tp t="s">
        <v>#N/A Requesting Data...2003103643</v>
        <stp/>
        <stp>BDP|11965805839973703340</stp>
        <tr r="E19" s="2"/>
      </tp>
      <tp t="s">
        <v>#N/A Requesting Data...2246554264</v>
        <stp/>
        <stp>BDP|14492417491683249054</stp>
        <tr r="AJ41" s="338"/>
        <tr r="AJ42" s="338"/>
      </tp>
      <tp t="s">
        <v>#N/A Requesting Data...2330893277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Data...3249048284</v>
        <stp/>
        <stp>BDP|10020321410941159965</stp>
        <tr r="S42" s="338"/>
      </tp>
      <tp t="s">
        <v>#N/A Requesting Data...4046888213</v>
        <stp/>
        <stp>BDP|14174870413090246721</stp>
        <tr r="C8" s="2"/>
      </tp>
      <tp t="s">
        <v>#N/A Requesting Data...1356755245</v>
        <stp/>
        <stp>BDP|11794748141588350041</stp>
        <tr r="AJ8" s="338"/>
        <tr r="AJ9" s="338"/>
      </tp>
      <tp t="s">
        <v>#N/A Requesting Data...3031826800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Data...2990734194</v>
        <stp/>
        <stp>BDP|16761382649589718257</stp>
        <tr r="F27" s="446"/>
      </tp>
      <tp t="s">
        <v>#N/A Requesting Data...4252210458</v>
        <stp/>
        <stp>BDP|10560430593062313514</stp>
        <tr r="AG20" s="1"/>
      </tp>
      <tp t="s">
        <v>#N/A Requesting Data...1836279381</v>
        <stp/>
        <stp>BDP|17040348766131332977</stp>
        <tr r="AA34" s="89"/>
        <tr r="Z34" s="89"/>
      </tp>
      <tp t="s">
        <v>#N/A Requesting Data...3040738303</v>
        <stp/>
        <stp>BDP|16840971447896964779</stp>
        <tr r="C153" s="89"/>
        <tr r="C154" s="89"/>
      </tp>
      <tp t="s">
        <v>#N/A Requesting Data...894652372</v>
        <stp/>
        <stp>BDP|13546818454494181070</stp>
        <tr r="AC20" s="1"/>
      </tp>
      <tp t="s">
        <v>#N/A Requesting Data...753202113</v>
        <stp/>
        <stp>BDP|16413497781327959736</stp>
        <tr r="AA203" s="89"/>
        <tr r="Z203" s="89"/>
      </tp>
      <tp t="e">
        <v>#N/A</v>
        <stp/>
        <stp>BDH|13731285529618725134</stp>
        <tr r="AM18" s="338"/>
        <tr r="AM17" s="338"/>
      </tp>
      <tp t="e">
        <v>#N/A</v>
        <stp/>
        <stp>BDH|10097910716274795641</stp>
        <tr r="W18" s="252"/>
        <tr r="T18" s="252"/>
      </tp>
      <tp t="s">
        <v>#N/A Real Time</v>
        <stp/>
        <stp>BDP|14244088115833890454|22</stp>
        <stp>SCH5C   6250 Index</stp>
        <stp>DELTA_MID_RT</stp>
        <tr r="W96" s="89"/>
      </tp>
      <tp>
        <v>0.38394716382026672</v>
        <stp/>
        <stp>BDP|15091267836171787049|22</stp>
        <stp>AVGO US 06/18/26 C410 Equity</stp>
        <stp>DELTA_MID_RT</stp>
        <tr r="W222" s="89"/>
        <tr r="AF4" s="2"/>
      </tp>
      <tp>
        <v>22.1</v>
        <stp/>
        <stp>BDP|9892279240398643988|22</stp>
        <stp>AVGO US 06/18/26 P300 Equity</stp>
        <stp>bid</stp>
        <tr r="K224" s="89"/>
      </tp>
      <tp>
        <v>0.23273642361164093</v>
        <stp/>
        <stp>BDP|15345195851714362356|22</stp>
        <stp>NFLX US 03/20/26 C105 Equity</stp>
        <stp>DELTA_MID_RT</stp>
        <tr r="W186" s="89"/>
      </tp>
      <tp t="s">
        <v>#N/A Requesting Data...2903283604</v>
        <stp/>
        <stp>BDP|13820455668649882341</stp>
        <tr r="Q30" s="338"/>
      </tp>
      <tp t="s">
        <v>#N/A Requesting Data...746286992</v>
        <stp/>
        <stp>BDP|14708527546846978837</stp>
        <tr r="F22" s="446"/>
      </tp>
      <tp t="s">
        <v>#N/A Requesting Data...2353258788</v>
        <stp/>
        <stp>BDP|17382508591454336498</stp>
        <tr r="F10" s="446"/>
      </tp>
      <tp t="s">
        <v>#N/A Requesting Data...683725201</v>
        <stp/>
        <stp>BDP|16678216489131642600</stp>
        <tr r="AR16" s="2"/>
      </tp>
      <tp t="s">
        <v>#N/A Requesting Data...1613313027</v>
        <stp/>
        <stp>BDP|15393992280169008616</stp>
        <tr r="F24" s="446"/>
      </tp>
      <tp t="s">
        <v>#N/A Requesting Data...4139036411</v>
        <stp/>
        <stp>BDP|17538921220052801541</stp>
        <tr r="AA187" s="89"/>
        <tr r="Z187" s="89"/>
      </tp>
      <tp t="s">
        <v>#N/A Requesting Data...2368916936</v>
        <stp/>
        <stp>BDP|10256865635189905931</stp>
        <tr r="AC17" s="1"/>
        <tr r="D26" s="446"/>
      </tp>
      <tp t="s">
        <v>#N/A Requesting Data...1044717324</v>
        <stp/>
        <stp>BDP|16326536432018842310</stp>
        <tr r="E102" s="89"/>
      </tp>
      <tp t="s">
        <v>#N/A Requesting Data...595714377</v>
        <stp/>
        <stp>BDP|15999422797854397750</stp>
        <tr r="V14" s="89"/>
        <tr r="AD28" s="2"/>
      </tp>
      <tp t="s">
        <v>#N/A Requesting Data...2161755252</v>
        <stp/>
        <stp>BDP|16607222569391223851</stp>
        <tr r="E205" s="89"/>
      </tp>
      <tp t="s">
        <v>#N/A Requesting Data...3445303182</v>
        <stp/>
        <stp>BDP|12774702825338715487</stp>
        <tr r="Q15" s="338"/>
        <tr r="Q39" s="338"/>
      </tp>
      <tp t="s">
        <v>#N/A Requesting Data...3973983298</v>
        <stp/>
        <stp>BDP|14305045698741171731</stp>
        <tr r="V50" s="89"/>
        <tr r="AD15" s="2"/>
      </tp>
      <tp t="s">
        <v>#N/A Requesting Data...3942640822</v>
        <stp/>
        <stp>BDP|10846290148809317467</stp>
        <tr r="T47" s="338"/>
      </tp>
      <tp t="s">
        <v>#N/A Requesting Data...3520378828</v>
        <stp/>
        <stp>BDP|17908300451053627923</stp>
        <tr r="C15" s="2"/>
      </tp>
      <tp t="s">
        <v>#N/A Requesting Data...2161274534</v>
        <stp/>
        <stp>BDP|13999333848049988672</stp>
        <tr r="Q17" s="338"/>
      </tp>
      <tp t="s">
        <v>#N/A N/A</v>
        <stp/>
        <stp>BDP|15319109960459527098</stp>
        <tr r="AC24" s="2"/>
      </tp>
      <tp t="s">
        <v>#N/A Requesting Data...1356984522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Data...1052360461</v>
        <stp/>
        <stp>BDP|14945010294650760658</stp>
        <tr r="L37" s="338"/>
        <tr r="H37" s="338"/>
      </tp>
      <tp t="s">
        <v>#N/A Requesting Data...1178313210</v>
        <stp/>
        <stp>BDP|14401677888193175241</stp>
        <tr r="C246" s="89"/>
      </tp>
      <tp t="s">
        <v>#N/A Requesting Data...2613868679</v>
        <stp/>
        <stp>BDP|13363757724624533992</stp>
        <tr r="E62" s="89"/>
      </tp>
      <tp t="s">
        <v>#N/A Requesting Data...2366842326</v>
        <stp/>
        <stp>BDP|12625403616855824991</stp>
        <tr r="F15" s="446"/>
      </tp>
      <tp t="s">
        <v>#N/A Requesting Data...568151178</v>
        <stp/>
        <stp>BDP|14416377574372571935</stp>
        <tr r="D101" s="89"/>
      </tp>
      <tp t="s">
        <v>#N/A Requesting Data...3476090353</v>
        <stp/>
        <stp>BDP|13276792298613653556</stp>
        <tr r="D40" s="89"/>
      </tp>
      <tp t="s">
        <v>#N/A Requesting Data...747817925</v>
        <stp/>
        <stp>BDP|17309506465599774625</stp>
        <tr r="C16" s="2"/>
      </tp>
      <tp t="s">
        <v>#N/A Requesting Data...1334371386</v>
        <stp/>
        <stp>BDP|10942621120688011798</stp>
        <tr r="V55" s="338"/>
      </tp>
      <tp t="s">
        <v>#N/A Requesting Data...2175725272</v>
        <stp/>
        <stp>BDP|10438957359646941138</stp>
        <tr r="F22" s="2"/>
      </tp>
      <tp t="s">
        <v>#N/A Requesting Data...3336109040</v>
        <stp/>
        <stp>BDP|14853590894083718008</stp>
        <tr r="V12" s="338"/>
      </tp>
      <tp t="s">
        <v>#N/A Requesting Data...617570784</v>
        <stp/>
        <stp>BDP|17077564961768568704</stp>
        <tr r="O26" s="89"/>
        <tr r="T6" s="2"/>
      </tp>
      <tp t="s">
        <v>#N/A Requesting Data...3346783135</v>
        <stp/>
        <stp>BDP|18215029187872028927</stp>
        <tr r="F6" s="2"/>
      </tp>
      <tp t="s">
        <v>#N/A Requesting Data...2666689839</v>
        <stp/>
        <stp>BDP|13154673264950579831</stp>
        <tr r="P8" s="338"/>
      </tp>
      <tp t="s">
        <v>#N/A Requesting Data...3707828122</v>
        <stp/>
        <stp>BDP|18352383299971018866</stp>
        <tr r="V96" s="89"/>
      </tp>
      <tp t="s">
        <v>#N/A Requesting Data...2293618248</v>
        <stp/>
        <stp>BDP|18149202901248495937</stp>
        <tr r="AH8" s="338"/>
        <tr r="AH9" s="338"/>
      </tp>
      <tp t="s">
        <v>#N/A Requesting Data...727938736</v>
        <stp/>
        <stp>BDP|17812279814258546797</stp>
        <tr r="U12" s="338"/>
      </tp>
      <tp t="s">
        <v>#N/A Requesting Data...2021236883</v>
        <stp/>
        <stp>BDP|13250912556617169339</stp>
        <tr r="AR17" s="2"/>
      </tp>
      <tp t="s">
        <v>#N/A Requesting Data...565528075</v>
        <stp/>
        <stp>BDP|16354487536428919237</stp>
        <tr r="P36" s="338"/>
      </tp>
      <tp t="s">
        <v>#N/A Requesting Data...2844249752</v>
        <stp/>
        <stp>BDP|12938986196201541855</stp>
        <tr r="T9" s="338"/>
      </tp>
      <tp t="s">
        <v>#N/A Requesting Data...1158722047</v>
        <stp/>
        <stp>BDP|15454066697646300108</stp>
        <tr r="E50" s="89"/>
      </tp>
      <tp t="s">
        <v>#N/A Requesting Data...2855415741</v>
        <stp/>
        <stp>BDP|17486908537523033556</stp>
        <tr r="E180" s="89"/>
      </tp>
      <tp t="s">
        <v>#N/A Requesting Data...2125605912</v>
        <stp/>
        <stp>BDP|12631196112900993923</stp>
        <tr r="AG12" s="1"/>
      </tp>
      <tp t="e">
        <v>#N/A</v>
        <stp/>
        <stp>BDH|17490573987015595441</stp>
        <tr r="AP35" s="338"/>
        <tr r="AP14" s="338"/>
      </tp>
      <tp>
        <v>0.25388675928115845</v>
        <stp/>
        <stp>BDP|12284451367225788413|22</stp>
        <stp>NVDA US 01/09/26 C195 Equity</stp>
        <stp>DELTA_MID_RT</stp>
        <tr r="W20" s="89"/>
      </tp>
      <tp t="s">
        <v>#N/A Requesting Data...1531924819</v>
        <stp/>
        <stp>BDP|16382697175628205742</stp>
        <tr r="K2" s="2"/>
        <tr r="J1" s="24"/>
      </tp>
      <tp t="s">
        <v>#N/A Requesting Data...1768085046</v>
        <stp/>
        <stp>BDP|12568958234819466988</stp>
        <tr r="AI40" s="1"/>
      </tp>
      <tp t="s">
        <v>#N/A Requesting Data...3791097106</v>
        <stp/>
        <stp>BDP|17385710498579702850</stp>
        <tr r="AD16" s="2"/>
      </tp>
      <tp t="s">
        <v>#N/A Requesting Data...1081034623</v>
        <stp/>
        <stp>BDP|14534507482414865574</stp>
        <tr r="AF17" s="338"/>
        <tr r="AF18" s="338"/>
      </tp>
      <tp t="s">
        <v>#N/A Requesting Data...2016564574</v>
        <stp/>
        <stp>BDP|18104805924642791891</stp>
        <tr r="AK9" s="338"/>
      </tp>
      <tp t="s">
        <v>#N/A Requesting Data...3765324053</v>
        <stp/>
        <stp>BDP|10396685625528096440</stp>
        <tr r="AA19" s="2"/>
      </tp>
      <tp t="s">
        <v>#N/A Requesting Data...3069619876</v>
        <stp/>
        <stp>BDP|18319033186521864931</stp>
        <tr r="T224" s="89"/>
      </tp>
      <tp t="s">
        <v>#N/A Requesting Data...1771038843</v>
        <stp/>
        <stp>BDP|11421352885480139296</stp>
        <tr r="AK18" s="338"/>
      </tp>
      <tp t="s">
        <v>#N/A Requesting Data...3567629046</v>
        <stp/>
        <stp>BDP|11715737354462899964</stp>
        <tr r="Z240" s="89"/>
        <tr r="AA240" s="89"/>
      </tp>
      <tp t="s">
        <v>#N/A Requesting Data...3545861885</v>
        <stp/>
        <stp>BDP|14368247967240567849</stp>
        <tr r="AK48" s="338"/>
        <tr r="AK49" s="338"/>
      </tp>
      <tp t="s">
        <v>#N/A Requesting Data...3816185860</v>
        <stp/>
        <stp>BDP|14316343546182952997</stp>
        <tr r="O249" s="89"/>
      </tp>
      <tp t="s">
        <v>#N/A Requesting Data...3073372793</v>
        <stp/>
        <stp>BDP|18355353104331140221</stp>
        <tr r="E6" s="1"/>
      </tp>
      <tp t="s">
        <v>#N/A Requesting Data...3426155923</v>
        <stp/>
        <stp>BDP|14339764599746958441</stp>
        <tr r="L14" s="252"/>
        <tr r="L14" s="252"/>
      </tp>
      <tp t="s">
        <v>#N/A Requesting Data...3535139492</v>
        <stp/>
        <stp>BDP|15036556953368458526</stp>
        <tr r="AD19" s="2"/>
      </tp>
      <tp t="s">
        <v>#N/A Requesting Data...999178936</v>
        <stp/>
        <stp>BDP|13273727322169541747</stp>
        <tr r="S31" s="338"/>
      </tp>
      <tp t="s">
        <v>#N/A Requesting Data...945600850</v>
        <stp/>
        <stp>BDP|18059086409648276807</stp>
        <tr r="X13" s="338"/>
      </tp>
      <tp t="s">
        <v>#N/A Requesting Data...2713452811</v>
        <stp/>
        <stp>BDP|14077436120512876887</stp>
        <tr r="AH14" s="338"/>
        <tr r="AH35" s="338"/>
      </tp>
      <tp t="s">
        <v>#N/A Requesting Data...2885682853</v>
        <stp/>
        <stp>BDP|15744958059654008590</stp>
        <tr r="M11" s="252"/>
      </tp>
      <tp t="s">
        <v>#N/A Requesting Data...2230627615</v>
        <stp/>
        <stp>BDP|13764746767088740261</stp>
        <tr r="O75" s="89"/>
      </tp>
      <tp t="s">
        <v>#N/A Requesting Data...4244373766</v>
        <stp/>
        <stp>BDP|13690707356499397067</stp>
        <tr r="AG42" s="338"/>
      </tp>
      <tp t="s">
        <v>#N/A Requesting Data...3689474356</v>
        <stp/>
        <stp>BDP|12538321051928445466</stp>
        <tr r="AR14" s="2"/>
      </tp>
      <tp t="s">
        <v>#N/A Requesting Data...3218458707</v>
        <stp/>
        <stp>BDP|13052160308013823928</stp>
        <tr r="L16" s="252"/>
        <tr r="L16" s="252"/>
      </tp>
      <tp t="s">
        <v>#N/A Requesting Data...1734680240</v>
        <stp/>
        <stp>BDP|10630112845779481422</stp>
        <tr r="T8" s="338"/>
      </tp>
      <tp t="s">
        <v>#N/A Requesting Data...4069099381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Data...1258590452</v>
        <stp/>
        <stp>BDP|11063060845774468912</stp>
        <tr r="AC32" s="1"/>
        <tr r="AC33" s="1"/>
        <tr r="AC34" s="1"/>
      </tp>
      <tp t="s">
        <v>#N/A Real Time</v>
        <stp/>
        <stp>BDP|3928061582338749570|22</stp>
        <stp>MRYWZ4C4 2390 Index</stp>
        <stp>bid</stp>
        <tr r="K129" s="89"/>
      </tp>
      <tp>
        <v>-0.25467675924301147</v>
        <stp/>
        <stp>BDP|2421779619689488975|22</stp>
        <stp>SMH US 01/09/26 P355 Equity</stp>
        <stp>theta_mid_rt</stp>
        <tr r="AN25" s="2"/>
      </tp>
      <tp>
        <v>13.95</v>
        <stp/>
        <stp>BDP|9695385927126309796|22</stp>
        <stp>MSFT US 06/18/26 P425 Equity</stp>
        <stp>bid</stp>
        <tr r="K213" s="89"/>
      </tp>
      <tp>
        <v>29.5</v>
        <stp/>
        <stp>BDP|7714122722548381834|22</stp>
        <stp>LITE US 02/20/26 C450 Equity</stp>
        <stp>bid</stp>
        <tr r="P7" s="2"/>
        <tr r="K27" s="89"/>
      </tp>
      <tp t="s">
        <v>#N/A Requesting Data...1052863765</v>
        <stp/>
        <stp>BDP|13108014284305863746</stp>
        <tr r="AH29" s="338"/>
        <tr r="AH30" s="338"/>
        <tr r="AJ29" s="338"/>
        <tr r="AJ30" s="338"/>
      </tp>
      <tp t="s">
        <v>#N/A Requesting Data...1209178058</v>
        <stp/>
        <stp>BDP|14894030105439393467</stp>
        <tr r="V20" s="89"/>
      </tp>
      <tp t="s">
        <v>#N/A Requesting Data...1649707628</v>
        <stp/>
        <stp>BDP|18084144309549296940</stp>
        <tr r="X46" s="338"/>
      </tp>
      <tp t="s">
        <v>#N/A Requesting Data...2890987642</v>
        <stp/>
        <stp>BDP|14080496093764135415</stp>
        <tr r="P8" s="252"/>
      </tp>
      <tp t="s">
        <v>#N/A Requesting Data...4155149421</v>
        <stp/>
        <stp>BDP|10469212719789254341</stp>
        <tr r="T211" s="89"/>
      </tp>
      <tp t="s">
        <v>#N/A Requesting Data...1841679154</v>
        <stp/>
        <stp>BDP|13667922398723991985</stp>
        <tr r="O8" s="252"/>
      </tp>
      <tp t="s">
        <v>#N/A Requesting Data...2244212645</v>
        <stp/>
        <stp>BDP|16527121759592641949</stp>
        <tr r="O39" s="89"/>
      </tp>
      <tp t="s">
        <v>#N/A Requesting Data...2442536639</v>
        <stp/>
        <stp>BDP|11569233714862664985</stp>
        <tr r="E13" s="2"/>
      </tp>
      <tp t="s">
        <v>#N/A Requesting Data...2054912076</v>
        <stp/>
        <stp>BDP|14084731383605893774</stp>
        <tr r="T30" s="338"/>
      </tp>
      <tp t="s">
        <v>#N/A Requesting Data...2857803477</v>
        <stp/>
        <stp>BDP|17920955902274781369</stp>
        <tr r="AK13" s="338"/>
      </tp>
      <tp t="s">
        <v>#N/A Requesting Data...3885949899</v>
        <stp/>
        <stp>BDP|15814817125237185133</stp>
        <tr r="AK11" s="338"/>
      </tp>
      <tp t="s">
        <v>#N/A Requesting Data...3425966348</v>
        <stp/>
        <stp>BDP|10683822754613362720</stp>
        <tr r="C89" s="89"/>
      </tp>
      <tp t="s">
        <v>#N/A Requesting Data...3579405961</v>
        <stp/>
        <stp>BDP|14905890171093180111</stp>
        <tr r="U18" s="338"/>
      </tp>
      <tp t="s">
        <v>#N/A Requesting Data...3438069114</v>
        <stp/>
        <stp>BDP|12314311989030851024</stp>
        <tr r="T180" s="89"/>
        <tr r="AA10" s="2"/>
      </tp>
      <tp t="s">
        <v>#N/A Requesting Data...3739881473</v>
        <stp/>
        <stp>BDP|17719503394081403362</stp>
        <tr r="AH37" s="338"/>
        <tr r="AJ37" s="338"/>
      </tp>
      <tp t="s">
        <v>#N/A Requesting Data...1783014065</v>
        <stp/>
        <stp>BDP|17044382506838828560</stp>
        <tr r="D13" s="89"/>
      </tp>
      <tp t="s">
        <v>#N/A Requesting Data...881954077</v>
        <stp/>
        <stp>BDP|12571041380342291138</stp>
        <tr r="F34" s="446"/>
      </tp>
      <tp t="s">
        <v>#N/A Requesting Data...3636003825</v>
        <stp/>
        <stp>BDP|14302876662311636239</stp>
        <tr r="O34" s="89"/>
      </tp>
      <tp t="s">
        <v>#N/A Requesting Data...2986972843</v>
        <stp/>
        <stp>BDP|16648478878978208488</stp>
        <tr r="O82" s="89"/>
      </tp>
      <tp t="s">
        <v>#N/A Requesting Data...1189310328</v>
        <stp/>
        <stp>BDP|13659806942011456735</stp>
        <tr r="P7" s="252"/>
      </tp>
      <tp t="s">
        <v>#N/A Requesting Data...3144919433</v>
        <stp/>
        <stp>BDP|18096821285957052647</stp>
        <tr r="AB28" s="1"/>
        <tr r="F18" s="446"/>
      </tp>
      <tp t="s">
        <v>#N/A Requesting Data...3912610698</v>
        <stp/>
        <stp>BDP|10454732349072941859</stp>
        <tr r="O204" s="89"/>
        <tr r="T22" s="2"/>
      </tp>
      <tp t="s">
        <v>#N/A Requesting Data...1079478240</v>
        <stp/>
        <stp>BDP|13428036001952587813</stp>
        <tr r="C197" s="89"/>
      </tp>
      <tp t="s">
        <v>#N/A Requesting Data...1914130323</v>
        <stp/>
        <stp>BDP|17046967805152979583</stp>
        <tr r="V89" s="89"/>
      </tp>
      <tp t="s">
        <v>#N/A Requesting Data...3127455412</v>
        <stp/>
        <stp>BDP|12630859936151462145</stp>
        <tr r="AA39" s="89"/>
        <tr r="Z39" s="89"/>
      </tp>
      <tp t="s">
        <v>#N/A Requesting Data...3397438347</v>
        <stp/>
        <stp>BDP|12912684483811638411</stp>
        <tr r="L31" s="1"/>
      </tp>
      <tp t="s">
        <v>#N/A Requesting Data...1727018544</v>
        <stp/>
        <stp>BDP|10361012023329117256</stp>
        <tr r="D82" s="89"/>
      </tp>
      <tp t="s">
        <v>#N/A Requesting Data...3746876659</v>
        <stp/>
        <stp>BDP|17800905748963418018</stp>
        <tr r="V52" s="338"/>
      </tp>
      <tp t="s">
        <v>#N/A Requesting Data...3986906336</v>
        <stp/>
        <stp>BDP|16080473360335288805</stp>
        <tr r="AF17" s="1"/>
        <tr r="AF10" s="338"/>
        <tr r="AF11" s="338"/>
        <tr r="AF33" s="338"/>
      </tp>
      <tp t="s">
        <v>#N/A Requesting Data...763015627</v>
        <stp/>
        <stp>BDP|18082660766744672526</stp>
        <tr r="X34" s="338"/>
      </tp>
      <tp t="s">
        <v>#N/A Requesting Data...1216560543</v>
        <stp/>
        <stp>BDP|17620015100226350806</stp>
        <tr r="AG35" s="1"/>
        <tr r="AG36" s="1"/>
      </tp>
      <tp t="s">
        <v>#N/A Requesting Data...3339526895</v>
        <stp/>
        <stp>BDP|16920316588455062143</stp>
        <tr r="C14" s="89"/>
        <tr r="D28" s="2"/>
      </tp>
      <tp t="s">
        <v>#N/A Requesting Data...1811127674</v>
        <stp/>
        <stp>BDP|17113464131298207134</stp>
        <tr r="O6" s="252"/>
      </tp>
      <tp t="s">
        <v>#N/A Requesting Data...1427577995</v>
        <stp/>
        <stp>BDP|15960037050958482197</stp>
        <tr r="F11" s="2"/>
      </tp>
      <tp t="s">
        <v>#N/A Requesting Data...1265708359</v>
        <stp/>
        <stp>BDP|16284628867238126714</stp>
        <tr r="V49" s="89"/>
        <tr r="V55" s="89"/>
        <tr r="AD13" s="2"/>
      </tp>
      <tp t="s">
        <v>#N/A Requesting Data...754567628</v>
        <stp/>
        <stp>BDP|13465906218584984636</stp>
        <tr r="U48" s="338"/>
      </tp>
      <tp t="s">
        <v>#N/A Requesting Data...1971263705</v>
        <stp/>
        <stp>BDP|16560839112023100530</stp>
        <tr r="T17" s="2"/>
      </tp>
      <tp t="s">
        <v>#N/A Requesting Data...2658600222</v>
        <stp/>
        <stp>BDP|12840222961428962748</stp>
        <tr r="T63" s="89"/>
      </tp>
      <tp t="s">
        <v>#N/A Requesting Data...3227349376</v>
        <stp/>
        <stp>BDP|14332807547798680949</stp>
        <tr r="O19" s="89"/>
      </tp>
      <tp t="e">
        <v>#N/A</v>
        <stp/>
        <stp>BDH|13102178407258296325</stp>
        <tr r="AN12" s="338"/>
      </tp>
      <tp t="e">
        <v>#N/A</v>
        <stp/>
        <stp>BDH|14203193177743954858</stp>
        <tr r="AP32" s="338"/>
        <tr r="AP31" s="338"/>
      </tp>
      <tp t="e">
        <v>#N/A</v>
        <stp/>
        <stp>BDH|14403510792501771043</stp>
        <tr r="AS13" s="338"/>
      </tp>
      <tp t="e">
        <v>#N/A</v>
        <stp/>
        <stp>BDH|15461924316287149395</stp>
        <tr r="AS11" s="338"/>
      </tp>
      <tp t="e">
        <v>#N/A</v>
        <stp/>
        <stp>BDH|15640594282054107515</stp>
        <tr r="AU18" s="338"/>
      </tp>
      <tp>
        <v>0.13848893344402313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Data...3017464064</v>
        <stp/>
        <stp>BDP|13370676866274995925</stp>
        <tr r="V29" s="338"/>
      </tp>
      <tp t="s">
        <v>#N/A Requesting Data...4135034300</v>
        <stp/>
        <stp>BDP|14835111336458410025</stp>
        <tr r="Q12" s="338"/>
      </tp>
      <tp t="s">
        <v>#N/A Requesting Data...3330790078</v>
        <stp/>
        <stp>BDP|16549461050648260185</stp>
        <tr r="V48" s="338"/>
      </tp>
      <tp t="s">
        <v>#N/A Requesting Data...1922411638</v>
        <stp/>
        <stp>BDP|12538399416839396714</stp>
        <tr r="C39" s="89"/>
      </tp>
      <tp t="s">
        <v>#N/A Requesting Data...952865666</v>
        <stp/>
        <stp>BDP|11883811462826271727</stp>
        <tr r="AI13" s="338"/>
        <tr r="AK13" s="338"/>
      </tp>
      <tp t="s">
        <v>#N/A Requesting Data...3596022239</v>
        <stp/>
        <stp>BDP|17314964764025388380</stp>
        <tr r="T203" s="89"/>
        <tr r="AA21" s="2"/>
      </tp>
      <tp t="s">
        <v>#N/A N/A</v>
        <stp/>
        <stp>BDP|15466705637537159880</stp>
        <tr r="AF38" s="1"/>
      </tp>
      <tp t="s">
        <v>#N/A Requesting Data...1396414317</v>
        <stp/>
        <stp>BDP|13773404769917079849</stp>
        <tr r="X41" s="338"/>
      </tp>
      <tp t="s">
        <v>#N/A Requesting Data...1473058928</v>
        <stp/>
        <stp>BDP|17094237872549842544</stp>
        <tr r="P11" s="338"/>
      </tp>
      <tp t="s">
        <v>#N/A Requesting Data...4110403513</v>
        <stp/>
        <stp>BDP|17894084826469233293</stp>
        <tr r="C49" s="89"/>
        <tr r="C55" s="89"/>
        <tr r="D13" s="2"/>
      </tp>
      <tp t="s">
        <v>#N/A Requesting Data...4171515792</v>
        <stp/>
        <stp>BDP|10903940119976188082</stp>
        <tr r="T20" s="2"/>
      </tp>
      <tp t="s">
        <v>#N/A Requesting Data...4283779450</v>
        <stp/>
        <stp>BDP|18128692108031908146</stp>
        <tr r="E8" s="89"/>
      </tp>
      <tp t="s">
        <v>#N/A Requesting Data...2176166025</v>
        <stp/>
        <stp>BDP|15395783766139675369</stp>
        <tr r="AA40" s="89"/>
        <tr r="Z40" s="89"/>
      </tp>
      <tp t="s">
        <v>#N/A Requesting Data...2402294242</v>
        <stp/>
        <stp>BDP|16326348528261420875</stp>
        <tr r="AH37" s="338"/>
      </tp>
      <tp t="s">
        <v>#N/A Requesting Data...1508301110</v>
        <stp/>
        <stp>BDP|12942600097452969197</stp>
        <tr r="AI30" s="338"/>
      </tp>
      <tp t="s">
        <v>#N/A Requesting Data...845639621</v>
        <stp/>
        <stp>BDP|11004855748816491574</stp>
        <tr r="Z145" s="89"/>
        <tr r="AA145" s="89"/>
      </tp>
      <tp t="s">
        <v>#N/A Requesting Data...3024888642</v>
        <stp/>
        <stp>BDP|13321932753372613352</stp>
        <tr r="S50" s="338"/>
      </tp>
      <tp t="s">
        <v>#N/A Requesting Data...3965059597</v>
        <stp/>
        <stp>BDP|14026845325197194708</stp>
        <tr r="AB30" s="1"/>
      </tp>
      <tp t="s">
        <v>#N/A Requesting Data...3311289016</v>
        <stp/>
        <stp>BDP|18139099943730098283</stp>
        <tr r="X42" s="338"/>
      </tp>
      <tp t="s">
        <v>#N/A Requesting Data...3248453807</v>
        <stp/>
        <stp>BDP|14818954946994919376</stp>
        <tr r="T55" s="338"/>
      </tp>
      <tp t="s">
        <v>#N/A Requesting Data...3631425199</v>
        <stp/>
        <stp>BDP|16547593626468626792</stp>
        <tr r="V90" s="89"/>
      </tp>
      <tp t="s">
        <v>#N/A Requesting Data...3107076594</v>
        <stp/>
        <stp>BDP|13585763524931497973</stp>
        <tr r="T12" s="2"/>
      </tp>
      <tp t="s">
        <v>#N/A Requesting Data...1876062717</v>
        <stp/>
        <stp>BDP|16747972762296741126</stp>
        <tr r="AF30" s="1"/>
      </tp>
      <tp t="s">
        <v>#N/A Requesting Data...671719229</v>
        <stp/>
        <stp>BDP|10277773846639500409</stp>
        <tr r="E225" s="89"/>
      </tp>
      <tp t="s">
        <v>#N/A Requesting Data...3374621860</v>
        <stp/>
        <stp>BDP|15391597190645842246</stp>
        <tr r="U41" s="338"/>
      </tp>
      <tp t="s">
        <v>#N/A Requesting Data...3267181381</v>
        <stp/>
        <stp>BDP|13442463083166047771</stp>
        <tr r="V19" s="89"/>
      </tp>
      <tp t="s">
        <v>#N/A Requesting Data...629503205</v>
        <stp/>
        <stp>BDP|18041794367865098281</stp>
        <tr r="Q47" s="338"/>
      </tp>
      <tp t="e">
        <v>#N/A</v>
        <stp/>
        <stp>BDH|11696617661819936691</stp>
        <tr r="AN38" s="338"/>
        <tr r="AN40" s="338"/>
        <tr r="AN16" s="338"/>
      </tp>
      <tp t="e">
        <v>#N/A</v>
        <stp/>
        <stp>BDH|10647189195657760109</stp>
        <tr r="AM31" s="338"/>
        <tr r="AM32" s="338"/>
      </tp>
      <tp>
        <v>-0.36414861679077148</v>
        <stp/>
        <stp>BDP|12363987419731278955|22</stp>
        <stp>MRVL US 03/20/26 P85 Equity</stp>
        <stp>DELTA_MID_RT</stp>
        <tr r="AF13" s="2"/>
        <tr r="W49" s="89"/>
        <tr r="W55" s="89"/>
      </tp>
      <tp>
        <v>0.57696014642715454</v>
        <stp/>
        <stp>BDP|18110796337974702583|22</stp>
        <stp>AVGO US 06/18/26 C350 Equity</stp>
        <stp>DELTA_MID_RT</stp>
        <tr r="W223" s="89"/>
        <tr r="AF5" s="2"/>
      </tp>
      <tp t="s">
        <v>#N/A Requesting Data...615274974</v>
        <stp/>
        <stp>BDP|14736502366221001988</stp>
        <tr r="AG16" s="1"/>
      </tp>
      <tp t="s">
        <v>#N/A Requesting Data...2241109782</v>
        <stp/>
        <stp>BDP|14590387959435843851</stp>
        <tr r="P18" s="252"/>
      </tp>
      <tp t="s">
        <v>#N/A Requesting Data...1719038917</v>
        <stp/>
        <stp>BDP|13791594013149475126</stp>
        <tr r="M13" s="252"/>
      </tp>
      <tp t="s">
        <v>#N/A Requesting Data...2116350188</v>
        <stp/>
        <stp>BDP|17874986578052725446</stp>
        <tr r="P50" s="338"/>
      </tp>
      <tp t="s">
        <v>#N/A Requesting Data...2970859030</v>
        <stp/>
        <stp>BDP|12186978060544450682</stp>
        <tr r="V205" s="89"/>
        <tr r="AD23" s="2"/>
      </tp>
      <tp t="s">
        <v>#N/A Requesting Data...1181478929</v>
        <stp/>
        <stp>BDP|12067346968488625077</stp>
        <tr r="K9" s="1"/>
      </tp>
      <tp t="s">
        <v>#N/A Requesting Data...1523908521</v>
        <stp/>
        <stp>BDP|17572771138585120977</stp>
        <tr r="F18" s="2"/>
      </tp>
      <tp t="s">
        <v>#N/A Requesting Data...3968896881</v>
        <stp/>
        <stp>BDP|12930748263249803590</stp>
        <tr r="V47" s="338"/>
      </tp>
      <tp t="s">
        <v>#N/A Requesting Data...3554501485</v>
        <stp/>
        <stp>BDP|10458872348380612322</stp>
        <tr r="D32" s="446"/>
      </tp>
      <tp t="s">
        <v>#N/A Requesting Data...2212981050</v>
        <stp/>
        <stp>BDP|11703964013195438386</stp>
        <tr r="AB39" s="1"/>
      </tp>
      <tp t="s">
        <v>#N/A Requesting Data...2013270531</v>
        <stp/>
        <stp>BDP|16111091406080680995</stp>
        <tr r="S20" s="252"/>
      </tp>
      <tp t="s">
        <v>#N/A Requesting Data...2640571534</v>
        <stp/>
        <stp>BDP|12565777765454100870</stp>
        <tr r="AK45" s="338"/>
      </tp>
      <tp t="s">
        <v>#N/A Requesting Data...3541923417</v>
        <stp/>
        <stp>BDP|14757904724106470662</stp>
        <tr r="C115" s="89"/>
      </tp>
      <tp t="s">
        <v>#N/A Requesting Data...2593520128</v>
        <stp/>
        <stp>BDP|15520885965692162698</stp>
        <tr r="P35" s="338"/>
      </tp>
      <tp t="s">
        <v>#N/A Requesting Data...2115609124</v>
        <stp/>
        <stp>BDP|15477739397991893583</stp>
        <tr r="F20" s="2"/>
      </tp>
      <tp t="s">
        <v>#N/A Requesting Data...1134202418</v>
        <stp/>
        <stp>BDP|18411820983824502305</stp>
        <tr r="E9" s="1"/>
      </tp>
      <tp t="s">
        <v>#N/A Requesting Data...1771248554</v>
        <stp/>
        <stp>BDP|16948891332150256201</stp>
        <tr r="AG39" s="1"/>
      </tp>
      <tp t="s">
        <v>#N/A Requesting Data...2507564602</v>
        <stp/>
        <stp>BDP|10532662640935157817</stp>
        <tr r="D34" s="89"/>
      </tp>
      <tp t="s">
        <v>#N/A Requesting Data...2026133394</v>
        <stp/>
        <stp>BDP|14116642911908550426</stp>
        <tr r="AI31" s="1"/>
      </tp>
      <tp t="s">
        <v>#N/A Requesting Data...1882233274</v>
        <stp/>
        <stp>BDP|10345234864749089272</stp>
        <tr r="AA81" s="89"/>
        <tr r="Z81" s="89"/>
      </tp>
      <tp t="s">
        <v>#N/A Requesting Data...3867761606</v>
        <stp/>
        <stp>BDP|18187575182553363942</stp>
        <tr r="S29" s="338"/>
      </tp>
      <tp t="s">
        <v>#N/A Requesting Data...3099979814</v>
        <stp/>
        <stp>BDP|15088949515073653147</stp>
        <tr r="AI30" s="1"/>
      </tp>
      <tp t="s">
        <v>#N/A Requesting Data...1389225844</v>
        <stp/>
        <stp>BDP|17239613974520236960</stp>
        <tr r="O40" s="89"/>
      </tp>
      <tp t="s">
        <v>#N/A Requesting Data...1245521813</v>
        <stp/>
        <stp>BDP|12559765690110808384</stp>
        <tr r="L6" s="252"/>
        <tr r="L6" s="252"/>
      </tp>
      <tp t="s">
        <v>#N/A Requesting Data...3013148835</v>
        <stp/>
        <stp>BDP|10141273456439406166</stp>
        <tr r="U40" s="338"/>
      </tp>
      <tp t="s">
        <v>#N/A Requesting Data...2180493223</v>
        <stp/>
        <stp>BDP|15650822721567670765</stp>
        <tr r="AF15" s="338"/>
        <tr r="AF39" s="338"/>
        <tr r="AG40" s="338"/>
      </tp>
      <tp t="s">
        <v>#N/A Requesting Data...1045144891</v>
        <stp/>
        <stp>BDP|10661203894173514722</stp>
        <tr r="P40" s="338"/>
      </tp>
      <tp t="s">
        <v>#N/A Requesting Data...1640875610</v>
        <stp/>
        <stp>BDP|16644071595826516655</stp>
        <tr r="M17" s="252"/>
      </tp>
      <tp t="s">
        <v>#N/A Requesting Data...705078185</v>
        <stp/>
        <stp>BDP|10282731194108712961</stp>
        <tr r="X32" s="338"/>
      </tp>
      <tp t="s">
        <v>#N/A Requesting Data...1750598802</v>
        <stp/>
        <stp>BDP|11825565969849644458</stp>
        <tr r="G26" s="446"/>
      </tp>
      <tp t="s">
        <v>#N/A Requesting Data...2824118938</v>
        <stp/>
        <stp>BDP|11254841161091158123</stp>
        <tr r="O13" s="89"/>
        <tr r="T27" s="2"/>
      </tp>
      <tp t="s">
        <v>#N/A N/A</v>
        <stp/>
        <stp>BDP|15171473986847387172</stp>
        <tr r="AB33" s="89"/>
        <tr r="AB34" s="89"/>
      </tp>
      <tp t="s">
        <v>#N/A Requesting Data...2331763668</v>
        <stp/>
        <stp>BDP|13743925468151835237</stp>
        <tr r="AF52" s="338"/>
        <tr r="AF53" s="338"/>
        <tr r="AF54" s="338"/>
      </tp>
      <tp t="e">
        <v>#N/A</v>
        <stp/>
        <stp>BDH|11704603823908473216</stp>
        <tr r="AM35" s="338"/>
        <tr r="AM14" s="338"/>
      </tp>
      <tp t="e">
        <v>#N/A</v>
        <stp/>
        <stp>BDH|16052703337139343443</stp>
        <tr r="AP17" s="338"/>
        <tr r="AP18" s="338"/>
      </tp>
      <tp t="e">
        <v>#N/A</v>
        <stp/>
        <stp>BDH|17759346868059833435</stp>
        <tr r="AN30" s="338"/>
        <tr r="AN29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Data...1217134114</v>
        <stp/>
        <stp>BDP|15731501378408096376</stp>
        <tr r="V250" s="89"/>
      </tp>
      <tp t="s">
        <v>#N/A Requesting Data...3332112058</v>
        <stp/>
        <stp>BDP|14866851646412220614</stp>
        <tr r="T197" s="89"/>
      </tp>
      <tp t="s">
        <v>#N/A Requesting Data...2794607392</v>
        <stp/>
        <stp>BDP|10552070608995420954</stp>
        <tr r="O9" s="252"/>
      </tp>
      <tp t="s">
        <v>#N/A Requesting Data...3858922473</v>
        <stp/>
        <stp>BDP|15489180332173336860</stp>
        <tr r="O56" s="89"/>
        <tr r="T14" s="2"/>
      </tp>
      <tp t="s">
        <v>#N/A Requesting Data...3510705109</v>
        <stp/>
        <stp>BDP|15139994591939505065</stp>
        <tr r="AA50" s="89"/>
        <tr r="Z50" s="89"/>
      </tp>
      <tp t="s">
        <v>#N/A Requesting Data...4099895002</v>
        <stp/>
        <stp>BDP|16415819239102308353</stp>
        <tr r="P13" s="338"/>
      </tp>
      <tp t="s">
        <v>#N/A Requesting Data...3632792944</v>
        <stp/>
        <stp>BDP|16048814305041128389</stp>
        <tr r="AH12" s="338"/>
        <tr r="AJ12" s="338"/>
      </tp>
      <tp t="s">
        <v>#N/A Requesting Data...1124567058</v>
        <stp/>
        <stp>BDP|17315018787765860602</stp>
        <tr r="U29" s="338"/>
      </tp>
      <tp t="s">
        <v>#N/A Requesting Data...1511304998</v>
        <stp/>
        <stp>BDP|13330519071598869566</stp>
        <tr r="E27" s="89"/>
      </tp>
      <tp t="s">
        <v>#N/A Requesting Data...2178466723</v>
        <stp/>
        <stp>BDP|18338546964302677583</stp>
        <tr r="V153" s="89"/>
        <tr r="V154" s="89"/>
      </tp>
      <tp t="s">
        <v>#N/A Requesting Data...2756921087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Data...2244811792</v>
        <stp/>
        <stp>BDP|15549933334837718499</stp>
        <tr r="AJ36" s="338"/>
      </tp>
      <tp t="s">
        <v>#N/A Requesting Data...1637431002</v>
        <stp/>
        <stp>BDP|12256415676048228580</stp>
        <tr r="AR18" s="2"/>
      </tp>
      <tp t="s">
        <v>#N/A Requesting Data...1245406468</v>
        <stp/>
        <stp>BDP|12680548468199508401</stp>
        <tr r="Z153" s="89"/>
        <tr r="Z154" s="89"/>
        <tr r="AA153" s="89"/>
        <tr r="AA154" s="89"/>
      </tp>
      <tp t="s">
        <v>#N/A Requesting Data...4063829611</v>
        <stp/>
        <stp>BDP|13021422978704305879</stp>
        <tr r="F33" s="446"/>
      </tp>
      <tp t="s">
        <v>#N/A N/A</v>
        <stp/>
        <stp>BDP|16521478898015424206</stp>
        <tr r="AV8" s="2"/>
        <tr r="AV9" s="2"/>
        <tr r="R169" s="89"/>
        <tr r="R170" s="89"/>
        <tr r="R178" s="89"/>
        <tr r="R180" s="89"/>
        <tr r="R233" s="89"/>
        <tr r="R234" s="89"/>
        <tr r="R249" s="89"/>
        <tr r="R171" s="89"/>
        <tr r="AV10" s="2"/>
        <tr r="AV11" s="2"/>
        <tr r="R179" s="89"/>
      </tp>
      <tp t="s">
        <v>#N/A Requesting Data...3896047789</v>
        <stp/>
        <stp>BDP|10918859462513576157</stp>
        <tr r="AA18" s="2"/>
      </tp>
      <tp t="s">
        <v>#N/A Requesting Data...1961986330</v>
        <stp/>
        <stp>BDP|17822855645556120173</stp>
        <tr r="T62" s="89"/>
      </tp>
      <tp t="s">
        <v>#N/A Requesting Data...4057545185</v>
        <stp/>
        <stp>BDP|16877024025140252836</stp>
        <tr r="F37" s="446"/>
      </tp>
      <tp t="s">
        <v>#N/A Requesting Data...3296674679</v>
        <stp/>
        <stp>BDP|11873488141545455841</stp>
        <tr r="AK12" s="338"/>
      </tp>
      <tp t="s">
        <v>#N/A Requesting Data...711643004</v>
        <stp/>
        <stp>BDP|10918059229437544914</stp>
        <tr r="S14" s="252"/>
      </tp>
      <tp t="s">
        <v>#N/A Requesting Data...1042085390</v>
        <stp/>
        <stp>BDP|16733695098984417132</stp>
        <tr r="E33" s="89"/>
      </tp>
      <tp t="s">
        <v>#N/A Requesting Data...3967349521</v>
        <stp/>
        <stp>BDP|17459985945086122091</stp>
        <tr r="F19" s="252"/>
      </tp>
      <tp t="s">
        <v>#N/A Requesting Data...3824073870</v>
        <stp/>
        <stp>BDP|16146881818116826586</stp>
        <tr r="P41" s="338"/>
      </tp>
      <tp t="s">
        <v>#N/A Requesting Data...1686254072</v>
        <stp/>
        <stp>BDP|15485843473026578068</stp>
        <tr r="U54" s="338"/>
      </tp>
      <tp t="s">
        <v>#N/A Requesting Data...2890669684</v>
        <stp/>
        <stp>BDP|14702322456147385934</stp>
        <tr r="U47" s="338"/>
      </tp>
      <tp t="s">
        <v>#N/A Requesting Data...675211932</v>
        <stp/>
        <stp>BDP|13405037176711243908</stp>
        <tr r="E137" s="89"/>
      </tp>
      <tp t="s">
        <v>#N/A Requesting Data...4059290218</v>
        <stp/>
        <stp>BDP|12945955828165458035</stp>
        <tr r="Z96" s="89"/>
        <tr r="AA96" s="89"/>
      </tp>
      <tp t="s">
        <v>#N/A Requesting Data...3395487399</v>
        <stp/>
        <stp>BDP|16209915627924010567</stp>
        <tr r="AG32" s="1"/>
        <tr r="AG33" s="1"/>
        <tr r="AG34" s="1"/>
      </tp>
      <tp t="s">
        <v>#N/A Requesting Data...1471420851</v>
        <stp/>
        <stp>BDP|14217961267851904682</stp>
        <tr r="V56" s="89"/>
        <tr r="AD14" s="2"/>
      </tp>
      <tp t="s">
        <v>#N/A Requesting Data...1886245196</v>
        <stp/>
        <stp>BDP|14616116739089464387</stp>
        <tr r="C75" s="89"/>
      </tp>
      <tp t="s">
        <v>#N/A Requesting Data...1578809460</v>
        <stp/>
        <stp>BDP|16199643097561563420</stp>
        <tr r="C129" s="89"/>
      </tp>
      <tp t="s">
        <v>#N/A Requesting Data...1806767221</v>
        <stp/>
        <stp>BDP|18015735346024081305</stp>
        <tr r="O7" s="89"/>
        <tr r="T26" s="2"/>
      </tp>
      <tp t="s">
        <v>#N/A Requesting Data...2128027139</v>
        <stp/>
        <stp>BDP|10529046944871483947</stp>
        <tr r="AR6" s="2"/>
      </tp>
      <tp t="s">
        <v>#N/A Requesting Data...731970544</v>
        <stp/>
        <stp>BDP|12856838645522296082</stp>
        <tr r="T204" s="89"/>
        <tr r="AA22" s="2"/>
      </tp>
      <tp t="s">
        <v>#N/A Requesting Data...3954737472</v>
        <stp/>
        <stp>BDP|18432601039087962606</stp>
        <tr r="C7" s="2"/>
      </tp>
      <tp t="s">
        <v>#N/A Requesting Data...2713459212</v>
        <stp/>
        <stp>BDP|12025675637399291269</stp>
        <tr r="O15" s="252"/>
      </tp>
      <tp t="s">
        <v>#N/A Requesting Data...2565322027</v>
        <stp/>
        <stp>BDP|17572927655465670235</stp>
        <tr r="C7" s="89"/>
        <tr r="D26" s="2"/>
      </tp>
      <tp t="s">
        <v>#N/A Requesting Data...2133626413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Data...4222849944</v>
        <stp/>
        <stp>BDP|13180090798091346753</stp>
        <tr r="V34" s="89"/>
      </tp>
      <tp t="s">
        <v>#N/A Requesting Data...2973555860</v>
        <stp/>
        <stp>BDP|12603143287034451379</stp>
        <tr r="D27" s="446"/>
      </tp>
      <tp t="s">
        <v>#N/A Requesting Data...926230667</v>
        <stp/>
        <stp>BDP|10004210412887167840</stp>
        <tr r="D40" s="446"/>
      </tp>
      <tp t="e">
        <v>#N/A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e">
        <v>#N/A</v>
        <stp/>
        <stp>BDH|13771183792086735159</stp>
        <tr r="AU38" s="338"/>
        <tr r="AU17" s="338"/>
        <tr r="AU16" s="338"/>
        <tr r="AU52" s="338"/>
        <tr r="AU39" s="338"/>
        <tr r="AU44" s="338"/>
        <tr r="AU15" s="338"/>
      </tp>
      <tp t="s">
        <v>USD</v>
        <stp/>
        <stp>BDP|2131931314929685819|22</stp>
        <stp>NFLX US 03/20/26 P92 Equity</stp>
        <stp>QUOTED_CURRENCY_REALTIME</stp>
        <tr r="G22" s="2"/>
        <tr r="F204" s="89"/>
      </tp>
      <tp>
        <v>-0.26042544841766357</v>
        <stp/>
        <stp>BDP|15300860136715577647|22</stp>
        <stp>AVGO US 06/18/26 P300 Equity</stp>
        <stp>DELTA_MID_RT</stp>
        <tr r="W224" s="89"/>
      </tp>
      <tp>
        <v>386.11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>
        <v>45.5</v>
        <stp/>
        <stp>BDP|4716754069265805089|22</stp>
        <stp>LITE US 02/20/26 C400 Equity</stp>
        <stp>bid</stp>
        <tr r="P6" s="2"/>
        <tr r="K26" s="89"/>
      </tp>
      <tp t="s">
        <v>#N/A Requesting Data...2200918928</v>
        <stp/>
        <stp>BDP|14785192227628712274</stp>
        <tr r="T248" s="89"/>
      </tp>
      <tp t="s">
        <v>#N/A Requesting Data...2160101635</v>
        <stp/>
        <stp>BDP|10830436782351213025</stp>
        <tr r="AF29" s="1"/>
        <tr r="AG13" s="338"/>
      </tp>
      <tp t="s">
        <v>#N/A Requesting Data...4178117226</v>
        <stp/>
        <stp>BDP|16101110071044873900</stp>
        <tr r="S19" s="252"/>
      </tp>
      <tp t="s">
        <v>#N/A Requesting Data...1605932045</v>
        <stp/>
        <stp>BDP|10494361398590502773</stp>
        <tr r="E63" s="89"/>
      </tp>
      <tp t="s">
        <v>#N/A Requesting Data...3322993866</v>
        <stp/>
        <stp>BDP|12894981119832559547</stp>
        <tr r="E21" s="2"/>
      </tp>
      <tp t="s">
        <v>#N/A Requesting Data...2087095278</v>
        <stp/>
        <stp>BDP|17375751787424053193</stp>
        <tr r="T90" s="89"/>
      </tp>
      <tp t="s">
        <v>#N/A Requesting Data...2924109528</v>
        <stp/>
        <stp>BDP|15805166451638287462</stp>
        <tr r="S18" s="338"/>
      </tp>
      <tp t="s">
        <v>#N/A Requesting Data...725420599</v>
        <stp/>
        <stp>BDP|18446461901708890906</stp>
        <tr r="S45" s="338"/>
      </tp>
      <tp t="s">
        <v>#N/A Requesting Data...4053718351</v>
        <stp/>
        <stp>BDP|12514485676904256829</stp>
        <tr r="E160" s="89"/>
      </tp>
      <tp t="s">
        <v>#N/A Requesting Data...2510871936</v>
        <stp/>
        <stp>BDP|11987378720699620434</stp>
        <tr r="D68" s="89"/>
      </tp>
      <tp t="s">
        <v>#N/A Requesting Data...1163558200</v>
        <stp/>
        <stp>BDP|15421104101769660083</stp>
        <tr r="C68" s="89"/>
      </tp>
      <tp t="s">
        <v>#N/A Requesting Data...4129628547</v>
        <stp/>
        <stp>BDP|15485501524177930833</stp>
        <tr r="T19" s="89"/>
      </tp>
      <tp t="s">
        <v>#N/A Requesting Data...3354298430</v>
        <stp/>
        <stp>BDP|18053748462790891444</stp>
        <tr r="V169" s="89"/>
        <tr r="V178" s="89"/>
        <tr r="V233" s="89"/>
        <tr r="AD8" s="2"/>
      </tp>
      <tp t="s">
        <v>#N/A Requesting Data...2543645087</v>
        <stp/>
        <stp>BDP|10028687100653384862</stp>
        <tr r="O223" s="89"/>
        <tr r="T5" s="2"/>
      </tp>
      <tp t="s">
        <v>#N/A Requesting Data...2088065766</v>
        <stp/>
        <stp>BDP|15843140282036113720</stp>
        <tr r="G22" s="446"/>
      </tp>
      <tp t="s">
        <v>#N/A Requesting Data...1767447620</v>
        <stp/>
        <stp>BDP|11847564369457057888</stp>
        <tr r="F13" s="252"/>
      </tp>
      <tp t="s">
        <v>#N/A Requesting Data...4225167765</v>
        <stp/>
        <stp>BDP|13571664718169245067</stp>
        <tr r="U14" s="338"/>
      </tp>
      <tp t="s">
        <v>#N/A Requesting Data...2167695027</v>
        <stp/>
        <stp>BDP|17319342610009091197</stp>
        <tr r="G27" s="446"/>
      </tp>
      <tp t="s">
        <v>#N/A Requesting Data...807648611</v>
        <stp/>
        <stp>BDP|15816463595992212776</stp>
        <tr r="D205" s="89"/>
      </tp>
      <tp t="s">
        <v>#N/A Requesting Data...4205238542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Data...1172103377</v>
        <stp/>
        <stp>BDP|14882210397437387533</stp>
        <tr r="T42" s="338"/>
      </tp>
      <tp t="s">
        <v>#N/A Requesting Data...2253398563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Data...3499645065</v>
        <stp/>
        <stp>BDP|17115834681353057933</stp>
        <tr r="U31" s="338"/>
      </tp>
      <tp t="s">
        <v>#N/A Requesting Data...1809360337</v>
        <stp/>
        <stp>BDP|16397362356914123924</stp>
        <tr r="F24" s="2"/>
      </tp>
      <tp t="s">
        <v>#N/A Requesting Data...1229564055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  <tr r="AV16" s="2"/>
        <tr r="AV17" s="2"/>
      </tp>
      <tp t="s">
        <v>#N/A Requesting Data...1466879478</v>
        <stp/>
        <stp>BDP|16109011624458140163</stp>
        <tr r="Q11" s="338"/>
      </tp>
      <tp t="s">
        <v>#N/A Requesting Data...1676359397</v>
        <stp/>
        <stp>BDP|16200988588058493248</stp>
        <tr r="AA224" s="89"/>
        <tr r="Z224" s="89"/>
      </tp>
      <tp t="s">
        <v>#N/A Requesting Data...1707331640</v>
        <stp/>
        <stp>BDP|17051618884910746406</stp>
        <tr r="T44" s="338"/>
      </tp>
      <tp t="s">
        <v>#N/A Requesting Data...806702582</v>
        <stp/>
        <stp>BDP|14959318848357778920</stp>
        <tr r="T41" s="338"/>
      </tp>
      <tp t="s">
        <v>#N/A Requesting Data...3472438248</v>
        <stp/>
        <stp>BDP|13442137826138152544</stp>
        <tr r="Q34" s="338"/>
      </tp>
      <tp t="s">
        <v>#N/A Requesting Data...2560491600</v>
        <stp/>
        <stp>BDP|15219096160618738682</stp>
        <tr r="X17" s="338"/>
      </tp>
      <tp t="s">
        <v>#N/A Requesting Data...1957208849</v>
        <stp/>
        <stp>BDP|14574759861540790819</stp>
        <tr r="S34" s="338"/>
      </tp>
      <tp t="s">
        <v>#N/A Requesting Data...2871960444</v>
        <stp/>
        <stp>BDP|17685153053298656618</stp>
        <tr r="C12" s="2"/>
      </tp>
      <tp t="s">
        <v>#N/A Requesting Data...4136020746</v>
        <stp/>
        <stp>BDP|11424392119509475776</stp>
        <tr r="C6" s="2"/>
      </tp>
      <tp t="s">
        <v>#N/A Requesting Data...2992609902</v>
        <stp/>
        <stp>BDP|12063939312664514322</stp>
        <tr r="N17" s="252"/>
        <tr r="N17" s="252"/>
      </tp>
      <tp t="e">
        <v>#N/A</v>
        <stp/>
        <stp>BDH|13885285882450008494</stp>
        <tr r="J17" s="252"/>
      </tp>
      <tp>
        <v>613.12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77.69</v>
        <stp/>
        <stp>BDP|3617422536658376331|22</stp>
        <stp>XLP Equity</stp>
        <stp>LAST PRICE</stp>
        <tr r="I9" s="338"/>
      </tp>
      <tp>
        <v>47.8</v>
        <stp/>
        <stp>BDP|8644428270203613467|22</stp>
        <stp>LITE US 02/20/26 C400 Equity</stp>
        <stp>ask</stp>
        <tr r="Q6" s="2"/>
        <tr r="L26" s="89"/>
      </tp>
      <tp t="s">
        <v>#N/A Requesting Data...3259753098</v>
        <stp/>
        <stp>BDP|12339741374220877028</stp>
        <tr r="AB13" s="1"/>
        <tr r="F21" s="446"/>
      </tp>
      <tp t="s">
        <v>#N/A Requesting Data...1181122316</v>
        <stp/>
        <stp>BDP|10313697833123536458</stp>
        <tr r="E15" s="2"/>
      </tp>
      <tp t="s">
        <v>#N/A Requesting Data...2167234742</v>
        <stp/>
        <stp>BDP|10170677618425079074</stp>
        <tr r="D50" s="89"/>
      </tp>
      <tp t="s">
        <v>#N/A Requesting Data...2277477347</v>
        <stp/>
        <stp>BDP|12562291822957166773</stp>
        <tr r="X15" s="338"/>
        <tr r="X39" s="338"/>
      </tp>
      <tp t="s">
        <v>#N/A Requesting Data...2282129697</v>
        <stp/>
        <stp>BDP|13690337412063902066</stp>
        <tr r="V76" s="89"/>
        <tr r="AD25" s="2"/>
      </tp>
      <tp t="s">
        <v>#N/A Requesting Data...2290744377</v>
        <stp/>
        <stp>BDP|17646594623933242160</stp>
        <tr r="AJ8" s="338"/>
        <tr r="AJ9" s="338"/>
      </tp>
      <tp t="s">
        <v>#N/A Requesting Data...2711850997</v>
        <stp/>
        <stp>BDP|16680557930364950628</stp>
        <tr r="Q40" s="338"/>
      </tp>
      <tp t="s">
        <v>#N/A Requesting Data...3107795457</v>
        <stp/>
        <stp>BDP|10920319565786030158</stp>
        <tr r="E116" s="89"/>
      </tp>
      <tp t="s">
        <v>#N/A Requesting Data...768324619</v>
        <stp/>
        <stp>BDP|11988979111049200256</stp>
        <tr r="AK29" s="338"/>
      </tp>
      <tp t="s">
        <v>#N/A Requesting Data...1819656523</v>
        <stp/>
        <stp>BDP|17309762634679149885</stp>
        <tr r="AA195" s="89"/>
        <tr r="Z195" s="89"/>
      </tp>
      <tp t="s">
        <v>#N/A Requesting Data...2284786073</v>
        <stp/>
        <stp>BDP|17216633965664243193</stp>
        <tr r="L50" s="338"/>
        <tr r="L34" s="338"/>
        <tr r="L35" s="338"/>
        <tr r="L51" s="338"/>
        <tr r="J34" s="338"/>
        <tr r="J35" s="338"/>
        <tr r="L36" s="338"/>
        <tr r="J36" s="338"/>
        <tr r="L37" s="338"/>
        <tr r="J37" s="338"/>
        <tr r="H50" s="338"/>
        <tr r="H51" s="338"/>
      </tp>
      <tp t="s">
        <v>#N/A Requesting Data...2654583566</v>
        <stp/>
        <stp>BDP|14776745928063005042</stp>
        <tr r="T136" s="89"/>
      </tp>
      <tp t="s">
        <v>#N/A Requesting Data...783330408</v>
        <stp/>
        <stp>BDP|16840355052516772475</stp>
        <tr r="AR19" s="2"/>
      </tp>
      <tp t="s">
        <v>#N/A Requesting Data...1372109079</v>
        <stp/>
        <stp>BDP|13796779298948123776</stp>
        <tr r="C136" s="89"/>
      </tp>
      <tp t="s">
        <v>#N/A Requesting Data...1090716902</v>
        <stp/>
        <stp>BDP|16819116934213136521</stp>
        <tr r="F13" s="2"/>
      </tp>
      <tp t="s">
        <v>#N/A Requesting Data...1668776660</v>
        <stp/>
        <stp>BDP|11875259860180843752</stp>
        <tr r="L9" s="252"/>
        <tr r="L9" s="252"/>
      </tp>
      <tp t="s">
        <v>#N/A Requesting Data...2506179068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Data...761676308</v>
        <stp/>
        <stp>BDP|18387530052069086311</stp>
        <tr r="E6" s="2"/>
      </tp>
      <tp t="s">
        <v>#N/A N/A</v>
        <stp/>
        <stp>BDP|16665812118984554998</stp>
        <tr r="AC12" s="2"/>
        <tr r="AC13" s="2"/>
        <tr r="AC14" s="2"/>
        <tr r="AC15" s="2"/>
      </tp>
      <tp t="s">
        <v>#N/A Requesting Data...2590419630</v>
        <stp/>
        <stp>BDP|16256063836003372424</stp>
        <tr r="Z250" s="89"/>
        <tr r="AA250" s="89"/>
      </tp>
      <tp t="s">
        <v>#N/A Requesting Data...3485944196</v>
        <stp/>
        <stp>BDP|10392302271721368734</stp>
        <tr r="AJ15" s="338"/>
        <tr r="AJ39" s="338"/>
        <tr r="AK40" s="338"/>
      </tp>
      <tp t="s">
        <v>#N/A Requesting Data...1511856021</v>
        <stp/>
        <stp>BDP|13077127063164089235</stp>
        <tr r="L29" s="338"/>
        <tr r="H29" s="338"/>
        <tr r="L30" s="338"/>
        <tr r="H30" s="338"/>
      </tp>
      <tp t="s">
        <v>#N/A Requesting Data...1665670065</v>
        <stp/>
        <stp>BDP|15616266803836462358</stp>
        <tr r="P18" s="338"/>
      </tp>
      <tp t="s">
        <v>#N/A Requesting Data...2383078020</v>
        <stp/>
        <stp>BDP|12909617883408150686</stp>
        <tr r="AB29" s="1"/>
        <tr r="F17" s="446"/>
      </tp>
      <tp t="s">
        <v>#N/A Requesting Data...1399810253</v>
        <stp/>
        <stp>BDP|12668630201684454223</stp>
        <tr r="T40" s="338"/>
      </tp>
      <tp t="s">
        <v>#N/A Requesting Data...3860240770</v>
        <stp/>
        <stp>BDP|14907590063523957686</stp>
        <tr r="D39" s="446"/>
      </tp>
      <tp t="s">
        <v>#N/A Requesting Data...3124723911</v>
        <stp/>
        <stp>BDP|15427086549125422631</stp>
        <tr r="F29" s="446"/>
      </tp>
      <tp t="s">
        <v>#N/A Requesting Data...3863678337</v>
        <stp/>
        <stp>BDP|12603611155092450139</stp>
        <tr r="P44" s="338"/>
      </tp>
      <tp t="s">
        <v>#N/A Requesting Data...3350130328</v>
        <stp/>
        <stp>BDP|11884616743117883676</stp>
        <tr r="C8" s="89"/>
      </tp>
      <tp t="s">
        <v>#N/A Requesting Data...2084739951</v>
        <stp/>
        <stp>BDP|12650903035052242853</stp>
        <tr r="T50" s="338"/>
      </tp>
      <tp t="s">
        <v>#N/A Requesting Data...3953899369</v>
        <stp/>
        <stp>BDP|15097578277281717435</stp>
        <tr r="AK13" s="338"/>
      </tp>
      <tp t="s">
        <v>#N/A Requesting Data...2952028182</v>
        <stp/>
        <stp>BDP|14798833541272440858</stp>
        <tr r="L10" s="338"/>
        <tr r="L33" s="338"/>
        <tr r="H10" s="338"/>
        <tr r="L11" s="338"/>
        <tr r="H11" s="338"/>
        <tr r="H33" s="338"/>
      </tp>
      <tp t="s">
        <v>#N/A Requesting Data...2075553786</v>
        <stp/>
        <stp>BDP|16210743767045071064</stp>
        <tr r="O81" s="89"/>
      </tp>
      <tp t="s">
        <v>#N/A N/A</v>
        <stp/>
        <stp>BDP|17447943913214573912</stp>
        <tr r="AC26" s="2"/>
        <tr r="AC27" s="2"/>
        <tr r="AC28" s="2"/>
      </tp>
      <tp t="s">
        <v>#N/A Requesting Data...2025570405</v>
        <stp/>
        <stp>BDP|10540491936722929740</stp>
        <tr r="F13" s="446"/>
      </tp>
      <tp t="s">
        <v>#N/A Requesting Data...2987975519</v>
        <stp/>
        <stp>BDP|12531711828603842635</stp>
        <tr r="E248" s="89"/>
      </tp>
      <tp t="s">
        <v>#N/A Requesting Data...3476305194</v>
        <stp/>
        <stp>BDP|12465228967747275351</stp>
        <tr r="F5" s="2"/>
      </tp>
      <tp t="s">
        <v>#N/A Requesting Data...3564308810</v>
        <stp/>
        <stp>BDP|12912757174604960475</stp>
        <tr r="O247" s="89"/>
      </tp>
      <tp t="s">
        <v>#N/A Requesting Data...946712861</v>
        <stp/>
        <stp>BDP|15272270015294728016</stp>
        <tr r="C22" s="2"/>
      </tp>
      <tp t="s">
        <v>#N/A Requesting Data...4203793765</v>
        <stp/>
        <stp>BDP|11442454801284248346</stp>
        <tr r="E81" s="89"/>
      </tp>
      <tp t="e">
        <v>#N/A</v>
        <stp/>
        <stp>BDH|17220079290198638431</stp>
        <tr r="T20" s="252"/>
        <tr r="W20" s="252"/>
      </tp>
      <tp t="e">
        <v>#N/A</v>
        <stp/>
        <stp>BDH|16450131252351528109</stp>
        <tr r="AS9" s="338"/>
      </tp>
      <tp t="e">
        <v>#N/A</v>
        <stp/>
        <stp>BDH|17584423057877396301</stp>
        <tr r="J7" s="252"/>
      </tp>
      <tp>
        <v>102.22</v>
        <stp/>
        <stp>BDP|1868269163989593436|22</stp>
        <stp>EWY Equity</stp>
        <stp>LAST_PRICE</stp>
        <tr r="I30" s="1"/>
      </tp>
      <tp t="e">
        <v>#N/A</v>
        <stp/>
        <stp>BDH|13433517978227188448</stp>
        <tr r="J12" s="252"/>
      </tp>
      <tp>
        <v>1.92</v>
        <stp/>
        <stp>BDP|7779660573183859665|22</stp>
        <stp>NFLX US 03/20/26 C105 Equity</stp>
        <stp>ask</stp>
        <tr r="L186" s="89"/>
      </tp>
      <tp t="s">
        <v>#N/A Requesting Data...4161299354</v>
        <stp/>
        <stp>BDP|15895214585768543406</stp>
        <tr r="AB16" s="1"/>
      </tp>
      <tp t="s">
        <v>#N/A Requesting Data...1954130296</v>
        <stp/>
        <stp>BDP|12506693576836787640</stp>
        <tr r="AC16" s="1"/>
      </tp>
      <tp t="s">
        <v>#N/A Requesting Data...3061988334</v>
        <stp/>
        <stp>BDP|14952713124422363077</stp>
        <tr r="AI54" s="338"/>
      </tp>
      <tp t="s">
        <v>#N/A Requesting Data...2404206546</v>
        <stp/>
        <stp>BDP|12378477649350407114</stp>
        <tr r="E23" s="2"/>
      </tp>
      <tp t="s">
        <v>#N/A N/A</v>
        <stp/>
        <stp>BDP|17344183941382189338</stp>
        <tr r="AB211" s="89"/>
        <tr r="AB212" s="89"/>
        <tr r="AQ18" s="2"/>
        <tr r="AQ19" s="2"/>
        <tr r="AQ20" s="2"/>
        <tr r="AB213" s="89"/>
        <tr r="AB246" s="89"/>
      </tp>
      <tp t="s">
        <v>#N/A Requesting Data...2813799127</v>
        <stp/>
        <stp>BDP|12659323579531227475</stp>
        <tr r="C137" s="89"/>
      </tp>
      <tp t="s">
        <v>#N/A Requesting Data...1338218150</v>
        <stp/>
        <stp>BDP|13685951603788859137</stp>
        <tr r="T138" s="89"/>
      </tp>
      <tp t="s">
        <v>#N/A Requesting Data...2298043651</v>
        <stp/>
        <stp>BDP|10998952471375281858</stp>
        <tr r="C26" s="89"/>
        <tr r="D6" s="2"/>
      </tp>
      <tp t="s">
        <v>#N/A Requesting Data...2712359727</v>
        <stp/>
        <stp>BDP|13232690579233956218</stp>
        <tr r="D75" s="89"/>
      </tp>
      <tp t="s">
        <v>#N/A Requesting Data...1361803010</v>
        <stp/>
        <stp>BDP|11141247349161569535</stp>
        <tr r="F4" s="2"/>
      </tp>
      <tp t="s">
        <v>#N/A N/A</v>
        <stp/>
        <stp>BDP|17356384253186180443</stp>
        <tr r="R75" s="89"/>
        <tr r="R76" s="89"/>
        <tr r="AV25" s="2"/>
      </tp>
      <tp t="s">
        <v>#N/A Requesting Data...3005327940</v>
        <stp/>
        <stp>BDP|13624747740446797581</stp>
        <tr r="AI29" s="1"/>
      </tp>
      <tp t="s">
        <v>#N/A Requesting Data...2206933470</v>
        <stp/>
        <stp>BDP|16973005602894719115</stp>
        <tr r="P19" s="252"/>
      </tp>
      <tp t="s">
        <v>#N/A Requesting Data...2007787108</v>
        <stp/>
        <stp>BDP|14061654258613093712</stp>
        <tr r="Z116" s="89"/>
        <tr r="AA116" s="89"/>
      </tp>
      <tp t="s">
        <v>#N/A Requesting Data...2111257521</v>
        <stp/>
        <stp>BDP|11585397164616268161</stp>
        <tr r="D116" s="89"/>
      </tp>
      <tp t="s">
        <v>#N/A Requesting Data...2949826194</v>
        <stp/>
        <stp>BDP|12861943665177076956</stp>
        <tr r="AF12" s="338"/>
      </tp>
      <tp t="s">
        <v>#N/A Requesting Data...3326336586</v>
        <stp/>
        <stp>BDP|14818652784710660909</stp>
        <tr r="AA212" s="89"/>
        <tr r="Z212" s="89"/>
      </tp>
      <tp t="s">
        <v>#N/A Requesting Data...1808876214</v>
        <stp/>
        <stp>BDP|15919437567850131436</stp>
        <tr r="G28" s="446"/>
      </tp>
      <tp t="s">
        <v>#N/A Requesting Data...4212958782</v>
        <stp/>
        <stp>BDP|18444768790201454496</stp>
        <tr r="C204" s="89"/>
        <tr r="D22" s="2"/>
      </tp>
      <tp t="s">
        <v>#N/A Requesting Data...2983104954</v>
        <stp/>
        <stp>BDP|17345659231843132294</stp>
        <tr r="X31" s="338"/>
      </tp>
      <tp t="s">
        <v>#N/A N/A</v>
        <stp/>
        <stp>BDP|12988555714434708108</stp>
        <tr r="AV21" s="2"/>
        <tr r="AV22" s="2"/>
        <tr r="R186" s="89"/>
        <tr r="R187" s="89"/>
        <tr r="R188" s="89"/>
        <tr r="R203" s="89"/>
        <tr r="R204" s="89"/>
        <tr r="R205" s="89"/>
        <tr r="AV23" s="2"/>
      </tp>
      <tp t="s">
        <v>#N/A Requesting Data...2195451458</v>
        <stp/>
        <stp>BDP|15708606918020014119</stp>
        <tr r="AA26" s="89"/>
        <tr r="Z26" s="89"/>
      </tp>
      <tp t="s">
        <v>#N/A Requesting Data...2124526404</v>
        <stp/>
        <stp>BDP|17039732835313216359</stp>
        <tr r="G13" s="446"/>
      </tp>
      <tp t="s">
        <v>#N/A Requesting Data...4015837601</v>
        <stp/>
        <stp>BDP|10212284669224289309</stp>
        <tr r="G15" s="446"/>
      </tp>
      <tp t="s">
        <v>#N/A Requesting Data...4123815829</v>
        <stp/>
        <stp>BDP|14477773684938548023</stp>
        <tr r="AI35" s="1"/>
        <tr r="AI36" s="1"/>
      </tp>
      <tp t="s">
        <v>#N/A Requesting Data...3783291187</v>
        <stp/>
        <stp>BDP|16890720826198942853</stp>
        <tr r="V81" s="89"/>
      </tp>
      <tp t="s">
        <v>#N/A Requesting Data...2337108287</v>
        <stp/>
        <stp>BDP|13507271300860043215</stp>
        <tr r="C196" s="89"/>
      </tp>
      <tp t="s">
        <v>#N/A Requesting Data...3521464348</v>
        <stp/>
        <stp>BDP|10628744726607068175</stp>
        <tr r="C225" s="89"/>
      </tp>
      <tp t="s">
        <v>#N/A Requesting Data...1203929528</v>
        <stp/>
        <stp>BDP|16931852689404443127</stp>
        <tr r="AB15" s="1"/>
        <tr r="AB14" s="1"/>
        <tr r="F23" s="446"/>
      </tp>
      <tp t="s">
        <v>#N/A Requesting Data...955970406</v>
        <stp/>
        <stp>BDP|11150045896599813282</stp>
        <tr r="D12" s="2"/>
      </tp>
      <tp t="s">
        <v>#N/A Requesting Data...1836571744</v>
        <stp/>
        <stp>BDP|11246696260120787292</stp>
        <tr r="F10" s="252"/>
      </tp>
      <tp t="s">
        <v>#N/A Requesting Data...946005242</v>
        <stp/>
        <stp>BDP|15227373250511500153</stp>
        <tr r="X14" s="338"/>
      </tp>
      <tp t="s">
        <v>#N/A Requesting Data...1277930925</v>
        <stp/>
        <stp>BDP|13044527620903591424</stp>
        <tr r="U15" s="338"/>
        <tr r="U39" s="338"/>
      </tp>
      <tp t="s">
        <v>#N/A Requesting Data...2859468994</v>
        <stp/>
        <stp>BDP|13604647470276165765</stp>
        <tr r="C10" s="2"/>
      </tp>
      <tp t="s">
        <v>#N/A Requesting Data...2258213778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R49" s="89"/>
        <tr r="R50" s="89"/>
        <tr r="R56" s="89"/>
        <tr r="R55" s="89"/>
        <tr r="AV12" s="2"/>
      </tp>
      <tp t="s">
        <v>#N/A Requesting Data...3181253371</v>
        <stp/>
        <stp>BDP|12718343677950174519</stp>
        <tr r="E7" s="1"/>
      </tp>
      <tp t="s">
        <v>#N/A Requesting Data...2117695951</v>
        <stp/>
        <stp>BDP|14592404034766531631</stp>
        <tr r="S53" s="338"/>
      </tp>
      <tp t="s">
        <v>#N/A Requesting Data...3139608905</v>
        <stp/>
        <stp>BDP|11486261538490579386</stp>
        <tr r="AH55" s="338"/>
        <tr r="AI14" s="338"/>
        <tr r="AI55" s="338"/>
      </tp>
      <tp t="s">
        <v>#N/A Requesting Data...2021008794</v>
        <stp/>
        <stp>BDP|17748277643603709136</stp>
        <tr r="D18" s="2"/>
      </tp>
      <tp t="s">
        <v>#N/A Requesting Data...1234251373</v>
        <stp/>
        <stp>BDP|10407776681355403913</stp>
        <tr r="AI9" s="338"/>
      </tp>
      <tp t="s">
        <v>#N/A Requesting Data...2637938349</v>
        <stp/>
        <stp>BDP|14730076527710394522</stp>
        <tr r="K3" s="1"/>
      </tp>
      <tp t="e">
        <v>#N/A</v>
        <stp/>
        <stp>BDH|17687756778751162590</stp>
        <tr r="AM37" s="338"/>
      </tp>
      <tp t="e">
        <v>#N/A</v>
        <stp/>
        <stp>BDH|14933480884122236952</stp>
        <tr r="AU12" s="338"/>
      </tp>
      <tp t="e">
        <v>#N/A</v>
        <stp/>
        <stp>BDH|12158016387338648143</stp>
        <tr r="AP9" s="338"/>
        <tr r="AP8" s="338"/>
      </tp>
      <tp t="e">
        <v>#N/A</v>
        <stp/>
        <stp>BDH|14583815225278766527</stp>
        <tr r="J8" s="252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Data...1067277714</v>
        <stp/>
        <stp>BDP|12341801899466336508</stp>
        <tr r="AA197" s="89"/>
        <tr r="Z197" s="89"/>
      </tp>
      <tp t="s">
        <v>#N/A Requesting Data...2644647855</v>
        <stp/>
        <stp>BDP|11816932821413498963</stp>
        <tr r="T14" s="89"/>
        <tr r="AA28" s="2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40" s="89"/>
        <tr r="R39" s="89"/>
        <tr r="R81" s="89"/>
      </tp>
      <tp t="s">
        <v>#N/A Requesting Data...3588639823</v>
        <stp/>
        <stp>BDP|10384653628097195348</stp>
        <tr r="V33" s="338"/>
      </tp>
      <tp t="s">
        <v>#N/A Requesting Data...3592651575</v>
        <stp/>
        <stp>BDP|15830810886156463309</stp>
        <tr r="Z89" s="89"/>
        <tr r="AA89" s="89"/>
      </tp>
      <tp t="s">
        <v>#N/A Requesting Data...4152147419</v>
        <stp/>
        <stp>BDP|16329127935980609498</stp>
        <tr r="M9" s="252"/>
      </tp>
      <tp t="s">
        <v>#N/A Requesting Data...4241126672</v>
        <stp/>
        <stp>BDP|14136785762373472653</stp>
        <tr r="P12" s="338"/>
      </tp>
      <tp t="s">
        <v>#N/A Requesting Data...1019332171</v>
        <stp/>
        <stp>BDP|15883646237950646072</stp>
        <tr r="O196" s="89"/>
      </tp>
      <tp t="s">
        <v>#N/A Requesting Data...2151363281</v>
        <stp/>
        <stp>BDP|10907713945543986097</stp>
        <tr r="AJ12" s="338"/>
      </tp>
      <tp t="s">
        <v>#N/A Requesting Data...2203271441</v>
        <stp/>
        <stp>BDP|18157396268365948849</stp>
        <tr r="G32" s="446"/>
      </tp>
      <tp t="s">
        <v>#N/A Requesting Data...2896963990</v>
        <stp/>
        <stp>BDP|10831977579186203890</stp>
        <tr r="F19" s="2"/>
      </tp>
      <tp t="s">
        <v>#N/A Requesting Data...2430623399</v>
        <stp/>
        <stp>BDP|17187500422678411886</stp>
        <tr r="T56" s="89"/>
        <tr r="AA14" s="2"/>
      </tp>
      <tp t="s">
        <v>#N/A Requesting Data...4262953024</v>
        <stp/>
        <stp>BDP|11924826381262215379</stp>
        <tr r="D115" s="89"/>
      </tp>
      <tp t="s">
        <v>#N/A Requesting Data...2498095033</v>
        <stp/>
        <stp>BDP|14232769712154130686</stp>
        <tr r="AR25" s="2"/>
      </tp>
      <tp t="s">
        <v>#N/A N/A</v>
        <stp/>
        <stp>BDP|16418587176254290070</stp>
        <tr r="AB129" s="89"/>
      </tp>
      <tp t="s">
        <v>#N/A Requesting Data...3540463744</v>
        <stp/>
        <stp>BDP|10113031188221107942</stp>
        <tr r="Q18" s="338"/>
      </tp>
      <tp t="s">
        <v>#N/A N/A</v>
        <stp/>
        <stp>BDP|13846974553487624841</stp>
        <tr r="AB68" s="89"/>
        <tr r="AB63" s="89"/>
        <tr r="AB69" s="89"/>
        <tr r="AQ16" s="2"/>
        <tr r="AQ17" s="2"/>
        <tr r="AB62" s="89"/>
      </tp>
      <tp t="s">
        <v>#N/A Requesting Data...2297564875</v>
        <stp/>
        <stp>BDP|15575692114844872615</stp>
        <tr r="AF32" s="1"/>
        <tr r="AF33" s="1"/>
        <tr r="AF34" s="1"/>
      </tp>
      <tp t="s">
        <v>#N/A Requesting Data...2661734610</v>
        <stp/>
        <stp>BDP|13176433799579956737</stp>
        <tr r="C14" s="2"/>
      </tp>
      <tp t="s">
        <v>#N/A Requesting Data...3711430162</v>
        <stp/>
        <stp>BDP|14082792449500508754</stp>
        <tr r="AC29" s="1"/>
      </tp>
      <tp t="s">
        <v>#N/A Requesting Data...4068364627</v>
        <stp/>
        <stp>BDP|11877678453870847248</stp>
        <tr r="AJ29" s="338"/>
        <tr r="AJ30" s="338"/>
      </tp>
      <tp t="s">
        <v>#N/A Requesting Data...3811775110</v>
        <stp/>
        <stp>BDP|15996554516532939333</stp>
        <tr r="O248" s="89"/>
      </tp>
      <tp t="s">
        <v>#N/A Requesting Data...2718632090</v>
        <stp/>
        <stp>BDP|17979638844017722292</stp>
        <tr r="E224" s="89"/>
      </tp>
      <tp t="s">
        <v>#N/A Requesting Data...3128450768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Data...2974886856</v>
        <stp/>
        <stp>BDP|10681836788327917748</stp>
        <tr r="D62" s="89"/>
      </tp>
      <tp t="s">
        <v>#N/A Requesting Data...923621992</v>
        <stp/>
        <stp>BDP|14736375789817362891</stp>
        <tr r="AC2" s="1"/>
        <tr r="AD2" s="1"/>
      </tp>
      <tp t="s">
        <v>#N/A Requesting Data...2425546053</v>
        <stp/>
        <stp>BDP|14970612019347009428</stp>
        <tr r="C213" s="89"/>
      </tp>
      <tp t="s">
        <v>#N/A Requesting Data...1833022956</v>
        <stp/>
        <stp>BDP|12022948741018056763</stp>
        <tr r="D81" s="89"/>
      </tp>
      <tp t="s">
        <v>#N/A Requesting Data...1601152568</v>
        <stp/>
        <stp>BDP|16915999897423444512</stp>
        <tr r="AC15" s="1"/>
        <tr r="AC14" s="1"/>
      </tp>
      <tp t="s">
        <v>#N/A Requesting Data...3203850893</v>
        <stp/>
        <stp>BDP|13439578072010389109</stp>
        <tr r="O225" s="89"/>
      </tp>
      <tp t="s">
        <v>#N/A Requesting Data...3535204450</v>
        <stp/>
        <stp>BDP|11184865175579332734</stp>
        <tr r="F12" s="446"/>
      </tp>
      <tp t="s">
        <v>#N/A Requesting Data...1578737600</v>
        <stp/>
        <stp>BDP|12133420967599732913</stp>
        <tr r="AG12" s="338"/>
      </tp>
      <tp t="s">
        <v>#N/A Requesting Data...3616158340</v>
        <stp/>
        <stp>BDP|13644572218382208591</stp>
        <tr r="E68" s="89"/>
      </tp>
      <tp t="s">
        <v>#N/A Requesting Data...3594799563</v>
        <stp/>
        <stp>BDP|16433044266288225813</stp>
        <tr r="AA14" s="89"/>
        <tr r="Z14" s="89"/>
      </tp>
      <tp t="s">
        <v>#N/A N/A</v>
        <stp/>
        <stp>BDP|14646160180655233875</stp>
        <tr r="AC21" s="2"/>
        <tr r="AC22" s="2"/>
        <tr r="AC23" s="2"/>
      </tp>
      <tp t="s">
        <v>#N/A Requesting Data...1953832731</v>
        <stp/>
        <stp>BDP|11301603537853289723</stp>
        <tr r="T18" s="338"/>
      </tp>
      <tp t="s">
        <v>#N/A Requesting Data...2545473763</v>
        <stp/>
        <stp>BDP|17819773794190840945</stp>
        <tr r="P17" s="252"/>
      </tp>
      <tp t="s">
        <v>#N/A Requesting Data...2726908516</v>
        <stp/>
        <stp>BDP|11542574144783666360</stp>
        <tr r="F41" s="446"/>
      </tp>
      <tp t="s">
        <v>#N/A Requesting Data...3785712124</v>
        <stp/>
        <stp>BDP|14923586336724523640</stp>
        <tr r="AA205" s="89"/>
        <tr r="Z205" s="89"/>
      </tp>
      <tp t="e">
        <v>#N/A</v>
        <stp/>
        <stp>BDH|11693881096034282497</stp>
        <tr r="AN31" s="338"/>
        <tr r="AN32" s="338"/>
      </tp>
      <tp t="e">
        <v>#N/A</v>
        <stp/>
        <stp>BDH|12037132417396671400</stp>
        <tr r="AS15" s="338"/>
        <tr r="AS39" s="338"/>
        <tr r="AS38" s="338"/>
        <tr r="AS52" s="338"/>
        <tr r="AS44" s="338"/>
        <tr r="AS16" s="338"/>
        <tr r="AS17" s="338"/>
      </tp>
      <tp t="e">
        <v>#N/A</v>
        <stp/>
        <stp>BDH|14119335146214572741</stp>
        <tr r="AU29" s="338"/>
      </tp>
      <tp t="e">
        <v>#N/A</v>
        <stp/>
        <stp>BDH|12828621147632528227</stp>
        <tr r="AM8" s="338"/>
        <tr r="AM9" s="338"/>
      </tp>
      <tp t="e">
        <v>#N/A</v>
        <stp/>
        <stp>BDH|11860495761966493597</stp>
        <tr r="AR12" s="338"/>
      </tp>
      <tp>
        <v>0.05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2.12</v>
        <stp/>
        <stp>BDP|4599874367472431977|22</stp>
        <stp>NFLX US 03/20/26 C104 Equity</stp>
        <stp>ask</stp>
        <tr r="Q21" s="2"/>
        <tr r="L203" s="89"/>
      </tp>
      <tp t="s">
        <v>#N/A Requesting Data...1945533507</v>
        <stp/>
        <stp>BDP|10801083268771247632</stp>
        <tr r="D90" s="89"/>
      </tp>
      <tp t="s">
        <v>#N/A Requesting Data...1353886781</v>
        <stp/>
        <stp>BDP|15745616861094850060</stp>
        <tr r="F7" s="2"/>
      </tp>
      <tp t="s">
        <v>#N/A Requesting Data...2526756474</v>
        <stp/>
        <stp>BDP|11564281632755019465</stp>
        <tr r="D76" s="89"/>
        <tr r="E25" s="2"/>
      </tp>
      <tp t="s">
        <v>#N/A Requesting Data...3572034715</v>
        <stp/>
        <stp>BDP|13599895366965585969</stp>
        <tr r="E39" s="89"/>
      </tp>
      <tp t="s">
        <v>#N/A Requesting Data...1320525014</v>
        <stp/>
        <stp>BDP|16930560419574755798</stp>
        <tr r="C4" s="2"/>
      </tp>
      <tp t="s">
        <v>#N/A Requesting Data...4281196494</v>
        <stp/>
        <stp>BDP|10145720918890433776</stp>
        <tr r="O180" s="89"/>
        <tr r="T10" s="2"/>
      </tp>
      <tp t="s">
        <v>#N/A Requesting Data...2586609068</v>
        <stp/>
        <stp>BDP|16208709252522827706</stp>
        <tr r="AA16" s="2"/>
      </tp>
      <tp t="s">
        <v>#N/A Requesting Data...1046663718</v>
        <stp/>
        <stp>BDP|12055500611067822013</stp>
        <tr r="AJ31" s="338"/>
        <tr r="AJ32" s="338"/>
        <tr r="AH31" s="338"/>
        <tr r="AH32" s="338"/>
      </tp>
      <tp t="s">
        <v>#N/A Requesting Data...2127088568</v>
        <stp/>
        <stp>BDP|14336270361883873268</stp>
        <tr r="E56" s="89"/>
      </tp>
      <tp t="s">
        <v>#N/A Requesting Data...3827131753</v>
        <stp/>
        <stp>BDP|10559305944584978229</stp>
        <tr r="AA17" s="2"/>
      </tp>
      <tp t="s">
        <v>#N/A Requesting Data...1217718439</v>
        <stp/>
        <stp>BDP|15783676161145872136</stp>
        <tr r="O12" s="252"/>
      </tp>
      <tp t="s">
        <v>#N/A Requesting Data...1025175018</v>
        <stp/>
        <stp>BDP|10827554593684445907</stp>
        <tr r="AG21" s="1"/>
        <tr r="AG22" s="1"/>
      </tp>
      <tp t="s">
        <v>#N/A Requesting Data...2867017155</v>
        <stp/>
        <stp>BDP|10651894387614235500</stp>
        <tr r="V138" s="89"/>
      </tp>
      <tp t="s">
        <v>#N/A Requesting Data...3214647059</v>
        <stp/>
        <stp>BDP|12073531609930769604</stp>
        <tr r="Z68" s="89"/>
        <tr r="AA68" s="89"/>
      </tp>
      <tp t="s">
        <v>#N/A Requesting Data...1624915448</v>
        <stp/>
        <stp>BDP|17989772977337527117</stp>
        <tr r="E7" s="89"/>
      </tp>
      <tp t="s">
        <v>#N/A Requesting Data...2698218343</v>
        <stp/>
        <stp>BDP|10107602623444913161</stp>
        <tr r="AF31" s="1"/>
      </tp>
      <tp t="s">
        <v>#N/A Requesting Data...3723671820</v>
        <stp/>
        <stp>BDP|17153453274430460585</stp>
        <tr r="O195" s="89"/>
      </tp>
      <tp t="s">
        <v>#N/A Requesting Data...3937807243</v>
        <stp/>
        <stp>BDP|18017376398746707540</stp>
        <tr r="G37" s="446"/>
      </tp>
      <tp t="s">
        <v>#N/A Requesting Data...2922886379</v>
        <stp/>
        <stp>BDP|17365785494690778868</stp>
        <tr r="E5" s="1"/>
      </tp>
      <tp t="s">
        <v>#N/A Requesting Data...3798520514</v>
        <stp/>
        <stp>BDP|11154785569869703897</stp>
        <tr r="V101" s="89"/>
      </tp>
      <tp t="s">
        <v>#N/A Requesting Data...4133300894</v>
        <stp/>
        <stp>BDP|13209506330255970152</stp>
        <tr r="AG28" s="1"/>
      </tp>
      <tp t="s">
        <v>#N/A Requesting Data...1882329337</v>
        <stp/>
        <stp>BDP|13462113802766482523</stp>
        <tr r="P51" s="338"/>
      </tp>
      <tp t="s">
        <v>#N/A Requesting Data...967340506</v>
        <stp/>
        <stp>BDP|13507309990980542809</stp>
        <tr r="P54" s="338"/>
      </tp>
      <tp t="s">
        <v>#N/A Requesting Data...3004500152</v>
        <stp/>
        <stp>BDP|18272532924646044856</stp>
        <tr r="AR7" s="2"/>
      </tp>
      <tp t="s">
        <v>#N/A Requesting Data...1553240240</v>
        <stp/>
        <stp>BDP|11658442792988593552</stp>
        <tr r="AC40" s="1"/>
      </tp>
      <tp t="s">
        <v>#N/A Requesting Data...4238548114</v>
        <stp/>
        <stp>BDP|13251961527568785177</stp>
        <tr r="L41" s="338"/>
        <tr r="H41" s="338"/>
        <tr r="L42" s="338"/>
        <tr r="H42" s="338"/>
      </tp>
      <tp t="s">
        <v>#N/A Requesting Data...3457236226</v>
        <stp/>
        <stp>BDP|10532025680450781936</stp>
        <tr r="T53" s="338"/>
      </tp>
      <tp t="s">
        <v>#N/A Requesting Data...2944737216</v>
        <stp/>
        <stp>BDP|15584846954420486925</stp>
        <tr r="V30" s="338"/>
      </tp>
      <tp t="s">
        <v>#N/A Requesting Data...3375375974</v>
        <stp/>
        <stp>BDP|12417922592843377049</stp>
        <tr r="V50" s="338"/>
      </tp>
      <tp t="s">
        <v>#N/A Requesting Data...2194611225</v>
        <stp/>
        <stp>BDP|15633972697785552118</stp>
        <tr r="V115" s="89"/>
      </tp>
      <tp t="s">
        <v>#N/A Requesting Data...3447502675</v>
        <stp/>
        <stp>BDP|11998355979195097173</stp>
        <tr r="T160" s="89"/>
      </tp>
      <tp t="s">
        <v>#N/A Requesting Data...3742989824</v>
        <stp/>
        <stp>BDP|16353514989043023996</stp>
        <tr r="AH14" s="338"/>
        <tr r="AH35" s="338"/>
        <tr r="AJ14" s="338"/>
        <tr r="AJ35" s="338"/>
      </tp>
      <tp t="s">
        <v>#N/A Requesting Data...2552880324</v>
        <stp/>
        <stp>BDP|11157579934717202151</stp>
        <tr r="V136" s="89"/>
      </tp>
      <tp t="s">
        <v>#N/A Requesting Data...3009533852</v>
        <stp/>
        <stp>BDP|16176003730321499511</stp>
        <tr r="L9" s="338"/>
        <tr r="J9" s="338"/>
      </tp>
      <tp t="s">
        <v>#N/A Requesting Data...3545377328</v>
        <stp/>
        <stp>BDP|16488629082059415041</stp>
        <tr r="M15" s="252"/>
      </tp>
      <tp t="s">
        <v>#N/A Requesting Data...4105154330</v>
        <stp/>
        <stp>BDP|13170702077463225105</stp>
        <tr r="V102" s="89"/>
      </tp>
      <tp t="s">
        <v>#N/A Requesting Data...3903280900</v>
        <stp/>
        <stp>BDP|15665722340580183729</stp>
        <tr r="AH17" s="338"/>
        <tr r="AH18" s="338"/>
      </tp>
      <tp t="s">
        <v>#N/A Requesting Data...3593512859</v>
        <stp/>
        <stp>BDP|14133916555649635046</stp>
        <tr r="AA20" s="89"/>
        <tr r="Z20" s="89"/>
      </tp>
      <tp t="s">
        <v>#N/A Requesting Data...4202634778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Data...1160314087</v>
        <stp/>
        <stp>BDP|14914589903223067341</stp>
        <tr r="AH31" s="338"/>
        <tr r="AH32" s="338"/>
      </tp>
      <tp t="e">
        <v>#N/A</v>
        <stp/>
        <stp>BDH|14870782492343240879</stp>
        <tr r="AU11" s="338"/>
      </tp>
      <tp t="e">
        <v>#N/A</v>
        <stp/>
        <stp>BDH|10678462421964199383</stp>
        <tr r="AS1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Data...1682384333</v>
        <stp/>
        <stp>BDP|10297523734239490992</stp>
        <tr r="F19" s="446"/>
      </tp>
      <tp t="s">
        <v>#N/A Requesting Data...2569134666</v>
        <stp/>
        <stp>BDP|12796713228197729608</stp>
        <tr r="P20" s="252"/>
      </tp>
      <tp t="s">
        <v>#N/A Requesting Data...3528256214</v>
        <stp/>
        <stp>BDP|14277784462456832595</stp>
        <tr r="L17" s="338"/>
        <tr r="H17" s="338"/>
        <tr r="L18" s="338"/>
        <tr r="H18" s="338"/>
      </tp>
      <tp t="s">
        <v>#N/A Requesting Data...4061611054</v>
        <stp/>
        <stp>BDP|13066894584424507113</stp>
        <tr r="AA186" s="89"/>
        <tr r="Z186" s="89"/>
      </tp>
      <tp t="s">
        <v>#N/A Requesting Data...3481714822</v>
        <stp/>
        <stp>BDP|12177381937892779612</stp>
        <tr r="T20" s="89"/>
      </tp>
      <tp t="s">
        <v>#N/A Requesting Data...1992199229</v>
        <stp/>
        <stp>BDP|17797289754802274410</stp>
        <tr r="AH16" s="338"/>
        <tr r="AH38" s="338"/>
        <tr r="AH40" s="338"/>
      </tp>
      <tp t="s">
        <v>#N/A Requesting Data...2718359558</v>
        <stp/>
        <stp>BDP|10811773521330276340</stp>
        <tr r="F42" s="446"/>
      </tp>
      <tp t="s">
        <v>#N/A Requesting Data...2787935665</v>
        <stp/>
        <stp>BDP|10555016852265553684</stp>
        <tr r="V222" s="89"/>
        <tr r="AD4" s="2"/>
      </tp>
      <tp t="s">
        <v>#N/A Requesting Data...1391811876</v>
        <stp/>
        <stp>BDP|13421433827402325180</stp>
        <tr r="C28" s="2"/>
      </tp>
      <tp t="s">
        <v>#N/A Requesting Data...3251162043</v>
        <stp/>
        <stp>BDP|11291217706364885176</stp>
        <tr r="Q35" s="338"/>
      </tp>
      <tp t="s">
        <v>#N/A Requesting Data...2444657684</v>
        <stp/>
        <stp>BDP|11364787337662503131</stp>
        <tr r="L48" s="338"/>
        <tr r="J48" s="338"/>
        <tr r="L49" s="338"/>
        <tr r="J49" s="338"/>
      </tp>
      <tp t="s">
        <v>#N/A Requesting Data...3949247988</v>
        <stp/>
        <stp>BDP|10592355801820537596</stp>
        <tr r="V225" s="89"/>
      </tp>
      <tp t="s">
        <v>#N/A Requesting Data...3347527562</v>
        <stp/>
        <stp>BDP|17222791692139571612</stp>
        <tr r="C19" s="2"/>
      </tp>
      <tp t="s">
        <v>#N/A Requesting Data...3751699158</v>
        <stp/>
        <stp>BDP|12754284242295866781</stp>
        <tr r="Y6" s="252"/>
      </tp>
      <tp t="s">
        <v>#N/A Requesting Data...3354062397</v>
        <stp/>
        <stp>BDP|18269203655158880133</stp>
        <tr r="F39" s="446"/>
      </tp>
      <tp t="s">
        <v>#N/A Requesting Data...3683297095</v>
        <stp/>
        <stp>BDP|12227291512562192542</stp>
        <tr r="AJ37" s="338"/>
      </tp>
      <tp>
        <v>25396.5</v>
        <stp/>
        <stp>BDP|5290294231774893874|22</stp>
        <stp>4OH6 Index</stp>
        <stp>LAST_PRICE</stp>
        <tr r="S153" s="89"/>
        <tr r="S154" s="89"/>
      </tp>
      <tp t="s">
        <v>#N/A Requesting Data...3433484113</v>
        <stp/>
        <stp>BDP|16951549404092060765</stp>
        <tr r="V109" s="89"/>
      </tp>
      <tp t="s">
        <v>#N/A Requesting Data...2873538227</v>
        <stp/>
        <stp>BDP|14465682678745316685</stp>
        <tr r="V171" s="89"/>
      </tp>
      <tp t="s">
        <v>#N/A Requesting Data...1461881990</v>
        <stp/>
        <stp>BDP|11386689669882555588</stp>
        <tr r="E122" s="89"/>
      </tp>
      <tp t="s">
        <v>#N/A Requesting Data...2706877642</v>
        <stp/>
        <stp>BDP|16385386864915757060</stp>
        <tr r="T54" s="338"/>
      </tp>
      <tp t="s">
        <v>#N/A Requesting Data...3936964125</v>
        <stp/>
        <stp>BDP|11967224370684341665</stp>
        <tr r="T18" s="2"/>
      </tp>
      <tp t="s">
        <v>#N/A Requesting Data...2451774380</v>
        <stp/>
        <stp>BDP|13639162762852624052</stp>
        <tr r="AF18" s="1"/>
        <tr r="AF19" s="1"/>
      </tp>
      <tp t="s">
        <v>#N/A Requesting Data...2863886154</v>
        <stp/>
        <stp>BDP|16302213673966019302</stp>
        <tr r="V224" s="89"/>
      </tp>
      <tp t="s">
        <v>#N/A Requesting Data...2036144047</v>
        <stp/>
        <stp>BDP|14172029208847257580</stp>
        <tr r="V42" s="338"/>
      </tp>
      <tp t="s">
        <v>#N/A Requesting Data...2493089272</v>
        <stp/>
        <stp>BDP|13817818016325631992</stp>
        <tr r="T13" s="89"/>
        <tr r="AA27" s="2"/>
      </tp>
      <tp t="s">
        <v>#N/A Requesting Data...2737986194</v>
        <stp/>
        <stp>BDP|17101265217926745477</stp>
        <tr r="D26" s="89"/>
      </tp>
      <tp t="s">
        <v>#N/A Requesting Data...1042864247</v>
        <stp/>
        <stp>BDP|10374609618263940213</stp>
        <tr r="S30" s="338"/>
      </tp>
      <tp t="s">
        <v>#N/A Requesting Data...1296983920</v>
        <stp/>
        <stp>BDP|11156706822837900596</stp>
        <tr r="V51" s="338"/>
      </tp>
      <tp t="s">
        <v>#N/A N/A</v>
        <stp/>
        <stp>BDP|10137680139817712447</stp>
        <tr r="AC18" s="2"/>
        <tr r="AC19" s="2"/>
        <tr r="AC20" s="2"/>
      </tp>
      <tp t="s">
        <v>#N/A Requesting Data...1447059013</v>
        <stp/>
        <stp>BDP|18365939499897354990</stp>
        <tr r="D160" s="89"/>
      </tp>
      <tp t="s">
        <v>#N/A Requesting Data...4168123829</v>
        <stp/>
        <stp>BDP|11064610705050727104</stp>
        <tr r="V137" s="89"/>
      </tp>
      <tp t="s">
        <v>#N/A Requesting Data...3571472740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Data...3578399756</v>
        <stp/>
        <stp>BDP|17131675877271083137</stp>
        <tr r="Q44" s="338"/>
      </tp>
      <tp t="s">
        <v>#N/A Requesting Data...3838471401</v>
        <stp/>
        <stp>BDP|16272552922964616315</stp>
        <tr r="T129" s="89"/>
      </tp>
      <tp t="s">
        <v>#N/A Requesting Data...1301644227</v>
        <stp/>
        <stp>BDP|10078809003498061665</stp>
        <tr r="AH12" s="338"/>
      </tp>
      <tp t="s">
        <v>#N/A Requesting Data...3898629695</v>
        <stp/>
        <stp>BDP|11277689408467201656</stp>
        <tr r="T13" s="338"/>
      </tp>
      <tp t="s">
        <v>#N/A Requesting Data...3224467138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Data...2248805872</v>
        <stp/>
        <stp>BDP|10427861548958967244</stp>
        <tr r="AJ55" s="338"/>
        <tr r="AK14" s="338"/>
        <tr r="AK55" s="338"/>
      </tp>
      <tp t="s">
        <v>#N/A Requesting Data...4286157295</v>
        <stp/>
        <stp>BDP|12964383061440508121</stp>
        <tr r="S49" s="338"/>
      </tp>
      <tp t="s">
        <v>#N/A Requesting Data...1636870198</v>
        <stp/>
        <stp>BDP|17935753969917403773</stp>
        <tr r="F11" s="252"/>
      </tp>
      <tp t="s">
        <v>#N/A Requesting Data...2411739229</v>
        <stp/>
        <stp>BDP|16562085350705983025</stp>
        <tr r="D223" s="89"/>
      </tp>
      <tp t="s">
        <v>#N/A Requesting Data...4228736861</v>
        <stp/>
        <stp>BDP|12893396681958013760</stp>
        <tr r="C95" s="89"/>
      </tp>
      <tp t="e">
        <v>#N/A</v>
        <stp/>
        <stp>BDH|12026256062648550816</stp>
        <tr r="AU53" s="338"/>
        <tr r="AU10" s="338"/>
        <tr r="AP48" s="338"/>
        <tr r="AP47" s="338"/>
        <tr r="AP44" s="338"/>
      </tp>
      <tp t="e">
        <v>#N/A</v>
        <stp/>
        <stp>BDH|10658776607639471809</stp>
        <tr r="J18" s="252"/>
      </tp>
      <tp>
        <v>31.85</v>
        <stp/>
        <stp>BDP|5005092167591802286|22</stp>
        <stp>META US 04/17/26 C690 Equity</stp>
        <stp>bid</stp>
        <tr r="P9" s="2"/>
        <tr r="K170" s="89"/>
        <tr r="K179" s="89"/>
      </tp>
      <tp>
        <v>15.32</v>
        <stp/>
        <stp>BDP|9837294761191518328|22</stp>
        <stp>META US 04/17/26 C750 Equity</stp>
        <stp>mid</stp>
        <tr r="L8" s="2"/>
      </tp>
      <tp t="s">
        <v>#N/A Requesting Data...3417107294</v>
        <stp/>
        <stp>BDP|14882631572614102616</stp>
        <tr r="S10" s="252"/>
      </tp>
      <tp t="s">
        <v>#N/A Requesting Data...2528010478</v>
        <stp/>
        <stp>BDP|14222470646161364298</stp>
        <tr r="C13" s="2"/>
      </tp>
      <tp t="s">
        <v>#N/A Requesting Data...4253955275</v>
        <stp/>
        <stp>BDP|13396250829954504031</stp>
        <tr r="O222" s="89"/>
        <tr r="T4" s="2"/>
      </tp>
      <tp t="s">
        <v>#N/A Requesting Data...2862732455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Data...3685142228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Data...1156302750</v>
        <stp/>
        <stp>BDP|11929863970180381978</stp>
        <tr r="C19" s="89"/>
      </tp>
      <tp t="s">
        <v>#N/A Requesting Data...1283086934</v>
        <stp/>
        <stp>BDP|15404493773766767722</stp>
        <tr r="G36" s="446"/>
      </tp>
      <tp t="s">
        <v>#N/A Requesting Data...2277327445</v>
        <stp/>
        <stp>BDP|10498485443064599312</stp>
        <tr r="X50" s="338"/>
      </tp>
      <tp t="s">
        <v>#N/A Requesting Data...3105379389</v>
        <stp/>
        <stp>BDP|15078283603585761571</stp>
        <tr r="O171" s="89"/>
      </tp>
      <tp t="s">
        <v>#N/A Requesting Data...3078694877</v>
        <stp/>
        <stp>BDP|18114698683463557242</stp>
        <tr r="AG9" s="338"/>
      </tp>
      <tp t="s">
        <v>#N/A Requesting Data...2600824346</v>
        <stp/>
        <stp>BDP|14185986357608085749</stp>
        <tr r="V44" s="338"/>
      </tp>
      <tp t="s">
        <v>#N/A Requesting Data...1045178149</v>
        <stp/>
        <stp>BDP|13775077133931138686</stp>
        <tr r="AH41" s="338"/>
        <tr r="AH42" s="338"/>
        <tr r="AJ41" s="338"/>
        <tr r="AJ42" s="338"/>
      </tp>
      <tp t="s">
        <v>#N/A Requesting Data...4282284600</v>
        <stp/>
        <stp>BDP|10446085211167232151</stp>
        <tr r="T39" s="89"/>
      </tp>
      <tp t="s">
        <v>#N/A Requesting Data...3331597437</v>
        <stp/>
        <stp>BDP|14232577743505528792</stp>
        <tr r="F7" s="252"/>
      </tp>
      <tp t="s">
        <v>#N/A Requesting Data...3946416131</v>
        <stp/>
        <stp>BDP|12160744715592372196</stp>
        <tr r="T69" s="89"/>
      </tp>
      <tp t="s">
        <v>#N/A Requesting Data...3955989190</v>
        <stp/>
        <stp>BDP|11574581026225178405</stp>
        <tr r="Z63" s="89"/>
        <tr r="AA63" s="89"/>
      </tp>
      <tp t="s">
        <v>#N/A Requesting Data...1656296806</v>
        <stp/>
        <stp>BDP|14556104661927858316</stp>
        <tr r="K6" s="1"/>
      </tp>
      <tp t="s">
        <v>#N/A Requesting Data...3579281470</v>
        <stp/>
        <stp>BDP|12341108167772818008</stp>
        <tr r="T35" s="338"/>
      </tp>
      <tp t="s">
        <v>#N/A Requesting Data...1655407927</v>
        <stp/>
        <stp>BDP|13772195236723550526</stp>
        <tr r="X55" s="338"/>
      </tp>
      <tp t="s">
        <v>#N/A Requesting Data...1783985914</v>
        <stp/>
        <stp>BDP|17465284925626707608</stp>
        <tr r="C180" s="89"/>
        <tr r="D10" s="2"/>
      </tp>
      <tp t="s">
        <v>#N/A Requesting Data...2118804626</v>
        <stp/>
        <stp>BDP|17524118567766475161</stp>
        <tr r="F20" s="252"/>
      </tp>
      <tp t="s">
        <v>#N/A Requesting Data...3544534543</v>
        <stp/>
        <stp>BDP|13483096816386354391</stp>
        <tr r="S54" s="338"/>
      </tp>
      <tp t="s">
        <v>#N/A Requesting Data...1013750282</v>
        <stp/>
        <stp>BDP|16190103000157320731</stp>
        <tr r="V144" s="89"/>
      </tp>
      <tp t="s">
        <v>#N/A Requesting Data...3694115441</v>
        <stp/>
        <stp>BDP|18300697183042109391</stp>
        <tr r="O240" s="89"/>
      </tp>
      <tp t="s">
        <v>#N/A Requesting Data...1721070290</v>
        <stp/>
        <stp>BDP|12052868717818962496</stp>
        <tr r="AI32" s="338"/>
        <tr r="AI46" s="338"/>
        <tr r="AI50" s="338"/>
        <tr r="AI8" s="338"/>
      </tp>
      <tp t="s">
        <v>#N/A Requesting Data...3109746783</v>
        <stp/>
        <stp>BDP|12678050625094398357</stp>
        <tr r="AC25" s="1"/>
        <tr r="AC26" s="1"/>
        <tr r="D35" s="446"/>
      </tp>
      <tp t="s">
        <v>#N/A Requesting Data...2387518400</v>
        <stp/>
        <stp>BDP|10174429034410523025</stp>
        <tr r="E5" s="2"/>
      </tp>
      <tp t="s">
        <v>#N/A Requesting Data...1545961000</v>
        <stp/>
        <stp>BDP|14466338705836267600</stp>
        <tr r="C186" s="89"/>
      </tp>
      <tp t="s">
        <v>#N/A Requesting Data...3567480058</v>
        <stp/>
        <stp>BDP|15628721020833624411</stp>
        <tr r="E8" s="2"/>
      </tp>
      <tp t="s">
        <v>#N/A Requesting Data...2727171205</v>
        <stp/>
        <stp>BDP|15357058437984658543</stp>
        <tr r="E108" s="89"/>
      </tp>
      <tp t="s">
        <v>#N/A N/A</v>
        <stp/>
        <stp>BDP|13548034063303146173</stp>
        <tr r="AC16" s="2"/>
        <tr r="AC17" s="2"/>
      </tp>
      <tp t="s">
        <v>#N/A Requesting Data...1998554315</v>
        <stp/>
        <stp>BDP|10809595656630258773</stp>
        <tr r="N8" s="252"/>
        <tr r="N8" s="252"/>
      </tp>
      <tp t="s">
        <v>#N/A Requesting Data...1295830689</v>
        <stp/>
        <stp>BDP|11136935115988096638</stp>
        <tr r="AJ17" s="338"/>
        <tr r="AJ18" s="338"/>
      </tp>
      <tp t="s">
        <v>#N/A Requesting Data...2339531280</v>
        <stp/>
        <stp>BDP|17117535562106038540</stp>
        <tr r="X35" s="338"/>
      </tp>
      <tp t="s">
        <v>#N/A Requesting Data...2435185029</v>
        <stp/>
        <stp>BDP|10147112817613269429</stp>
        <tr r="O33" s="89"/>
      </tp>
      <tp t="s">
        <v>#N/A Requesting Data...2861553223</v>
        <stp/>
        <stp>BDP|11947265064485960753</stp>
        <tr r="U32" s="338"/>
      </tp>
      <tp t="s">
        <v>#N/A Requesting Data...4109565565</v>
        <stp/>
        <stp>BDP|13561760801782380171</stp>
        <tr r="T234" s="89"/>
        <tr r="AA11" s="2"/>
      </tp>
      <tp t="s">
        <v>#N/A N/A</v>
        <stp/>
        <stp>BDP|13856641820218803820</stp>
        <tr r="AB37" s="1"/>
      </tp>
      <tp t="e">
        <v>#N/A</v>
        <stp/>
        <stp>BDH|14211219041536460366</stp>
        <tr r="AM39" s="338"/>
        <tr r="AM15" s="338"/>
        <tr r="AR40" s="338"/>
      </tp>
      <tp t="e">
        <v>#N/A</v>
        <stp/>
        <stp>BDH|15465710644568509976</stp>
        <tr r="AU36" s="338"/>
        <tr r="AU35" s="338"/>
        <tr r="AP50" s="338"/>
        <tr r="AU34" s="338"/>
        <tr r="AP51" s="338"/>
        <tr r="AU37" s="338"/>
      </tp>
      <tp t="e">
        <v>#N/A</v>
        <stp/>
        <stp>BDH|16175195568990277647</stp>
        <tr r="AN42" s="338"/>
        <tr r="AN41" s="338"/>
      </tp>
      <tp t="e">
        <v>#N/A</v>
        <stp/>
        <stp>BDH|17449190208751687059</stp>
        <tr r="AR46" s="338"/>
        <tr r="AR32" s="338"/>
        <tr r="AR50" s="338"/>
        <tr r="AR8" s="338"/>
      </tp>
      <tp t="e">
        <v>#N/A</v>
        <stp/>
        <stp>BDH|14841814459759862757</stp>
        <tr r="W19" s="252"/>
        <tr r="T19" s="252"/>
      </tp>
      <tp t="e">
        <v>#N/A</v>
        <stp/>
        <stp>BDH|13379922788243716607</stp>
        <tr r="AP30" s="338"/>
        <tr r="AP29" s="338"/>
      </tp>
      <tp t="e">
        <v>#N/A</v>
        <stp/>
        <stp>BDH|17663640529772248671</stp>
        <tr r="J15" s="252"/>
      </tp>
      <tp>
        <v>83.03</v>
        <stp/>
        <stp>BDP|9722167412074972561|22</stp>
        <stp>MXCN Index</stp>
        <stp>LAST_PRICE</stp>
        <tr r="H17" s="252"/>
        <tr r="H17" s="252"/>
      </tp>
      <tp>
        <v>-0.20527209341526031</v>
        <stp/>
        <stp>BDP|18418713240494206607|22</stp>
        <stp>MRVL US 03/20/26 P75 Equity</stp>
        <stp>DELTA_MID_RT</stp>
        <tr r="AF15" s="2"/>
        <tr r="W50" s="89"/>
      </tp>
      <tp t="s">
        <v>USD</v>
        <stp/>
        <stp>BDP|8663214507502170487|22</stp>
        <stp>MU US 03/20/26 P350 Equity</stp>
        <stp>QUOTED_CURRENCY_REALTIME</stp>
        <tr r="F81" s="89"/>
      </tp>
      <tp t="s">
        <v>USD</v>
        <stp/>
        <stp>BDP|2757969101381368633|22</stp>
        <stp>MU US 03/20/26 C320 Equity</stp>
        <stp>QUOTED_CURRENCY_REALTIME</stp>
        <tr r="F40" s="89"/>
      </tp>
      <tp>
        <v>1.85</v>
        <stp/>
        <stp>BDP|9219352217858311461|22</stp>
        <stp>NFLX US 03/20/26 C105 Equity</stp>
        <stp>bid</stp>
        <tr r="K186" s="89"/>
      </tp>
      <tp>
        <v>15.4</v>
        <stp/>
        <stp>BDP|8554484547271150911|22</stp>
        <stp>META US 04/17/26 C750 Equity</stp>
        <stp>ask</stp>
        <tr r="Q8" s="2"/>
        <tr r="L169" s="89"/>
        <tr r="L178" s="89"/>
        <tr r="L233" s="89"/>
      </tp>
      <tp>
        <v>14.15</v>
        <stp/>
        <stp>BDP|1921472545453340531|22</stp>
        <stp>MSFT US 06/18/26 P425 Equity</stp>
        <stp>ask</stp>
        <tr r="L213" s="89"/>
      </tp>
      <tp>
        <v>-0.23807826638221741</v>
        <stp/>
        <stp>BDP|14374594026987326529|22</stp>
        <stp>MSFT US 06/18/26 P425 Equity</stp>
        <stp>DELTA_MID_RT</stp>
        <tr r="W213" s="89"/>
      </tp>
      <tp t="s">
        <v>#N/A Requesting Data...3438855593</v>
        <stp/>
        <stp>BDP|16351185019962298098</stp>
        <tr r="T26" s="89"/>
        <tr r="AA6" s="2"/>
      </tp>
      <tp t="s">
        <v>#N/A Requesting Data...2775289388</v>
        <stp/>
        <stp>BDP|11978278325994517174</stp>
        <tr r="D19" s="2"/>
      </tp>
      <tp t="s">
        <v>#N/A N/A</v>
        <stp/>
        <stp>BDP|12194689278231069699</stp>
        <tr r="AI38" s="1"/>
      </tp>
      <tp t="s">
        <v>#N/A N/A</v>
        <stp/>
        <stp>BDP|15839339977736656325</stp>
        <tr r="AB26" s="89"/>
        <tr r="AB27" s="89"/>
        <tr r="AB8" s="89"/>
        <tr r="AQ6" s="2"/>
        <tr r="AQ7" s="2"/>
      </tp>
      <tp t="s">
        <v>#N/A Requesting Data...4061717116</v>
        <stp/>
        <stp>BDP|10441895032989795603</stp>
        <tr r="AI11" s="338"/>
      </tp>
      <tp t="s">
        <v>#N/A Requesting Data...1600878271</v>
        <stp/>
        <stp>BDP|14551153309890461162</stp>
        <tr r="AA24" s="2"/>
      </tp>
      <tp t="s">
        <v>#N/A Requesting Data...3786088609</v>
        <stp/>
        <stp>BDP|14441106816594061499</stp>
        <tr r="C123" s="89"/>
      </tp>
      <tp t="s">
        <v>#N/A Requesting Data...1302197281</v>
        <stp/>
        <stp>BDP|18129626680660034281</stp>
        <tr r="AB31" s="1"/>
      </tp>
      <tp t="s">
        <v>#N/A Requesting Data...4215354820</v>
        <stp/>
        <stp>BDP|16150678046234374495</stp>
        <tr r="T37" s="338"/>
      </tp>
      <tp t="s">
        <v>#N/A Requesting Data...1148005685</v>
        <stp/>
        <stp>BDP|11019717141062892428</stp>
        <tr r="D222" s="89"/>
      </tp>
      <tp t="s">
        <v>#N/A Requesting Data...3541275518</v>
        <stp/>
        <stp>BDP|17414144810892892156</stp>
        <tr r="Q49" s="338"/>
      </tp>
      <tp t="s">
        <v>#N/A Requesting Data...3046339226</v>
        <stp/>
        <stp>BDP|16648266400645825550</stp>
        <tr r="T239" s="89"/>
      </tp>
      <tp t="s">
        <v>#N/A Requesting Data...3474201067</v>
        <stp/>
        <stp>BDP|13677881495424052263</stp>
        <tr r="V46" s="338"/>
      </tp>
      <tp t="s">
        <v>#N/A Requesting Data...3349611201</v>
        <stp/>
        <stp>BDP|17810208191751672937</stp>
        <tr r="U53" s="338"/>
      </tp>
      <tp t="s">
        <v>#N/A Requesting Data...3950564830</v>
        <stp/>
        <stp>BDP|13362587002474685639</stp>
        <tr r="G33" s="446"/>
      </tp>
      <tp t="s">
        <v>#N/A Requesting Data...3725889430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Data...1752633770</v>
        <stp/>
        <stp>BDP|10953387444814317799</stp>
        <tr r="S18" s="252"/>
      </tp>
      <tp t="s">
        <v>#N/A Requesting Data...1555895787</v>
        <stp/>
        <stp>BDP|16095389787508071105</stp>
        <tr r="V11" s="338"/>
      </tp>
      <tp t="s">
        <v>#N/A Requesting Data...2983271014</v>
        <stp/>
        <stp>BDP|11580587764812660407</stp>
        <tr r="P48" s="338"/>
      </tp>
      <tp t="s">
        <v>#N/A Requesting Data...3467292249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Data...2324981330</v>
        <stp/>
        <stp>BDP|15878521351180442107</stp>
        <tr r="D109" s="89"/>
      </tp>
      <tp t="s">
        <v>#N/A Requesting Data...2191949686</v>
        <stp/>
        <stp>BDP|13970059459100158254</stp>
        <tr r="T222" s="89"/>
        <tr r="AA4" s="2"/>
      </tp>
      <tp t="s">
        <v>#N/A Requesting Data...4099106219</v>
        <stp/>
        <stp>BDP|10930560316549062982</stp>
        <tr r="C160" s="89"/>
      </tp>
      <tp t="s">
        <v>#N/A Requesting Data...2246808353</v>
        <stp/>
        <stp>BDP|12303206642558827886</stp>
        <tr r="T213" s="89"/>
      </tp>
      <tp t="s">
        <v>#N/A Requesting Data...4228059451</v>
        <stp/>
        <stp>BDP|15390871013100552838</stp>
        <tr r="C62" s="89"/>
      </tp>
      <tp t="s">
        <v>#N/A Requesting Data...2054324670</v>
        <stp/>
        <stp>BDP|16023917640776957980</stp>
        <tr r="AI11" s="338"/>
        <tr r="AK11" s="338"/>
      </tp>
      <tp t="s">
        <v>#N/A Requesting Data...4145249785</v>
        <stp/>
        <stp>BDP|14437871301241284935</stp>
        <tr r="AJ36" s="338"/>
      </tp>
      <tp t="s">
        <v>#N/A Requesting Data...3236717800</v>
        <stp/>
        <stp>BDP|11214745035248274920</stp>
        <tr r="V32" s="338"/>
      </tp>
      <tp t="s">
        <v>#N/A Requesting Data...1613074638</v>
        <stp/>
        <stp>BDP|12168490429210433067</stp>
        <tr r="T170" s="89"/>
        <tr r="T179" s="89"/>
        <tr r="AA9" s="2"/>
      </tp>
      <tp t="s">
        <v>#N/A Requesting Data...3740709943</v>
        <stp/>
        <stp>BDP|11625676250200786659</stp>
        <tr r="T32" s="338"/>
      </tp>
      <tp t="s">
        <v>#N/A Requesting Data...1818580661</v>
        <stp/>
        <stp>BDP|13296159244091423359</stp>
        <tr r="P29" s="338"/>
      </tp>
      <tp t="s">
        <v>#N/A N/A</v>
        <stp/>
        <stp>BDP|18042899846108511886</stp>
        <tr r="AB20" s="89"/>
        <tr r="AB250" s="89"/>
        <tr r="AB19" s="89"/>
        <tr r="AQ24" s="2"/>
      </tp>
      <tp t="s">
        <v>#N/A Requesting Data...3088551358</v>
        <stp/>
        <stp>BDP|10190934152880793852</stp>
        <tr r="X52" s="338"/>
      </tp>
      <tp t="s">
        <v>#N/A Requesting Data...1803025267</v>
        <stp/>
        <stp>BDP|14059396921424230587</stp>
        <tr r="AF21" s="1"/>
        <tr r="AF22" s="1"/>
        <tr r="AF14" s="338"/>
        <tr r="AF35" s="338"/>
      </tp>
      <tp t="s">
        <v>#N/A Requesting Data...3147025888</v>
        <stp/>
        <stp>BDP|12679894611876997952</stp>
        <tr r="S44" s="338"/>
      </tp>
      <tp t="s">
        <v>#N/A Requesting Data...3303663441</v>
        <stp/>
        <stp>BDP|16872480006000637658</stp>
        <tr r="E22" s="2"/>
      </tp>
      <tp t="s">
        <v>#N/A Requesting Data...4180381584</v>
        <stp/>
        <stp>BDP|17956776735294864366</stp>
        <tr r="E145" s="89"/>
      </tp>
      <tp t="s">
        <v>#N/A Requesting Data...1328641500</v>
        <stp/>
        <stp>BDP|13164210523337526031</stp>
        <tr r="E89" s="89"/>
      </tp>
      <tp t="s">
        <v>#N/A Requesting Data...1289105856</v>
        <stp/>
        <stp>BDP|10130888374289856216</stp>
        <tr r="U13" s="338"/>
      </tp>
      <tp t="s">
        <v>#N/A Requesting Data...1412798901</v>
        <stp/>
        <stp>BDP|14375194298038787012</stp>
        <tr r="F17" s="2"/>
      </tp>
      <tp t="s">
        <v>#N/A Requesting Data...1458673749</v>
        <stp/>
        <stp>BDP|12072061123567199335</stp>
        <tr r="X16" s="338"/>
        <tr r="X38" s="338"/>
      </tp>
      <tp t="s">
        <v>#N/A Requesting Data...1981107709</v>
        <stp/>
        <stp>BDP|10337841861653211939</stp>
        <tr r="F14" s="446"/>
      </tp>
      <tp t="s">
        <v>#N/A Requesting Data...2842741523</v>
        <stp/>
        <stp>BDP|13510264833692721404</stp>
        <tr r="U49" s="338"/>
      </tp>
      <tp t="s">
        <v>#N/A Requesting Data...2233083113</v>
        <stp/>
        <stp>BDP|10643918097663219742</stp>
        <tr r="O234" s="89"/>
        <tr r="T11" s="2"/>
      </tp>
      <tp t="s">
        <v>#N/A N/A</v>
        <stp/>
        <stp>BDP|11787465995569492169</stp>
        <tr r="AC25" s="2"/>
      </tp>
      <tp t="s">
        <v>#N/A N/A</v>
        <stp/>
        <stp>BDP|11243430201469561835</stp>
        <tr r="AI23" s="1"/>
        <tr r="AI24" s="1"/>
      </tp>
      <tp t="s">
        <v>#N/A Real Time</v>
        <stp/>
        <stp>BDP|1386421501419148260|22</stp>
        <stp>MP US 09/19/25 P46 Equity</stp>
        <stp>DELTA_MID_RT</stp>
        <tr r="W240" s="89"/>
      </tp>
      <tp t="e">
        <v>#N/A</v>
        <stp/>
        <stp>BDH|13601424513966628475</stp>
        <tr r="AU32" s="338"/>
        <tr r="AU8" s="338"/>
        <tr r="AU50" s="338"/>
        <tr r="AU46" s="338"/>
      </tp>
      <tp t="e">
        <v>#N/A</v>
        <stp/>
        <stp>BDH|13491740754324205102</stp>
        <tr r="AP13" s="338"/>
        <tr r="AP34" s="338"/>
      </tp>
      <tp t="e">
        <v>#N/A</v>
        <stp/>
        <stp>BDH|14787871165809047737</stp>
        <tr r="J10" s="252"/>
      </tp>
      <tp t="e">
        <v>#N/A</v>
        <stp/>
        <stp>BDH|11092295421045696072</stp>
        <tr r="AP52" s="338"/>
        <tr r="AP53" s="338"/>
        <tr r="AP54" s="338"/>
      </tp>
      <tp t="e">
        <v>#N/A</v>
        <stp/>
        <stp>BDH|16672970112362927852</stp>
        <tr r="AN44" s="338"/>
        <tr r="AN48" s="338"/>
        <tr r="AN47" s="338"/>
        <tr r="AS10" s="338"/>
        <tr r="AS53" s="338"/>
      </tp>
      <tp t="e">
        <v>#N/A</v>
        <stp/>
        <stp>BDH|13370539732163889248</stp>
        <tr r="AR53" s="338"/>
        <tr r="AM44" s="338"/>
        <tr r="AM47" s="338"/>
        <tr r="AR10" s="338"/>
        <tr r="AM48" s="338"/>
      </tp>
      <tp>
        <v>17.649999999999999</v>
        <stp/>
        <stp>BDP|7023975285926683061|22</stp>
        <stp>MSFT US 03/20/26 P465 Equity</stp>
        <stp>bid</stp>
        <tr r="P20" s="2"/>
      </tp>
      <tp t="s">
        <v>#N/A Requesting Data...1821416661</v>
        <stp/>
        <stp>BDP|10508197528283416594</stp>
        <tr r="X48" s="338"/>
      </tp>
      <tp t="s">
        <v>#N/A Requesting Data...1981585513</v>
        <stp/>
        <stp>BDP|13237779298780743820</stp>
        <tr r="E212" s="89"/>
      </tp>
      <tp t="s">
        <v>#N/A N/A</v>
        <stp/>
        <stp>BDP|10976567873595722239</stp>
        <tr r="AV26" s="2"/>
        <tr r="R7" s="89"/>
        <tr r="R14" s="89"/>
        <tr r="R13" s="89"/>
        <tr r="AV27" s="2"/>
        <tr r="AV28" s="2"/>
      </tp>
      <tp t="s">
        <v>#N/A Requesting Data...3581845406</v>
        <stp/>
        <stp>BDP|15688066863846340087</stp>
        <tr r="D28" s="446"/>
      </tp>
      <tp t="s">
        <v>#N/A Requesting Data...2023558112</v>
        <stp/>
        <stp>BDP|10174366559095309654</stp>
        <tr r="Z137" s="89"/>
        <tr r="AA137" s="89"/>
      </tp>
      <tp t="s">
        <v>#N/A Requesting Data...1553758272</v>
        <stp/>
        <stp>BDP|14882594108307378316</stp>
        <tr r="V195" s="89"/>
      </tp>
      <tp t="s">
        <v>#N/A Requesting Data...1763481518</v>
        <stp/>
        <stp>BDP|15767057305588506896</stp>
        <tr r="AH10" s="338"/>
        <tr r="AH11" s="338"/>
        <tr r="AH33" s="338"/>
      </tp>
      <tp t="s">
        <v>#N/A Requesting Data...1258308037</v>
        <stp/>
        <stp>BDP|12598914732268945550</stp>
        <tr r="E10" s="1"/>
      </tp>
      <tp t="s">
        <v>#N/A Requesting Data...2805893429</v>
        <stp/>
        <stp>BDP|10946231384896009942</stp>
        <tr r="N15" s="252"/>
        <tr r="N15" s="252"/>
      </tp>
      <tp t="s">
        <v>#N/A Requesting Data...3247018723</v>
        <stp/>
        <stp>BDP|10968744678995921066</stp>
        <tr r="C82" s="89"/>
      </tp>
      <tp t="s">
        <v>#N/A Requesting Data...4075112010</v>
        <stp/>
        <stp>BDP|11098096253680456149</stp>
        <tr r="P16" s="338"/>
        <tr r="P38" s="338"/>
      </tp>
      <tp t="s">
        <v>#N/A Requesting Data...3879017477</v>
        <stp/>
        <stp>BDP|12490577043850363694</stp>
        <tr r="C170" s="89"/>
        <tr r="C179" s="89"/>
        <tr r="D9" s="2"/>
      </tp>
      <tp t="s">
        <v>#N/A Requesting Data...3738645124</v>
        <stp/>
        <stp>BDP|10787623999933097918</stp>
        <tr r="L10" s="252"/>
        <tr r="L10" s="252"/>
      </tp>
      <tp t="s">
        <v>#N/A Requesting Data...2760774146</v>
        <stp/>
        <stp>BDP|12736980550379200202</stp>
        <tr r="O250" s="89"/>
      </tp>
      <tp t="s">
        <v>#N/A Requesting Data...1945050203</v>
        <stp/>
        <stp>BDP|15872646771885299421</stp>
        <tr r="F16" s="446"/>
      </tp>
      <tp t="s">
        <v>#N/A Requesting Data...1932048017</v>
        <stp/>
        <stp>BDP|13400520929334702555</stp>
        <tr r="T196" s="89"/>
      </tp>
      <tp t="s">
        <v>#N/A Requesting Data...3545495190</v>
        <stp/>
        <stp>BDP|17880720944415059422</stp>
        <tr r="E247" s="89"/>
      </tp>
      <tp t="s">
        <v>#N/A Requesting Data...3271014417</v>
        <stp/>
        <stp>BDP|17220718142881835059</stp>
        <tr r="F14" s="252"/>
      </tp>
      <tp t="s">
        <v>#N/A Requesting Data...2708652851</v>
        <stp/>
        <stp>BDP|12558430699342487846</stp>
        <tr r="E187" s="89"/>
      </tp>
      <tp t="s">
        <v>#N/A N/A</v>
        <stp/>
        <stp>BDP|15051140014688420859</stp>
        <tr r="AC38" s="1"/>
      </tp>
      <tp t="s">
        <v>#N/A Requesting Data...4255706465</v>
        <stp/>
        <stp>BDP|11160692723917345791</stp>
        <tr r="C169" s="89"/>
        <tr r="C178" s="89"/>
        <tr r="C233" s="89"/>
        <tr r="D8" s="2"/>
      </tp>
      <tp t="s">
        <v>#N/A Requesting Data...3207819636</v>
        <stp/>
        <stp>BDP|13738518813242630024</stp>
        <tr r="U55" s="338"/>
      </tp>
      <tp t="s">
        <v>#N/A Requesting Data...1873415724</v>
        <stp/>
        <stp>BDP|16068368952433220674</stp>
        <tr r="D145" s="89"/>
      </tp>
      <tp t="s">
        <v>#N/A Requesting Data...3742681920</v>
        <stp/>
        <stp>BDP|18157990034051955640</stp>
        <tr r="D49" s="89"/>
        <tr r="D55" s="89"/>
      </tp>
      <tp t="s">
        <v>#N/A Requesting Data...4181308684</v>
        <stp/>
        <stp>BDP|16652792676247878413</stp>
        <tr r="F16" s="2"/>
      </tp>
      <tp t="s">
        <v>#N/A Requesting Data...3809159787</v>
        <stp/>
        <stp>BDP|10830522917212474394</stp>
        <tr r="M6" s="252"/>
      </tp>
      <tp t="s">
        <v>#N/A Requesting Data...3483573900</v>
        <stp/>
        <stp>BDP|13449047331402957787</stp>
        <tr r="F15" s="2"/>
      </tp>
      <tp t="s">
        <v>#N/A Requesting Data...1561676656</v>
        <stp/>
        <stp>BDP|16215987426051561994</stp>
        <tr r="Q8" s="338"/>
      </tp>
      <tp t="s">
        <v>#N/A Requesting Data...2209525864</v>
        <stp/>
        <stp>BDP|18084406293147533752</stp>
        <tr r="C205" s="89"/>
        <tr r="D23" s="2"/>
      </tp>
      <tp t="s">
        <v>#N/A Requesting Data...2384533436</v>
        <stp/>
        <stp>BDP|14342024613619901985</stp>
        <tr r="F32" s="446"/>
      </tp>
      <tp t="s">
        <v>#N/A Requesting Data...1736096595</v>
        <stp/>
        <stp>BDP|17882539857607640595</stp>
        <tr r="AG54" s="338"/>
      </tp>
      <tp t="s">
        <v>#N/A Requesting Data...2527556155</v>
        <stp/>
        <stp>BDP|13450917922399223467</stp>
        <tr r="G34" s="446"/>
      </tp>
      <tp t="s">
        <v>#N/A N/A</v>
        <stp/>
        <stp>BDP|12142735374617755031</stp>
        <tr r="AG37" s="1"/>
      </tp>
      <tp t="s">
        <v>#N/A Requesting Data...2182919035</v>
        <stp/>
        <stp>BDP|14364243933651738112</stp>
        <tr r="V213" s="89"/>
      </tp>
      <tp t="s">
        <v>#N/A Requesting Data...2233710876</v>
        <stp/>
        <stp>BDP|10511277652532461062</stp>
        <tr r="Z90" s="89"/>
        <tr r="AA90" s="89"/>
      </tp>
      <tp t="s">
        <v>#N/A Requesting Data...4017648492</v>
        <stp/>
        <stp>BDP|10502345237505392003</stp>
        <tr r="E239" s="89"/>
      </tp>
      <tp t="s">
        <v>#N/A Requesting Data...3521229324</v>
        <stp/>
        <stp>BDP|14655831860859350630</stp>
        <tr r="L13" s="338"/>
        <tr r="J13" s="338"/>
      </tp>
      <tp t="s">
        <v>#N/A Requesting Data...4172085523</v>
        <stp/>
        <stp>BDP|12932290900667287274</stp>
        <tr r="AR9" s="2"/>
      </tp>
      <tp t="s">
        <v>#N/A Requesting Data...1907677721</v>
        <stp/>
        <stp>BDP|12119919986726699051</stp>
        <tr r="C33" s="89"/>
      </tp>
      <tp t="s">
        <v>#N/A Requesting Data...2032228609</v>
        <stp/>
        <stp>BDP|18269255641489268206</stp>
        <tr r="AC18" s="1"/>
        <tr r="AC19" s="1"/>
      </tp>
      <tp t="s">
        <v>#N/A Requesting Data...3245413490</v>
        <stp/>
        <stp>BDP|15660791077340487089</stp>
        <tr r="E1" s="1"/>
      </tp>
      <tp t="s">
        <v>#N/A Requesting Data...3826400204</v>
        <stp/>
        <stp>BDP|10749732335826116771</stp>
        <tr r="D224" s="89"/>
      </tp>
      <tp t="s">
        <v>#N/A Requesting Data...3080501484</v>
        <stp/>
        <stp>BDP|17137121905651590241</stp>
        <tr r="AA234" s="89"/>
        <tr r="Z234" s="89"/>
      </tp>
      <tp t="s">
        <v>#N/A Requesting Data...3481041085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Data...3542840743</v>
        <stp/>
        <stp>BDP|11838573161432005595</stp>
        <tr r="C187" s="89"/>
      </tp>
      <tp t="s">
        <v>#N/A Requesting Data...3118134154</v>
        <stp/>
        <stp>BDP|17114611528944869260</stp>
        <tr r="AI12" s="338"/>
        <tr r="AK12" s="338"/>
      </tp>
      <tp t="s">
        <v>#N/A Requesting Data...3368885123</v>
        <stp/>
        <stp>BDP|14505061934744038618</stp>
        <tr r="AB2" s="1"/>
      </tp>
      <tp t="s">
        <v>#N/A Requesting Data...3231479966</v>
        <stp/>
        <stp>BDP|11370170641465778442</stp>
        <tr r="O170" s="89"/>
        <tr r="O179" s="89"/>
        <tr r="T9" s="2"/>
      </tp>
      <tp t="e">
        <v>#N/A</v>
        <stp/>
        <stp>BDH|16049210130715336724</stp>
        <tr r="AN46" s="338"/>
        <tr r="AN49" s="338"/>
        <tr r="AS33" s="338"/>
        <tr r="AS41" s="338"/>
        <tr r="AN45" s="338"/>
        <tr r="AS47" s="338"/>
        <tr r="AS51" s="338"/>
        <tr r="AS31" s="338"/>
      </tp>
      <tp t="e">
        <v>#N/A</v>
        <stp/>
        <stp>BDH|14131773964710507045</stp>
        <tr r="J9" s="252"/>
      </tp>
      <tp t="e">
        <v>#N/A</v>
        <stp/>
        <stp>BDH|11480644720960533067</stp>
        <tr r="AS54" s="338"/>
      </tp>
      <tp t="e">
        <v>#N/A</v>
        <stp/>
        <stp>BDH|10825554036716072545</stp>
        <tr r="W8" s="252"/>
        <tr r="T8" s="252"/>
      </tp>
      <tp t="e">
        <v>#N/A</v>
        <stp/>
        <stp>BDH|11367798236722461264</stp>
        <tr r="AS8" s="338"/>
        <tr r="AS46" s="338"/>
        <tr r="AS50" s="338"/>
        <tr r="AS32" s="338"/>
      </tp>
      <tp t="e">
        <v>#N/A</v>
        <stp/>
        <stp>BDH|12817058387938472701</stp>
        <tr r="W10" s="252"/>
        <tr r="T10" s="252"/>
      </tp>
    </main>
    <main first="bofaddin.rtdserver">
      <tp>
        <v>15308.32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248.78</v>
        <stp/>
        <stp>BDP|7062867511992634566|22</stp>
        <stp>IWM EQUITY</stp>
        <stp>LAST_PRICE</stp>
        <tr r="I8" s="1"/>
      </tp>
      <tp>
        <v>-0.22426687180995941</v>
        <stp/>
        <stp>BDP|16965813729943912763|22</stp>
        <stp>META US 04/17/26 C690 Equity</stp>
        <stp>theta_mid_rt</stp>
        <tr r="AN9" s="2"/>
      </tp>
      <tp>
        <v>-0.18991203606128693</v>
        <stp/>
        <stp>BDP|14334277381563954133|22</stp>
        <stp>META US 04/17/26 P600 Equity</stp>
        <stp>theta_mid_rt</stp>
        <tr r="AN10" s="2"/>
      </tp>
      <tp>
        <v>-1</v>
        <stp/>
        <stp>BDP|3768667028375977393|22</stp>
        <stp>QQQ US 01/02/26 P614 Equity</stp>
        <stp>DELTA_MID_RT</stp>
        <tr r="AF16" s="2"/>
      </tp>
      <tp t="s">
        <v>USD</v>
        <stp/>
        <stp>BDP|3305167708709394523|22</stp>
        <stp>NVDA US 01/09/26 C195 Equity</stp>
        <stp>QUOTED_CURRENCY_REALTIME</stp>
        <tr r="F20" s="89"/>
      </tp>
      <tp>
        <v>-0.17745555937290192</v>
        <stp/>
        <stp>BDP|15866217956374239301|22</stp>
        <stp>META US 04/17/26 C750 Equity</stp>
        <stp>theta_mid_rt</stp>
        <tr r="AN8" s="2"/>
      </tp>
      <tp>
        <v>-3.2495662569999695E-2</v>
        <stp/>
        <stp>BDP|13749696635708035376|22</stp>
        <stp>NFLX US 03/20/26 P83 Equity</stp>
        <stp>theta_mid_rt</stp>
        <tr r="AN23" s="2"/>
      </tp>
      <tp>
        <v>211.79</v>
        <stp/>
        <stp>BDP|14695328540844976221|22</stp>
        <stp>GSENEPOW Equity</stp>
        <stp>LAST PRICE</stp>
        <tr r="G41" s="338"/>
        <tr r="G42" s="338"/>
      </tp>
      <tp>
        <v>-0.27896606922149658</v>
        <stp/>
        <stp>BDP|881815071269395294|22</stp>
        <stp>META US 04/17/26 P600 Equity</stp>
        <stp>DELTA_MID_RT</stp>
        <tr r="W180" s="89"/>
        <tr r="AF10" s="2"/>
      </tp>
      <tp>
        <v>5.15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347.62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USD</v>
        <stp/>
        <stp>BDP|14268430350765638206|22</stp>
        <stp>SMH US 01/09/26 P355 Equity</stp>
        <stp>QUOTED_CURRENCY_REALTIME</stp>
        <tr r="G25" s="2"/>
      </tp>
      <tp t="s">
        <v>USD</v>
        <stp/>
        <stp>BDP|1051047005765910697|22</stp>
        <stp>NFLX US 03/20/26 C104 Equity</stp>
        <stp>QUOTED_CURRENCY_REALTIME</stp>
        <tr r="G21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373.36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62.24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Data...2441133886</v>
        <stp/>
        <stp>BDP|3297967097008051</stp>
        <tr r="AA223" s="89"/>
        <tr r="Z223" s="89"/>
      </tp>
      <tp>
        <v>-0.15986037254333496</v>
        <stp/>
        <stp>BDP|12672802728808900930|22</stp>
        <stp>META US 04/17/26 P570 Equity</stp>
        <stp>theta_mid_rt</stp>
        <tr r="AN11" s="2"/>
      </tp>
      <tp>
        <v>346.48</v>
        <stp/>
        <stp>BDP|4205875099267338750|22</stp>
        <stp>V Equity</stp>
        <stp>LAST PRICE</stp>
        <tr r="G15" s="338"/>
        <tr r="G39" s="338"/>
        <tr r="I40" s="338"/>
      </tp>
      <tp>
        <v>0.81122386455535889</v>
        <stp/>
        <stp>BDP|5790018520298994142|22</stp>
        <stp>TSM US 01/16/26 C300 Equity</stp>
        <stp>DELTA_MID_RT</stp>
        <tr r="AF26" s="2"/>
        <tr r="W7" s="89"/>
      </tp>
      <tp>
        <v>319.61</v>
        <stp/>
        <stp>BDP|5454315708850008901|22</stp>
        <stp>TSM EQUITY</stp>
        <stp>LAST_PRICE</stp>
        <tr r="C3" s="1"/>
      </tp>
      <tp>
        <v>-0.53436738252639771</v>
        <stp/>
        <stp>BDP|15792950336144286205|22</stp>
        <stp>LITE US 02/20/26 C400 Equity</stp>
        <stp>theta_mid_rt</stp>
        <tr r="AN6" s="2"/>
      </tp>
      <tp t="s">
        <v>#N/A Requesting Data...</v>
        <stp/>
        <stp>BDP|5975749696097857133|22</stp>
        <stp>1,4406952434465 Index</stp>
        <stp>mid</stp>
        <tr r="L1" s="2"/>
      </tp>
      <tp t="s">
        <v>USD</v>
        <stp/>
        <stp>BDP|8968835041266796325|22</stp>
        <stp>FSLR US 03/20/26 C290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9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85.73</v>
        <stp/>
        <stp>BDP|8298849158053579169|22</stp>
        <stp>GDX  Equity</stp>
        <stp>LAST_PRICE</stp>
        <tr r="I32" s="1"/>
        <tr r="I33" s="1"/>
        <tr r="I34" s="1"/>
      </tp>
      <tp>
        <v>678000</v>
        <stp/>
        <stp>BDP|6431978350865048428|22</stp>
        <stp>000660 KS Equity</stp>
        <stp>LAST_PRICE</stp>
        <tr r="I31" s="1"/>
      </tp>
      <tp>
        <v>-2.1510000806301832E-3</v>
        <stp/>
        <stp>BDP|8116709989559140265|22</stp>
        <stp>QQQ US 12/26/25 P600 Equity</stp>
        <stp>DELTA_MID_RT</stp>
        <tr r="W69" s="89"/>
      </tp>
      <tp>
        <v>-4.3464675545692444E-2</v>
        <stp/>
        <stp>BDP|15158621682476696755|22</stp>
        <stp>MRVL US 03/20/26 P75 Equity</stp>
        <stp>theta_mid_rt</stp>
        <tr r="AN15" s="2"/>
      </tp>
      <tp t="s">
        <v>USD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BDP|9000895388158707545|22</stp>
        <stp>AMZN US 03/20/26 P200 Equity</stp>
        <stp>QUOTED_CURRENCY_REALTIME</stp>
        <tr r="F197" s="89"/>
      </tp>
      <tp t="s">
        <v>USD</v>
        <stp/>
        <stp>BDP|7314079190255774593|22</stp>
        <stp>LITE US 01/16/26 C440 Equity</stp>
        <stp>QUOTED_CURRENCY_REALTIME</stp>
        <tr r="F8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USD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315.28500000000003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13.65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BDP|10562747712589691660|22</stp>
        <stp>QQQ US 12/26/25 P600 Equity</stp>
        <stp>QUOTED_CURRENCY_REALTIME</stp>
        <tr r="F69" s="89"/>
      </tp>
      <tp t="s">
        <v>USD</v>
        <stp/>
        <stp>BDP|10587825295239007605|22</stp>
        <stp>TSM US 03/20/26 C300 Equity</stp>
        <stp>QUOTED_CURRENCY_REALTIME</stp>
        <tr r="F13" s="89"/>
        <tr r="G27" s="2"/>
      </tp>
      <tp>
        <v>0.37556198239326477</v>
        <stp/>
        <stp>BDP|724077634925384654|22</stp>
        <stp>MSFT US 06/18/26 C515 Equity</stp>
        <stp>DELTA_MID_RT</stp>
        <tr r="W212" s="89"/>
      </tp>
      <tp>
        <v>-0.13154369592666626</v>
        <stp/>
        <stp>BDP|6555093673399371725|22</stp>
        <stp>SMH US 01/09/26 P355 Equity</stp>
        <stp>DELTA_MID_RT</stp>
        <tr r="W76" s="89"/>
        <tr r="AF25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5988.2383</v>
        <stp/>
        <stp>BDP|12063806539307343070|22</stp>
        <stp>H11137 Index</stp>
        <stp>LAST_PRICE</stp>
        <tr r="H13" s="252"/>
        <tr r="H13" s="252"/>
      </tp>
      <tp>
        <v>226.5</v>
        <stp/>
        <stp>BDP|11431942920512482031|22</stp>
        <stp>AMZN US Equity</stp>
        <stp>LAST_PRICE</stp>
        <tr r="S248" s="89"/>
        <tr r="S197" s="89"/>
        <tr r="S195" s="89"/>
        <tr r="S196" s="89"/>
      </tp>
      <tp>
        <v>613.12</v>
        <stp/>
        <stp>BDP|360499996244621952|22</stp>
        <stp>QQQ US Equity</stp>
        <stp>LAST_PRICE</stp>
        <tr r="S62" s="89"/>
        <tr r="S63" s="89"/>
        <tr r="S68" s="89"/>
        <tr r="S69" s="89"/>
        <tr r="Z16" s="2"/>
        <tr r="Z17" s="2"/>
      </tp>
      <tp t="s">
        <v>USD</v>
        <stp/>
        <stp>BDP|4440794906767049796|22</stp>
        <stp>META US 04/17/26 P570 Equity</stp>
        <stp>QUOTED_CURRENCY_REALTIME</stp>
        <tr r="F234" s="89"/>
        <tr r="G11" s="2"/>
      </tp>
      <tp t="s">
        <v>#N/A Real Time</v>
        <stp/>
        <stp>BDP|15463751634066228508|22</stp>
        <stp>MRYWZ4C4 2390 Index</stp>
        <stp>ask</stp>
        <tr r="L129" s="89"/>
      </tp>
      <tp t="s">
        <v>USD</v>
        <stp/>
        <stp>BDP|10656173566572161797|22</stp>
        <stp>MU US 03/20/26 C280 Equity</stp>
        <stp>QUOTED_CURRENCY_REALTIME</stp>
        <tr r="F39" s="89"/>
      </tp>
      <tp>
        <v>650.41</v>
        <stp/>
        <stp>BDP|12884552599081678750|22</stp>
        <stp>META US Equity</stp>
        <stp>LAST_PRICE</stp>
        <tr r="Z8" s="2"/>
        <tr r="Z9" s="2"/>
        <tr r="S169" s="89"/>
        <tr r="S170" s="89"/>
        <tr r="S178" s="89"/>
        <tr r="S180" s="89"/>
        <tr r="S233" s="89"/>
        <tr r="S234" s="89"/>
        <tr r="S249" s="89"/>
        <tr r="S171" s="89"/>
        <tr r="Z10" s="2"/>
        <tr r="Z11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-3.0792856588959694E-2</v>
        <stp/>
        <stp>BDP|14588396646094017920|22</stp>
        <stp>NFLX US 03/20/26 C104 Equity</stp>
        <stp>theta_mid_rt</stp>
        <tr r="AN21" s="2"/>
      </tp>
      <tp>
        <v>-5.8882705867290497E-2</v>
        <stp/>
        <stp>BDP|16450688722296063441|22</stp>
        <stp>MRVL US 03/20/26 P90 Equity</stp>
        <stp>theta_mid_rt</stp>
        <tr r="AN12" s="2"/>
      </tp>
      <tp t="s">
        <v>USD</v>
        <stp/>
        <stp>BDP|10517002710019781904|22</stp>
        <stp>TSM US 03/20/26 C330 Equity</stp>
        <stp>QUOTED_CURRENCY_REALTIME</stp>
        <tr r="F14" s="89"/>
        <tr r="G28" s="2"/>
      </tp>
      <tp>
        <v>-5.6011337786912918E-2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>
        <v>-0.15352672338485718</v>
        <stp/>
        <stp>BDP|10245752736782328205|22</stp>
        <stp>MSFT US 03/20/26 C490 Equity</stp>
        <stp>theta_mid_rt</stp>
        <tr r="AN19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USD</v>
        <stp/>
        <stp>BDP|1208703195973368382|22</stp>
        <stp>AMZN US 03/20/26 C235 Equity</stp>
        <stp>QUOTED_CURRENCY_REALTIME</stp>
        <tr r="F196" s="89"/>
      </tp>
      <tp>
        <v>613.12</v>
        <stp/>
        <stp>BDP|2689810960265066336|22</stp>
        <stp>QQQ EQUITY</stp>
        <stp>LAST_PRICE</stp>
        <tr r="I6" s="1"/>
      </tp>
      <tp t="s">
        <v>#N/A Requesting Data...1724987006</v>
        <stp/>
        <stp>BDP|3970119255888163378</stp>
        <tr r="L14" s="338"/>
        <tr r="H14" s="338"/>
        <tr r="L35" s="338"/>
        <tr r="H35" s="338"/>
      </tp>
      <tp t="s">
        <v>#N/A Requesting Data...3041451308</v>
        <stp/>
        <stp>BDP|6079579929065496810</stp>
        <tr r="O17" s="252"/>
      </tp>
      <tp t="s">
        <v>#N/A Requesting Data...1647314647</v>
        <stp/>
        <stp>BDP|7892942422180160079</stp>
        <tr r="AF29" s="338"/>
        <tr r="AF30" s="338"/>
      </tp>
      <tp t="s">
        <v>#N/A Requesting Data...1401907542</v>
        <stp/>
        <stp>BDP|2222944900643905476</stp>
        <tr r="C18" s="2"/>
      </tp>
      <tp t="s">
        <v>#N/A Requesting Data...1915040406</v>
        <stp/>
        <stp>BDP|6875767680954769102</stp>
        <tr r="AR5" s="2"/>
      </tp>
      <tp t="s">
        <v>#N/A Requesting Data...3120906537</v>
        <stp/>
        <stp>BDP|7500005297250850236</stp>
        <tr r="K1" s="1"/>
      </tp>
      <tp t="s">
        <v>#N/A Requesting Data...3891679509</v>
        <stp/>
        <stp>BDP|7828562231434179977</stp>
        <tr r="G30" s="446"/>
      </tp>
      <tp t="s">
        <v>#N/A Requesting Data...3102600120</v>
        <stp/>
        <stp>BDP|5719360958046661910</stp>
        <tr r="U16" s="338"/>
        <tr r="U38" s="338"/>
      </tp>
      <tp t="e">
        <v>#N/A</v>
        <stp/>
        <stp>BDH|2102864743621291384</stp>
        <tr r="AM42" s="338"/>
        <tr r="AM41" s="338"/>
      </tp>
      <tp t="s">
        <v>#N/A N/A</v>
        <stp/>
        <stp>BDP|8367283627072476679</stp>
        <tr r="AC23" s="1"/>
        <tr r="AC24" s="1"/>
      </tp>
      <tp t="s">
        <v>#N/A Requesting Data...3744502424</v>
        <stp/>
        <stp>BDP|6021078455249412694</stp>
        <tr r="AJ37" s="338"/>
      </tp>
      <tp t="s">
        <v>#N/A Requesting Data...3884039872</v>
        <stp/>
        <stp>BDP|4596394917382492801</stp>
        <tr r="AF10" s="1"/>
      </tp>
      <tp t="s">
        <v>#N/A Requesting Data...4112634096</v>
        <stp/>
        <stp>BDP|8875624327291307117</stp>
        <tr r="T40" s="89"/>
      </tp>
      <tp t="e">
        <v>#N/A</v>
        <stp/>
        <stp>BDH|4033983901934332555</stp>
        <tr r="AR29" s="338"/>
      </tp>
      <tp t="s">
        <v>#N/A Requesting Data...1726959412</v>
        <stp/>
        <stp>BDP|9575588247930244448</stp>
        <tr r="V75" s="89"/>
      </tp>
      <tp t="s">
        <v>#N/A Requesting Data...4201149087</v>
        <stp/>
        <stp>BDP|6404917817581645389</stp>
        <tr r="O14" s="252"/>
      </tp>
      <tp t="s">
        <v>#N/A Requesting Data...2753063192</v>
        <stp/>
        <stp>BDP|5440496710448743461</stp>
        <tr r="D204" s="89"/>
      </tp>
      <tp t="s">
        <v>#N/A Requesting Data...2630123417</v>
        <stp/>
        <stp>BDP|2051806888628691635</stp>
        <tr r="AA76" s="89"/>
        <tr r="Z76" s="89"/>
      </tp>
      <tp t="s">
        <v>#N/A Requesting Data...3888943689</v>
        <stp/>
        <stp>BDP|4440581387012721712</stp>
        <tr r="V27" s="89"/>
        <tr r="AD7" s="2"/>
      </tp>
      <tp t="s">
        <v>#N/A Requesting Data...1828411210</v>
        <stp/>
        <stp>BDP|4738998939235389797</stp>
        <tr r="F8" s="446"/>
      </tp>
      <tp t="e">
        <v>#N/A</v>
        <stp/>
        <stp>BDH|9088516341683585780</stp>
        <tr r="AU40" s="338"/>
        <tr r="AP15" s="338"/>
        <tr r="AP39" s="338"/>
      </tp>
      <tp t="s">
        <v>#N/A Requesting Data...2299473820</v>
        <stp/>
        <stp>BDP|9199937562293509974</stp>
        <tr r="E19" s="89"/>
      </tp>
      <tp t="s">
        <v>#N/A Requesting Data...3638154795</v>
        <stp/>
        <stp>BDP|5357847351561143559</stp>
        <tr r="AG40" s="1"/>
      </tp>
      <tp t="s">
        <v>#N/A Requesting Data...1778111160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Data...3535164617</v>
        <stp/>
        <stp>BDP|8370148836023021531</stp>
        <tr r="AF27" s="1"/>
        <tr r="AF37" s="338"/>
      </tp>
      <tp t="s">
        <v>#N/A Requesting Data...2823599114</v>
        <stp/>
        <stp>BDP|5164119958905809827</stp>
        <tr r="F12" s="2"/>
      </tp>
      <tp t="s">
        <v>#N/A Requesting Data...1884287099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Data...2975006072</v>
        <stp/>
        <stp>BDP|2986073659089556209</stp>
        <tr r="V68" s="89"/>
      </tp>
      <tp t="s">
        <v>#N/A Requesting Data...4109656389</v>
        <stp/>
        <stp>BDP|5270872678817673187</stp>
        <tr r="O13" s="252"/>
      </tp>
      <tp t="s">
        <v>#N/A Requesting Data...1507928781</v>
        <stp/>
        <stp>BDP|4170746265879602068</stp>
        <tr r="V239" s="89"/>
      </tp>
      <tp t="s">
        <v>#N/A Requesting Data...1425195540</v>
        <stp/>
        <stp>BDP|2737330982055463026</stp>
        <tr r="AG27" s="1"/>
      </tp>
      <tp t="e">
        <v>#N/A</v>
        <stp/>
        <stp>BDH|6503331597535470559</stp>
        <tr r="AP12" s="338"/>
      </tp>
      <tp t="s">
        <v>#N/A Requesting Data...3019192911</v>
        <stp/>
        <stp>BDP|3098041072779459130</stp>
        <tr r="E170" s="89"/>
        <tr r="E179" s="89"/>
      </tp>
      <tp t="s">
        <v>#N/A Requesting Data...3293827389</v>
        <stp/>
        <stp>BDP|9436333549025794785</stp>
        <tr r="Q46" s="338"/>
      </tp>
      <tp t="s">
        <v>#N/A Requesting Data...3395031767</v>
        <stp/>
        <stp>BDP|1210735342618520671</stp>
        <tr r="AR26" s="2"/>
      </tp>
      <tp t="s">
        <v>#N/A Requesting Data...1372431976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Data...2738208838</v>
        <stp/>
        <stp>BDP|5489377534060375922</stp>
        <tr r="T145" s="89"/>
      </tp>
      <tp t="s">
        <v>#N/A Requesting Data...2321136874</v>
        <stp/>
        <stp>BDP|8229617246511068736</stp>
        <tr r="C203" s="89"/>
        <tr r="D21" s="2"/>
      </tp>
      <tp t="s">
        <v>#N/A Requesting Data...2520324267</v>
        <stp/>
        <stp>BDP|7547135630721272822</stp>
        <tr r="T29" s="338"/>
      </tp>
      <tp t="s">
        <v>#N/A Requesting Data...1466357236</v>
        <stp/>
        <stp>BDP|2323988918652251462</stp>
        <tr r="O211" s="89"/>
      </tp>
      <tp t="s">
        <v>#N/A Requesting Data...2446260431</v>
        <stp/>
        <stp>BDP|9515949913399601436</stp>
        <tr r="G25" s="446"/>
      </tp>
      <tp t="s">
        <v>#N/A Requesting Data...1422679645</v>
        <stp/>
        <stp>BDP|4846675545659434390</stp>
        <tr r="E11" s="2"/>
      </tp>
      <tp t="s">
        <v>#N/A Requesting Data...2428129052</v>
        <stp/>
        <stp>BDP|9712190854671951078</stp>
        <tr r="M16" s="252"/>
      </tp>
      <tp t="s">
        <v>#N/A Requesting Data...3169521345</v>
        <stp/>
        <stp>BDP|5511275398847971578</stp>
        <tr r="T45" s="338"/>
      </tp>
      <tp t="s">
        <v>#N/A Requesting Data...3692165598</v>
        <stp/>
        <stp>BDP|7331929777222298704</stp>
        <tr r="C248" s="89"/>
      </tp>
      <tp t="e">
        <v>#N/A</v>
        <stp/>
        <stp>BDH|1377848646591024056</stp>
        <tr r="AS48" s="338"/>
        <tr r="AS49" s="338"/>
      </tp>
      <tp t="s">
        <v>#N/A N/A</v>
        <stp/>
        <stp>BDP|305603281964786002|22</stp>
        <stp>QQQ US 12/26/25 P610 Equity</stp>
        <stp>bid</stp>
        <tr r="K68" s="89"/>
      </tp>
      <tp>
        <v>85.76</v>
        <stp/>
        <stp>BDP|7394371982457470369|22</stp>
        <stp>KBWB Equity</stp>
        <stp>LAST PRICE</stp>
        <tr r="G52" s="338"/>
        <tr r="G53" s="338"/>
        <tr r="G54" s="338"/>
      </tp>
      <tp>
        <v>7</v>
        <stp/>
        <stp>BDP|11748561733251826740|22</stp>
        <stp>LITE US 01/16/26 C440 Equity</stp>
        <stp>ask</stp>
        <tr r="L8" s="89"/>
      </tp>
      <tp>
        <v>4.8499999999999996</v>
        <stp/>
        <stp>BDP|12272641673300635470|22</stp>
        <stp>AMZN US 03/20/26 C255 Equity</stp>
        <stp>ask</stp>
        <tr r="L195" s="89"/>
      </tp>
      <tp>
        <v>18.399999999999999</v>
        <stp/>
        <stp>BDP|17536664525041773105|22</stp>
        <stp>TSM US 03/20/26 C330 Equity</stp>
        <stp>bid</stp>
        <tr r="K14" s="89"/>
        <tr r="P28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Data...2436263351</v>
        <stp/>
        <stp>BDP|5415224161148491497</stp>
        <tr r="O187" s="89"/>
      </tp>
      <tp t="s">
        <v>#N/A Requesting Data...3383178998</v>
        <stp/>
        <stp>BDP|9641015641826985650</stp>
        <tr r="U52" s="338"/>
      </tp>
      <tp t="s">
        <v>#N/A Requesting Data...1427303063</v>
        <stp/>
        <stp>BDP|8984555933365388671</stp>
        <tr r="Q42" s="338"/>
      </tp>
      <tp t="s">
        <v>#N/A Requesting Data...3634658701</v>
        <stp/>
        <stp>BDP|6731818678664058062</stp>
        <tr r="C116" s="89"/>
      </tp>
      <tp t="s">
        <v>#N/A Requesting Data...3548936248</v>
        <stp/>
        <stp>BDP|3337761684491833019</stp>
        <tr r="F44" s="446"/>
      </tp>
      <tp t="s">
        <v>#N/A Requesting Data...3378872257</v>
        <stp/>
        <stp>BDP|4245700180187394193</stp>
        <tr r="E144" s="89"/>
      </tp>
      <tp t="s">
        <v>#N/A Requesting Data...2079900231</v>
        <stp/>
        <stp>BDP|2599954552966387584</stp>
        <tr r="V15" s="338"/>
        <tr r="V39" s="338"/>
      </tp>
      <tp t="s">
        <v>#N/A Requesting Data...2677360617</v>
        <stp/>
        <stp>BDP|6927294984968537987</stp>
        <tr r="C224" s="89"/>
      </tp>
      <tp t="s">
        <v>#N/A Requesting Data...1760575528</v>
        <stp/>
        <stp>BDP|9699474378527567053</stp>
        <tr r="AC30" s="1"/>
      </tp>
      <tp t="s">
        <v>#N/A Requesting Data...2341114255</v>
        <stp/>
        <stp>BDP|4059296425981795825</stp>
        <tr r="T89" s="89"/>
      </tp>
      <tp t="s">
        <v>#N/A Requesting Data...4137332643</v>
        <stp/>
        <stp>BDP|8711853988486589311</stp>
        <tr r="AA196" s="89"/>
        <tr r="Z196" s="89"/>
      </tp>
      <tp t="e">
        <v>#N/A</v>
        <stp/>
        <stp>BDH|8413185702827291320</stp>
        <tr r="AR11" s="338"/>
      </tp>
      <tp t="s">
        <v>#N/A Requesting Data...3555836261</v>
        <stp/>
        <stp>BDP|9842174346197389653</stp>
        <tr r="D8" s="89"/>
      </tp>
      <tp t="s">
        <v>#N/A Requesting Data...2857179730</v>
        <stp/>
        <stp>BDP|7106189889661627290</stp>
        <tr r="D33" s="89"/>
      </tp>
      <tp t="s">
        <v>#N/A Requesting Data...4206386912</v>
        <stp/>
        <stp>BDP|7447730768218451347</stp>
        <tr r="T19" s="2"/>
      </tp>
      <tp t="s">
        <v>#N/A Requesting Data...2448714419</v>
        <stp/>
        <stp>BDP|6822986114586808509</stp>
        <tr r="T50" s="89"/>
        <tr r="AA15" s="2"/>
      </tp>
      <tp t="s">
        <v>#N/A Requesting Data...2808851995</v>
        <stp/>
        <stp>BDP|8722901784464656099</stp>
        <tr r="AA19" s="89"/>
        <tr r="Z19" s="89"/>
      </tp>
      <tp t="s">
        <v>#N/A Requesting Data...2732528484</v>
        <stp/>
        <stp>BDP|9592498748502103695</stp>
        <tr r="L7" s="252"/>
        <tr r="L7" s="252"/>
      </tp>
      <tp t="s">
        <v>#N/A Requesting Data...3145878685</v>
        <stp/>
        <stp>BDP|6754010884411976277</stp>
        <tr r="X44" s="338"/>
      </tp>
      <tp t="e">
        <v>#N/A</v>
        <stp/>
        <stp>BDH|8867683094112116893</stp>
        <tr r="AU51" s="338"/>
        <tr r="AU31" s="338"/>
        <tr r="AP45" s="338"/>
        <tr r="AU47" s="338"/>
        <tr r="AP49" s="338"/>
        <tr r="AP46" s="338"/>
        <tr r="AU41" s="338"/>
        <tr r="AU33" s="338"/>
      </tp>
      <tp t="s">
        <v>#N/A Requesting Data...3100680938</v>
        <stp/>
        <stp>BDP|9209213470442778399</stp>
        <tr r="T81" s="89"/>
      </tp>
      <tp t="s">
        <v>#N/A Requesting Data...4007917550</v>
        <stp/>
        <stp>BDP|4958570254160242959</stp>
        <tr r="T33" s="338"/>
      </tp>
      <tp t="s">
        <v>#N/A Requesting Data...2634538727</v>
        <stp/>
        <stp>BDP|4678905769292619449</stp>
        <tr r="AK29" s="338"/>
      </tp>
      <tp t="s">
        <v>#N/A Requesting Data...3131439392</v>
        <stp/>
        <stp>BDP|7223883239641187000</stp>
        <tr r="G16" s="446"/>
      </tp>
      <tp t="s">
        <v>#N/A Requesting Data...4154094470</v>
        <stp/>
        <stp>BDP|5114854945934215018</stp>
        <tr r="V170" s="89"/>
        <tr r="V179" s="89"/>
        <tr r="AD9" s="2"/>
      </tp>
      <tp t="e">
        <v>#N/A</v>
        <stp/>
        <stp>BDH|6510200972726120845</stp>
        <tr r="W14" s="252"/>
        <tr r="T14" s="252"/>
      </tp>
      <tp t="s">
        <v>#N/A Requesting Data...3925851380</v>
        <stp/>
        <stp>BDP|4527539918514447997</stp>
        <tr r="E12" s="2"/>
      </tp>
      <tp t="s">
        <v>#N/A Requesting Data...1733822912</v>
        <stp/>
        <stp>BDP|8155144037285880295</stp>
        <tr r="AA8" s="89"/>
        <tr r="Z8" s="89"/>
      </tp>
      <tp t="s">
        <v>#N/A Requesting Data...2454707718</v>
        <stp/>
        <stp>BDP|8023230975554206472</stp>
        <tr r="U33" s="338"/>
      </tp>
      <tp t="s">
        <v>#N/A Requesting Data...2925838991</v>
        <stp/>
        <stp>BDP|1449141764908407306</stp>
        <tr r="F11" s="446"/>
      </tp>
      <tp t="s">
        <v>#N/A Requesting Data...3857408016</v>
        <stp/>
        <stp>BDP|3489288587931334587</stp>
        <tr r="Q54" s="338"/>
      </tp>
      <tp t="e">
        <v>#N/A</v>
        <stp/>
        <stp>BDH|2230009444423176878</stp>
        <tr r="AN15" s="338"/>
        <tr r="AN39" s="338"/>
        <tr r="AS40" s="338"/>
      </tp>
      <tp t="s">
        <v>#N/A Requesting Data...2656252528</v>
        <stp/>
        <stp>BDP|6113923539666992720</stp>
        <tr r="N14" s="252"/>
        <tr r="N14" s="252"/>
      </tp>
      <tp t="s">
        <v>#N/A Requesting Data...2054363265</v>
        <stp/>
        <stp>BDP|1330841517185145005</stp>
        <tr r="V211" s="89"/>
      </tp>
      <tp t="s">
        <v>#N/A Requesting Data...2071842862</v>
        <stp/>
        <stp>BDP|7951947862590616582</stp>
        <tr r="AF25" s="1"/>
        <tr r="AF26" s="1"/>
        <tr r="AF13" s="338"/>
        <tr r="AF34" s="338"/>
      </tp>
      <tp t="s">
        <v>#N/A Requesting Data...4265847693</v>
        <stp/>
        <stp>BDP|9891481019803044282</stp>
        <tr r="G23" s="446"/>
      </tp>
      <tp t="s">
        <v>#N/A Requesting Data...3594754405</v>
        <stp/>
        <stp>BDP|8449844552959728130</stp>
        <tr r="E76" s="89"/>
        <tr r="F25" s="2"/>
      </tp>
      <tp t="s">
        <v>#N/A Requesting Data...1791951130</v>
        <stp/>
        <stp>BDP|8890689995642342808</stp>
        <tr r="V53" s="338"/>
      </tp>
      <tp t="s">
        <v>#N/A Requesting Data...2293012527</v>
        <stp/>
        <stp>BDP|2455215735317653905</stp>
        <tr r="E223" s="89"/>
      </tp>
      <tp t="s">
        <v>#N/A Requesting Data...3490764042</v>
        <stp/>
        <stp>BDP|2430923576567758614</stp>
        <tr r="T195" s="89"/>
      </tp>
      <tp t="s">
        <v>#N/A N/A</v>
        <stp/>
        <stp>BDP|1672936400533529679</stp>
        <tr r="R239" s="89"/>
        <tr r="R240" s="89"/>
      </tp>
      <tp t="s">
        <v>#N/A Requesting Data...4136010975</v>
        <stp/>
        <stp>BDP|9460140878645634791</stp>
        <tr r="AC39" s="1"/>
      </tp>
      <tp t="s">
        <v>#N/A Requesting Data...3248035524</v>
        <stp/>
        <stp>BDP|9166486667196900003</stp>
        <tr r="E240" s="89"/>
      </tp>
      <tp t="s">
        <v>#N/A Requesting Data...2160441530</v>
        <stp/>
        <stp>BDP|7922404159852375974</stp>
        <tr r="E249" s="89"/>
      </tp>
      <tp t="s">
        <v>#N/A Requesting Data...4141011417</v>
        <stp/>
        <stp>BDP|3167634624133154939</stp>
        <tr r="V40" s="89"/>
      </tp>
      <tp t="s">
        <v>#N/A Requesting Data...2162783605</v>
        <stp/>
        <stp>BDP|7612533417436704812</stp>
        <tr r="AJ13" s="338"/>
        <tr r="AJ34" s="338"/>
      </tp>
      <tp t="s">
        <v>#N/A Requesting Data...3947818225</v>
        <stp/>
        <stp>BDP|9574059420494792234</stp>
        <tr r="L41" s="338"/>
        <tr r="L46" s="338"/>
        <tr r="L31" s="338"/>
        <tr r="L47" s="338"/>
        <tr r="L49" s="338"/>
        <tr r="J31" s="338"/>
        <tr r="L33" s="338"/>
        <tr r="J33" s="338"/>
        <tr r="J41" s="338"/>
        <tr r="L45" s="338"/>
        <tr r="H45" s="338"/>
        <tr r="H46" s="338"/>
        <tr r="J47" s="338"/>
        <tr r="H49" s="338"/>
        <tr r="L51" s="338"/>
        <tr r="J51" s="338"/>
      </tp>
      <tp t="s">
        <v>#N/A Requesting Data...3232899826</v>
        <stp/>
        <stp>BDP|3007975292676340821</stp>
        <tr r="G24" s="446"/>
      </tp>
      <tp t="e">
        <v>#N/A</v>
        <stp/>
        <stp>BDH|5670873094620630976</stp>
        <tr r="AM34" s="338"/>
        <tr r="AM13" s="338"/>
      </tp>
      <tp t="s">
        <v>#N/A Requesting Data...1777920480</v>
        <stp/>
        <stp>BDP|5665815221263095138</stp>
        <tr r="E95" s="89"/>
      </tp>
      <tp t="s">
        <v>#N/A Requesting Data...2165506106</v>
        <stp/>
        <stp>BDP|7440440854553856897</stp>
        <tr r="F23" s="2"/>
      </tp>
      <tp t="s">
        <v>#N/A Requesting Data...2227433876</v>
        <stp/>
        <stp>BDP|3465264199005605087</stp>
        <tr r="V247" s="89"/>
      </tp>
      <tp t="e">
        <v>#N/A</v>
        <stp/>
        <stp>BDH|2114060395467773106</stp>
        <tr r="J16" s="252"/>
      </tp>
      <tp>
        <v>2.06</v>
        <stp/>
        <stp>BDP|14976247254411066307|22</stp>
        <stp>NFLX US 03/20/26 C104 Equity</stp>
        <stp>mid</stp>
        <tr r="L21" s="2"/>
      </tp>
      <tp>
        <v>13.4</v>
        <stp/>
        <stp>BDP|18096733178424916458|22</stp>
        <stp>AVGO US 06/18/26 P270 Equity</stp>
        <stp>bid</stp>
        <tr r="K225" s="89"/>
      </tp>
      <tp t="s">
        <v>#N/A Requesting Data...3285220936</v>
        <stp/>
        <stp>BDP|5266989866390412427</stp>
        <tr r="D38" s="446"/>
      </tp>
      <tp t="s">
        <v>#N/A Requesting Data...2672464699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Data...2006040756</v>
        <stp/>
        <stp>BDP|5586265622589882234</stp>
        <tr r="T187" s="89"/>
      </tp>
      <tp t="e">
        <v>#N/A</v>
        <stp/>
        <stp>BDH|7828358343726707835</stp>
        <tr r="AU42" s="338"/>
      </tp>
      <tp t="s">
        <v>#N/A Requesting Data...3993159912</v>
        <stp/>
        <stp>BDP|8518419899713251871</stp>
        <tr r="X8" s="338"/>
      </tp>
      <tp t="s">
        <v>#N/A Requesting Data...3944659460</v>
        <stp/>
        <stp>BDP|6375542897924166091</stp>
        <tr r="C109" s="89"/>
      </tp>
      <tp t="s">
        <v>#N/A Requesting Data...2821503458</v>
        <stp/>
        <stp>BDP|6865956502756622717</stp>
        <tr r="AH36" s="338"/>
        <tr r="AJ36" s="338"/>
      </tp>
      <tp t="s">
        <v>#N/A Requesting Data...3388128910</v>
        <stp/>
        <stp>BDP|2379295593121097618</stp>
        <tr r="D44" s="446"/>
      </tp>
      <tp t="s">
        <v>#N/A Requesting Data...4189356725</v>
        <stp/>
        <stp>BDP|9349867885552045593</stp>
        <tr r="S48" s="338"/>
      </tp>
      <tp t="s">
        <v>#N/A Requesting Data...2836335897</v>
        <stp/>
        <stp>BDP|1210812459016425419</stp>
        <tr r="T169" s="89"/>
        <tr r="T178" s="89"/>
        <tr r="T233" s="89"/>
        <tr r="AA8" s="2"/>
      </tp>
      <tp t="s">
        <v>#N/A Requesting Data...3784765488</v>
        <stp/>
        <stp>BDP|3116185742219750133</stp>
        <tr r="T109" s="89"/>
      </tp>
      <tp t="e">
        <v>#N/A</v>
        <stp/>
        <stp>BDH|7697830811290960023</stp>
        <tr r="AR37" s="338"/>
        <tr r="AM51" s="338"/>
        <tr r="AM50" s="338"/>
        <tr r="AR35" s="338"/>
        <tr r="AR36" s="338"/>
        <tr r="AR34" s="338"/>
      </tp>
      <tp t="s">
        <v>#N/A Requesting Data...2217436518</v>
        <stp/>
        <stp>BDP|8484523820177859624</stp>
        <tr r="E34" s="89"/>
      </tp>
      <tp t="s">
        <v>#N/A N/A</v>
        <stp/>
        <stp>BDP|8927803377951233812</stp>
        <tr r="AB160" s="89"/>
      </tp>
      <tp t="s">
        <v>#N/A Requesting Data...4157212827</v>
        <stp/>
        <stp>BDP|5839166486573091158</stp>
        <tr r="V251" s="89"/>
      </tp>
      <tp t="e">
        <v>#N/A</v>
        <stp/>
        <stp>BDH|7094794120514532817</stp>
        <tr r="AN36" s="338"/>
      </tp>
      <tp t="s">
        <v>#N/A Requesting Data...4273686261</v>
        <stp/>
        <stp>BDP|5796504129065876948</stp>
        <tr r="U8" s="338"/>
      </tp>
      <tp t="s">
        <v>#N/A Requesting Data...4283858734</v>
        <stp/>
        <stp>BDP|5334711267318453225</stp>
        <tr r="N10" s="252"/>
        <tr r="N10" s="252"/>
      </tp>
      <tp t="s">
        <v>#N/A Requesting Data...3131833241</v>
        <stp/>
        <stp>BDP|8156186941273369086</stp>
        <tr r="C34" s="89"/>
      </tp>
      <tp t="e">
        <v>#N/A</v>
        <stp/>
        <stp>BDH|6494506790290430430</stp>
        <tr r="AP37" s="338"/>
      </tp>
      <tp t="s">
        <v>#N/A Requesting Data...1704217368</v>
        <stp/>
        <stp>BDP|9233199299816659948</stp>
        <tr r="P11" s="252"/>
      </tp>
      <tp t="e">
        <v>#N/A</v>
        <stp/>
        <stp>BDH|9008478854936010039</stp>
        <tr r="AS45" s="338"/>
      </tp>
      <tp t="s">
        <v>#N/A Requesting Data...3093918200</v>
        <stp/>
        <stp>BDP|2292616657717420814</stp>
        <tr r="AF31" s="338"/>
        <tr r="AF32" s="338"/>
      </tp>
      <tp t="s">
        <v>#N/A Requesting Data...1968672881</v>
        <stp/>
        <stp>BDP|1704402293557704529</stp>
        <tr r="K7" s="1"/>
      </tp>
      <tp t="s">
        <v>#N/A Requesting Data...3797918080</v>
        <stp/>
        <stp>BDP|4042472092244568314</stp>
        <tr r="V108" s="89"/>
      </tp>
      <tp t="s">
        <v>#N/A Requesting Data...2782548878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Data...2407328802</v>
        <stp/>
        <stp>BDP|5068380246295060987</stp>
        <tr r="P49" s="338"/>
      </tp>
      <tp t="s">
        <v>#N/A Requesting Data...1668144484</v>
        <stp/>
        <stp>BDP|2236853665153115154</stp>
        <tr r="AI28" s="1"/>
      </tp>
      <tp t="e">
        <v>#N/A</v>
        <stp/>
        <stp>BDH|5674194540649995708</stp>
        <tr r="W17" s="252"/>
        <tr r="T17" s="252"/>
      </tp>
      <tp t="s">
        <v>#N/A Requesting Data...2590091736</v>
        <stp/>
        <stp>BDP|7948957971296998136</stp>
        <tr r="AA33" s="89"/>
        <tr r="Z33" s="89"/>
      </tp>
      <tp t="s">
        <v>#N/A Requesting Data...1849793119</v>
        <stp/>
        <stp>BDP|6562923680930375939</stp>
        <tr r="T11" s="338"/>
      </tp>
      <tp t="s">
        <v>#N/A Requesting Data...1607296713</v>
        <stp/>
        <stp>BDP|4719256686637012732</stp>
        <tr r="M19" s="252"/>
      </tp>
      <tp t="s">
        <v>#N/A Requesting Data...2762020013</v>
        <stp/>
        <stp>BDP|8025505824813637259</stp>
        <tr r="Q45" s="338"/>
      </tp>
      <tp t="s">
        <v>#N/A Requesting Data...3981308079</v>
        <stp/>
        <stp>BDP|2644203280360986688</stp>
        <tr r="AB25" s="1"/>
        <tr r="AB26" s="1"/>
        <tr r="F35" s="446"/>
      </tp>
      <tp t="e">
        <v>#N/A</v>
        <stp/>
        <stp>BDH|5723038726521606834</stp>
        <tr r="AR45" s="338"/>
      </tp>
      <tp t="s">
        <v>#N/A Requesting Data...3224356176</v>
        <stp/>
        <stp>BDP|3687895063137929413</stp>
        <tr r="U51" s="338"/>
      </tp>
      <tp t="s">
        <v>#N/A Requesting Data...2677343038</v>
        <stp/>
        <stp>BDP|2866283045919885388</stp>
        <tr r="L18" s="338"/>
        <tr r="J18" s="338"/>
      </tp>
      <tp t="s">
        <v>#N/A Requesting Data...2512655708</v>
        <stp/>
        <stp>BDP|8270037200516343073</stp>
        <tr r="F28" s="2"/>
      </tp>
      <tp t="s">
        <v>#N/A Requesting Data...2476158692</v>
        <stp/>
        <stp>BDP|2191861964986449420</stp>
        <tr r="E251" s="89"/>
      </tp>
      <tp t="s">
        <v>#N/A Requesting Data...1928247491</v>
        <stp/>
        <stp>BDP|8565804017506463936</stp>
        <tr r="L17" s="252"/>
        <tr r="L17" s="252"/>
      </tp>
      <tp>
        <v>31</v>
        <stp/>
        <stp>BDP|13177737668232765088|22</stp>
        <stp>LITE US 02/20/26 C450 Equity</stp>
        <stp>ask</stp>
        <tr r="Q7" s="2"/>
        <tr r="L27" s="89"/>
      </tp>
      <tp>
        <v>23.37</v>
        <stp/>
        <stp>BDP|1056906607050736285|22</stp>
        <stp>CPNG Equity</stp>
        <stp>LAST PRICE</stp>
        <tr r="L7" s="446"/>
      </tp>
      <tp>
        <v>35.83</v>
        <stp/>
        <stp>BDP|8479129259841183337|22</stp>
        <stp>BP Equity</stp>
        <stp>LAST PRICE</stp>
        <tr r="G29" s="338"/>
        <tr r="G30" s="338"/>
      </tp>
      <tp>
        <v>-0.14726522564888</v>
        <stp/>
        <stp>BDP|5526706154841928378|22</stp>
        <stp>MSFT US 03/20/26 P465 Equity</stp>
        <stp>theta_mid_rt</stp>
        <tr r="AN20" s="2"/>
      </tp>
      <tp>
        <v>319.61</v>
        <stp/>
        <stp>BDP|10734773146792366841|22</stp>
        <stp>TSM US Equity</stp>
        <stp>LAST_PRICE</stp>
        <tr r="Z26" s="2"/>
        <tr r="S7" s="89"/>
        <tr r="S14" s="89"/>
        <tr r="S13" s="89"/>
        <tr r="Z27" s="2"/>
        <tr r="Z28" s="2"/>
      </tp>
      <tp t="s">
        <v>#N/A Requesting Data...1848171674</v>
        <stp/>
        <stp>BDP|6994101635518612305</stp>
        <tr r="O14" s="89"/>
        <tr r="T28" s="2"/>
      </tp>
      <tp t="s">
        <v>#N/A Requesting Data...2522365839</v>
        <stp/>
        <stp>BDP|3786323124408946521</stp>
        <tr r="D45" s="446"/>
      </tp>
      <tp t="s">
        <v>#N/A Requesting Data...4281766776</v>
        <stp/>
        <stp>BDP|7034558351499608181</stp>
        <tr r="E16" s="2"/>
      </tp>
      <tp t="s">
        <v>#N/A Requesting Data...2331498776</v>
        <stp/>
        <stp>BDP|8896143753810578305</stp>
        <tr r="F14" s="2"/>
      </tp>
      <tp t="s">
        <v>#N/A Requesting Data...2732934647</v>
        <stp/>
        <stp>BDP|4695577487605400392</stp>
        <tr r="D24" s="2"/>
      </tp>
      <tp t="s">
        <v>#N/A Requesting Data...2805434575</v>
        <stp/>
        <stp>BDP|7118312199131670349</stp>
        <tr r="AA27" s="89"/>
        <tr r="Z27" s="89"/>
      </tp>
      <tp t="s">
        <v>#N/A Requesting Data...2408105489</v>
        <stp/>
        <stp>BDP|2806504826139638334</stp>
        <tr r="AG25" s="1"/>
        <tr r="AG26" s="1"/>
      </tp>
      <tp t="s">
        <v>#N/A Requesting Data...3783539566</v>
        <stp/>
        <stp>BDP|4784976331940308190</stp>
        <tr r="Z144" s="89"/>
        <tr r="AA144" s="89"/>
      </tp>
      <tp t="s">
        <v>#N/A Requesting Data...2745901322</v>
        <stp/>
        <stp>BDP|6597316359747262876</stp>
        <tr r="AA204" s="89"/>
        <tr r="Z204" s="89"/>
      </tp>
      <tp t="s">
        <v>#N/A Requesting Data...2330040384</v>
        <stp/>
        <stp>BDP|2131718523418809031</stp>
        <tr r="X9" s="338"/>
      </tp>
      <tp t="s">
        <v>#N/A Requesting Data...3006042190</v>
        <stp/>
        <stp>BDP|8119275495638947437</stp>
        <tr r="AI20" s="1"/>
      </tp>
      <tp t="s">
        <v>#N/A Requesting Data...4142436852</v>
        <stp/>
        <stp>BDP|4060140891760852341</stp>
        <tr r="T95" s="89"/>
      </tp>
      <tp t="s">
        <v>#N/A Requesting Data...2934137364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Data...2137438877</v>
        <stp/>
        <stp>BDP|2842170687233636700</stp>
        <tr r="AH13" s="338"/>
        <tr r="AH34" s="338"/>
      </tp>
      <tp t="s">
        <v>#N/A Requesting Data...3589310696</v>
        <stp/>
        <stp>BDP|1457483532620769970</stp>
        <tr r="L18" s="252"/>
        <tr r="L18" s="252"/>
      </tp>
      <tp t="s">
        <v>#N/A Requesting Data...2972960544</v>
        <stp/>
        <stp>BDP|6268649388386345129</stp>
        <tr r="D144" s="89"/>
      </tp>
      <tp t="s">
        <v>#N/A Requesting Data...2632586097</v>
        <stp/>
        <stp>BDP|8154630115763023381</stp>
        <tr r="T52" s="338"/>
      </tp>
      <tp t="s">
        <v>#N/A Requesting Data...3743367876</v>
        <stp/>
        <stp>BDP|7576730522755872830</stp>
        <tr r="F38" s="446"/>
      </tp>
      <tp t="s">
        <v>#N/A Requesting Data...3475090298</v>
        <stp/>
        <stp>BDP|9507005719251486644</stp>
        <tr r="M10" s="252"/>
      </tp>
      <tp t="s">
        <v>#N/A Requesting Data...2521660218</v>
        <stp/>
        <stp>BDP|9539667201337640785</stp>
        <tr r="U36" s="338"/>
      </tp>
      <tp t="s">
        <v>#N/A Requesting Data...3097066777</v>
        <stp/>
        <stp>BDP|7446900777882759491</stp>
        <tr r="AF15" s="1"/>
        <tr r="AF14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Data...2198030711</v>
        <stp/>
        <stp>BDP|1410763648805083878</stp>
        <tr r="O27" s="89"/>
        <tr r="T7" s="2"/>
      </tp>
      <tp t="s">
        <v>#N/A Requesting Data...2989590397</v>
        <stp/>
        <stp>BDP|7758988602381610061</stp>
        <tr r="AC13" s="1"/>
      </tp>
      <tp t="s">
        <v>#N/A Requesting Data...2507593604</v>
        <stp/>
        <stp>BDP|2751859474321958329</stp>
        <tr r="V187" s="89"/>
      </tp>
      <tp t="s">
        <v>#N/A Requesting Data...2960130732</v>
        <stp/>
        <stp>BDP|4065099833740136891</stp>
        <tr r="P42" s="338"/>
      </tp>
      <tp t="s">
        <v>#N/A Requesting Data...3913933058</v>
        <stp/>
        <stp>BDP|8934395146908250867</stp>
        <tr r="AC28" s="1"/>
      </tp>
      <tp t="s">
        <v>#N/A Requesting Data...1973194159</v>
        <stp/>
        <stp>BDP|6297532837576756937</stp>
        <tr r="AA249" s="89"/>
        <tr r="Z249" s="89"/>
      </tp>
      <tp t="e">
        <v>#N/A</v>
        <stp/>
        <stp>BDH|2366142583857258349</stp>
        <tr r="AN13" s="338"/>
        <tr r="AN34" s="338"/>
      </tp>
      <tp t="s">
        <v>#N/A Requesting Data...2377769408</v>
        <stp/>
        <stp>BDP|5267619434148669720</stp>
        <tr r="AJ52" s="338"/>
        <tr r="AJ53" s="338"/>
        <tr r="AJ54" s="338"/>
      </tp>
      <tp t="s">
        <v>#N/A Requesting Data...4246644972</v>
        <stp/>
        <stp>BDP|8622760163721094706</stp>
        <tr r="Z82" s="89"/>
        <tr r="AA82" s="89"/>
      </tp>
      <tp t="s">
        <v>#N/A Requesting Data...2111585586</v>
        <stp/>
        <stp>BDP|7148106705448380141</stp>
        <tr r="V41" s="338"/>
      </tp>
      <tp t="s">
        <v>#N/A Requesting Data...3284130904</v>
        <stp/>
        <stp>BDP|2062254470879715115</stp>
        <tr r="O212" s="89"/>
      </tp>
      <tp t="s">
        <v>#N/A Requesting Data...2015446242</v>
        <stp/>
        <stp>BDP|1566983548630295344</stp>
        <tr r="T49" s="89"/>
        <tr r="T55" s="89"/>
        <tr r="AA13" s="2"/>
      </tp>
      <tp t="s">
        <v>#N/A Requesting Data...2784873921</v>
        <stp/>
        <stp>BDP|7511636250779138240</stp>
        <tr r="V40" s="338"/>
      </tp>
      <tp t="s">
        <v>#N/A Requesting Data...2250707978</v>
        <stp/>
        <stp>BDP|5576438787561382724</stp>
        <tr r="AJ10" s="338"/>
        <tr r="AJ11" s="338"/>
        <tr r="AJ33" s="338"/>
      </tp>
      <tp t="s">
        <v>#N/A Requesting Data...2865188521</v>
        <stp/>
        <stp>BDP|1371944730256623208</stp>
        <tr r="T137" s="89"/>
      </tp>
      <tp t="s">
        <v>#N/A Requesting Data...3617834874</v>
        <stp/>
        <stp>BDP|2475069015355307957</stp>
        <tr r="V82" s="89"/>
      </tp>
      <tp t="s">
        <v>#N/A Requesting Data...3038163514</v>
        <stp/>
        <stp>BDP|8553085138774321079</stp>
        <tr r="T123" s="89"/>
      </tp>
      <tp t="s">
        <v>#N/A Requesting Data...3877342521</v>
        <stp/>
        <stp>BDP|9274343827420648768</stp>
        <tr r="G10" s="446"/>
      </tp>
      <tp t="s">
        <v>#N/A Requesting Data...3915940041</v>
        <stp/>
        <stp>BDP|1136567666448935591</stp>
        <tr r="V37" s="338"/>
      </tp>
      <tp t="s">
        <v>#N/A Requesting Data...2296669693</v>
        <stp/>
        <stp>BDP|7385638697900780713</stp>
        <tr r="AB18" s="1"/>
        <tr r="AB19" s="1"/>
      </tp>
      <tp t="s">
        <v>#N/A Requesting Data...4275119137</v>
        <stp/>
        <stp>BDP|1366767233159407337</stp>
        <tr r="V240" s="89"/>
      </tp>
      <tp t="s">
        <v>#N/A Requesting Data...2261196174</v>
        <stp/>
        <stp>BDP|2036830374436602479</stp>
        <tr r="U50" s="338"/>
      </tp>
      <tp t="s">
        <v>#N/A Requesting Data...2101245997</v>
        <stp/>
        <stp>BDP|6317578591636076338</stp>
        <tr r="D138" s="89"/>
      </tp>
      <tp t="s">
        <v>#N/A Requesting Data...3018921856</v>
        <stp/>
        <stp>BDP|1370952567270052174</stp>
        <tr r="AJ8" s="338"/>
        <tr r="AJ9" s="338"/>
        <tr r="AH8" s="338"/>
        <tr r="AH9" s="338"/>
      </tp>
      <tp t="s">
        <v>#N/A Requesting Data...1971546016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Data...2786563124</v>
        <stp/>
        <stp>BDP|1228475082103781157</stp>
        <tr r="Q53" s="338"/>
      </tp>
      <tp t="s">
        <v>#N/A Requesting Data...1924317100</v>
        <stp/>
        <stp>BDP|8052091842463884067</stp>
        <tr r="O197" s="89"/>
      </tp>
      <tp t="s">
        <v>#N/A Requesting Data...3636475327</v>
        <stp/>
        <stp>BDP|6160662584120657700</stp>
        <tr r="G12" s="446"/>
      </tp>
      <tp t="s">
        <v>#N/A Requesting Data...3729482082</v>
        <stp/>
        <stp>BDP|2050769895694328758</stp>
        <tr r="S7" s="252"/>
      </tp>
      <tp t="s">
        <v>#N/A Requesting Data...2844588213</v>
        <stp/>
        <stp>BDP|9400166973232144257</stp>
        <tr r="V180" s="89"/>
        <tr r="AD10" s="2"/>
      </tp>
      <tp>
        <v>30.25</v>
        <stp/>
        <stp>BDP|17672231972959502616|22</stp>
        <stp>LITE US 02/20/26 C450 Equity</stp>
        <stp>mid</stp>
        <tr r="L7" s="2"/>
      </tp>
      <tp>
        <v>347.62</v>
        <stp/>
        <stp>BDP|6093066913446547993|22</stp>
        <stp>AVGO Equity</stp>
        <stp>LAST_PRICE</stp>
        <tr r="I23" s="1"/>
        <tr r="I24" s="1"/>
      </tp>
      <tp>
        <v>-0.4527561366558075</v>
        <stp/>
        <stp>BDP|2168213471823880698|22</stp>
        <stp>MRVL US 03/20/26 P90 Equity</stp>
        <stp>DELTA_MID_RT</stp>
        <tr r="AF12" s="2"/>
      </tp>
      <tp>
        <v>683.17</v>
        <stp/>
        <stp>BDP|11764468863197025710|22</stp>
        <stp>SPY EQUITY</stp>
        <stp>LAST_PRICE</stp>
        <tr r="I4" s="1"/>
      </tp>
      <tp t="s">
        <v>#N/A Requesting Data...3990514647</v>
        <stp/>
        <stp>BDP|5038322913169324688</stp>
        <tr r="Z69" s="89"/>
        <tr r="AA69" s="89"/>
      </tp>
      <tp t="s">
        <v>#N/A Requesting Data...3708239230</v>
        <stp/>
        <stp>BDP|4983617041569093735</stp>
        <tr r="U10" s="338"/>
      </tp>
      <tp t="s">
        <v>#N/A Requesting Data...4151306385</v>
        <stp/>
        <stp>BDP|9225540411952936754</stp>
        <tr r="AD17" s="2"/>
      </tp>
      <tp t="s">
        <v>#N/A Requesting Data...3072570814</v>
        <stp/>
        <stp>BDP|1158468690973405781</stp>
        <tr r="AK18" s="338"/>
      </tp>
      <tp t="s">
        <v>#N/A Requesting Data...2604097830</v>
        <stp/>
        <stp>BDP|2898694498747321222</stp>
        <tr r="E3" s="1"/>
      </tp>
      <tp t="s">
        <v>#N/A Requesting Data...2167442106</v>
        <stp/>
        <stp>BDP|7526986475906100712</stp>
        <tr r="E123" s="89"/>
      </tp>
      <tp t="s">
        <v>#N/A Requesting Data...3267745803</v>
        <stp/>
        <stp>BDP|9064191480710005817</stp>
        <tr r="V16" s="338"/>
        <tr r="V38" s="338"/>
      </tp>
      <tp t="s">
        <v>#N/A Requesting Data...1998210305</v>
        <stp/>
        <stp>BDP|7529620820582728996</stp>
        <tr r="V62" s="89"/>
      </tp>
      <tp t="s">
        <v>#N/A Requesting Data...2825927168</v>
        <stp/>
        <stp>BDP|9119371270756838373</stp>
        <tr r="N18" s="252"/>
        <tr r="N18" s="252"/>
      </tp>
      <tp t="s">
        <v>#N/A Requesting Data...1871394103</v>
        <stp/>
        <stp>BDP|5010474986457760687</stp>
        <tr r="AC12" s="1"/>
      </tp>
      <tp t="s">
        <v>#N/A Requesting Data...4000330087</v>
        <stp/>
        <stp>BDP|8903788637142927602</stp>
        <tr r="AK30" s="338"/>
      </tp>
      <tp t="s">
        <v>#N/A Requesting Data...3063959688</v>
        <stp/>
        <stp>BDP|9657162411476734792</stp>
        <tr r="P47" s="338"/>
      </tp>
      <tp t="e">
        <v>#N/A</v>
        <stp/>
        <stp>BDH|5235768486444426695</stp>
        <tr r="AS18" s="338"/>
      </tp>
      <tp t="s">
        <v>#N/A Requesting Data...1960450169</v>
        <stp/>
        <stp>BDP|8214189350376607202</stp>
        <tr r="E26" s="2"/>
      </tp>
      <tp t="s">
        <v>#N/A Requesting Data...3777576820</v>
        <stp/>
        <stp>BDP|9333244719414698648</stp>
        <tr r="AG31" s="1"/>
      </tp>
      <tp t="s">
        <v>#N/A Requesting Data...2596611366</v>
        <stp/>
        <stp>BDP|4966137821678753718</stp>
        <tr r="E20" s="89"/>
      </tp>
      <tp t="s">
        <v>#N/A Requesting Data...3279302084</v>
        <stp/>
        <stp>BDP|9541693808182769518</stp>
        <tr r="D29" s="446"/>
      </tp>
      <tp t="s">
        <v>#N/A Requesting Data...4037272488</v>
        <stp/>
        <stp>BDP|6839173327418343594</stp>
        <tr r="F7" s="446"/>
      </tp>
      <tp t="e">
        <v>#N/A</v>
        <stp/>
        <stp>BDH|9155295561005988029</stp>
        <tr r="AU30" s="338"/>
      </tp>
      <tp t="s">
        <v>#N/A Requesting Data...2437652260</v>
        <stp/>
        <stp>BDP|5668869742685379426</stp>
        <tr r="AA222" s="89"/>
        <tr r="Z222" s="89"/>
      </tp>
      <tp t="s">
        <v>#N/A Requesting Data...3836620889</v>
        <stp/>
        <stp>BDP|9577253587113333875</stp>
        <tr r="D20" s="89"/>
      </tp>
      <tp t="s">
        <v>#N/A Requesting Data...3589875986</v>
        <stp/>
        <stp>BDP|5036112677148006353</stp>
        <tr r="L14" s="338"/>
        <tr r="H55" s="338"/>
        <tr r="J14" s="338"/>
        <tr r="J55" s="338"/>
        <tr r="L55" s="338"/>
        <tr r="L55" s="338"/>
      </tp>
      <tp t="e">
        <v>#N/A</v>
        <stp/>
        <stp>BDH|4055261796015990290</stp>
        <tr r="AN35" s="338"/>
        <tr r="AN14" s="338"/>
      </tp>
      <tp t="e">
        <v>#N/A</v>
        <stp/>
        <stp>BDH|4511678887715580709</stp>
        <tr r="AN53" s="338"/>
        <tr r="AN54" s="338"/>
        <tr r="AN52" s="338"/>
      </tp>
      <tp t="s">
        <v>#N/A Requesting Data...3701679661</v>
        <stp/>
        <stp>BDP|5237225300886746967</stp>
        <tr r="Z129" s="89"/>
        <tr r="AA129" s="89"/>
      </tp>
      <tp t="s">
        <v>#N/A Requesting Data...2517888270</v>
        <stp/>
        <stp>BDP|5098111893277025237</stp>
        <tr r="AI13" s="1"/>
      </tp>
      <tp t="s">
        <v>#N/A Requesting Data...4148089282</v>
        <stp/>
        <stp>BDP|3746009638598604087</stp>
        <tr r="Z136" s="89"/>
        <tr r="AA136" s="89"/>
      </tp>
      <tp t="s">
        <v>#N/A Requesting Data...3567639347</v>
        <stp/>
        <stp>BDP|7027987678572062314</stp>
        <tr r="AC21" s="1"/>
        <tr r="AC22" s="1"/>
        <tr r="D36" s="446"/>
      </tp>
      <tp t="s">
        <v>#N/A Requesting Data...2031627737</v>
        <stp/>
        <stp>BDP|2739243071518004749</stp>
        <tr r="E138" s="89"/>
      </tp>
      <tp t="e">
        <v>#N/A</v>
        <stp/>
        <stp>BDH|7010958550111077231</stp>
        <tr r="W16" s="252"/>
        <tr r="T16" s="252"/>
      </tp>
      <tp t="s">
        <v>#N/A Requesting Data...3638470684</v>
        <stp/>
        <stp>BDP|9066599393364720991</stp>
        <tr r="C211" s="89"/>
      </tp>
      <tp t="s">
        <v>#N/A Requesting Data...2969055070</v>
        <stp/>
        <stp>BDP|9528506301481652565</stp>
        <tr r="V234" s="89"/>
        <tr r="AD11" s="2"/>
      </tp>
      <tp t="e">
        <v>#N/A</v>
        <stp/>
        <stp>BDH|2375673906255636901</stp>
        <tr r="W11" s="252"/>
        <tr r="T11" s="252"/>
      </tp>
      <tp t="s">
        <v>#N/A Requesting Data...3307948881</v>
        <stp/>
        <stp>BDP|9223648164760253152</stp>
        <tr r="K43" s="1"/>
      </tp>
      <tp t="s">
        <v>#N/A Requesting Data...2130170881</v>
        <stp/>
        <stp>BDP|5102280246103961839</stp>
        <tr r="C76" s="89"/>
        <tr r="D25" s="2"/>
      </tp>
      <tp t="s">
        <v>#N/A Requesting Data...2762503354</v>
        <stp/>
        <stp>BDP|7251233187166134321</stp>
        <tr r="C240" s="89"/>
      </tp>
      <tp t="s">
        <v>#N/A Requesting Data...4044828943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133.01</v>
        <stp/>
        <stp>BDP|1232203967796078876|22</stp>
        <stp>ABNB Equity</stp>
        <stp>LAST PRICE</stp>
        <tr r="I12" s="338"/>
      </tp>
      <tp>
        <v>35.630000000000003</v>
        <stp/>
        <stp>BDP|2650520762982825878|22</stp>
        <stp>KWEB Equity</stp>
        <stp>LAST_PRICE</stp>
        <tr r="H12" s="252"/>
        <tr r="H12" s="252"/>
      </tp>
      <tp>
        <v>3</v>
        <stp/>
        <stp>BDP|239012915816136366|22</stp>
        <stp>MRVL US 03/20/26 P75 Equity</stp>
        <stp>bid</stp>
        <tr r="P15" s="2"/>
        <tr r="K50" s="89"/>
      </tp>
      <tp t="s">
        <v>#N/A Requesting Data...3836670714</v>
        <stp/>
        <stp>BDP|2441593726955875997</stp>
        <tr r="L20" s="252"/>
        <tr r="L20" s="252"/>
      </tp>
      <tp t="s">
        <v>#N/A Requesting Data...4186132526</v>
        <stp/>
        <stp>BDP|8996292475495824173</stp>
        <tr r="O16" s="252"/>
      </tp>
      <tp t="s">
        <v>#N/A Requesting Data...3931494939</v>
        <stp/>
        <stp>BDP|7236892364714774420</stp>
        <tr r="E211" s="89"/>
      </tp>
      <tp t="s">
        <v>#N/A Requesting Data...3682496775</v>
        <stp/>
        <stp>BDP|8243135780729316187</stp>
        <tr r="E10" s="2"/>
      </tp>
      <tp t="e">
        <v>#N/A</v>
        <stp/>
        <stp>BDH|5508981979447695584</stp>
        <tr r="AN50" s="338"/>
        <tr r="AN51" s="338"/>
        <tr r="AS34" s="338"/>
        <tr r="AS35" s="338"/>
        <tr r="AS36" s="338"/>
        <tr r="AS37" s="338"/>
      </tp>
      <tp t="s">
        <v>#N/A Requesting Data...3361666844</v>
        <stp/>
        <stp>BDP|9788785317823069539</stp>
        <tr r="C145" s="89"/>
      </tp>
      <tp t="s">
        <v>#N/A Requesting Data...3453860505</v>
        <stp/>
        <stp>BDP|3993805876862168756</stp>
        <tr r="U45" s="338"/>
      </tp>
      <tp t="s">
        <v>#N/A Requesting Data...2261774424</v>
        <stp/>
        <stp>BDP|5255036781235828107</stp>
        <tr r="D108" s="89"/>
      </tp>
      <tp t="s">
        <v>#N/A Requesting Data...3333466692</v>
        <stp/>
        <stp>BDP|5507910641525481482</stp>
        <tr r="O251" s="89"/>
      </tp>
      <tp t="s">
        <v>#N/A Requesting Data...3999786661</v>
        <stp/>
        <stp>BDP|9754162438145550750</stp>
        <tr r="E14" s="2"/>
      </tp>
      <tp t="s">
        <v>#N/A Requesting Data...2658799575</v>
        <stp/>
        <stp>BDP|2257884823860585153</stp>
        <tr r="C144" s="89"/>
      </tp>
      <tp t="s">
        <v>#N/A Requesting Data...3064740234</v>
        <stp/>
        <stp>BDP|9341605469596575665</stp>
        <tr r="Q9" s="338"/>
      </tp>
      <tp t="s">
        <v>#N/A Requesting Data...3551984952</v>
        <stp/>
        <stp>BDP|7232651898382396325</stp>
        <tr r="AA211" s="89"/>
        <tr r="Z211" s="89"/>
      </tp>
      <tp t="s">
        <v>#N/A Requesting Data...2841416209</v>
        <stp/>
        <stp>BDP|2463897743725982291</stp>
        <tr r="F20" s="446"/>
      </tp>
      <tp t="s">
        <v>#N/A Requesting Data...3715944512</v>
        <stp/>
        <stp>BDP|9344561247696579794</stp>
        <tr r="AH15" s="338"/>
        <tr r="AH39" s="338"/>
        <tr r="AI40" s="338"/>
      </tp>
      <tp t="s">
        <v>#N/A Requesting Data...3603378261</v>
        <stp/>
        <stp>BDP|8902707926363342723</stp>
        <tr r="Q33" s="338"/>
      </tp>
      <tp t="s">
        <v>#N/A Requesting Data...3027874398</v>
        <stp/>
        <stp>BDP|1496087683704172410</stp>
        <tr r="Q10" s="338"/>
      </tp>
      <tp t="s">
        <v>#N/A Requesting Data...2928641438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Data...2496823968</v>
        <stp/>
        <stp>BDP|2024996577492051738</stp>
        <tr r="AA213" s="89"/>
        <tr r="Z213" s="89"/>
      </tp>
      <tp t="s">
        <v>#N/A Requesting Data...3917230111</v>
        <stp/>
        <stp>BDP|1693468674482928905</stp>
        <tr r="V246" s="89"/>
      </tp>
      <tp t="s">
        <v>#N/A Requesting Data...4030849545</v>
        <stp/>
        <stp>BDP|1918834507510755077</stp>
        <tr r="S8" s="338"/>
      </tp>
      <tp t="s">
        <v>#N/A Requesting Data...2661173144</v>
        <stp/>
        <stp>BDP|3087266777367014837</stp>
        <tr r="AI12" s="1"/>
      </tp>
      <tp t="s">
        <v>#N/A Requesting Data...2043193448</v>
        <stp/>
        <stp>BDP|1186915098941854922</stp>
        <tr r="P17" s="338"/>
      </tp>
      <tp t="s">
        <v>#N/A Requesting Data...3399481104</v>
        <stp/>
        <stp>BDP|2967439760978040180</stp>
        <tr r="C27" s="89"/>
        <tr r="D7" s="2"/>
      </tp>
      <tp t="s">
        <v>#N/A N/A</v>
        <stp/>
        <stp>BDP|5430386408488532737</stp>
        <tr r="AB109" s="89"/>
      </tp>
      <tp t="s">
        <v>#N/A Requesting Data...3345987169</v>
        <stp/>
        <stp>BDP|2029315395822475330</stp>
        <tr r="D27" s="89"/>
      </tp>
      <tp t="s">
        <v>#N/A Requesting Data...2116539790</v>
        <stp/>
        <stp>BDP|1209552834247328939</stp>
        <tr r="AC31" s="1"/>
      </tp>
      <tp t="s">
        <v>#N/A Requesting Data...3316574405</v>
        <stp/>
        <stp>BDP|9316566775525772740</stp>
        <tr r="O186" s="89"/>
      </tp>
      <tp t="s">
        <v>#N/A Requesting Data...3222596642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Data...2711090044</v>
        <stp/>
        <stp>BDP|2048477006706491956</stp>
        <tr r="X33" s="338"/>
      </tp>
      <tp t="s">
        <v>#N/A Requesting Data...2631596853</v>
        <stp/>
        <stp>BDP|8560658656402614067</stp>
        <tr r="O63" s="89"/>
      </tp>
      <tp t="s">
        <v>#N/A Requesting Data...2996362836</v>
        <stp/>
        <stp>BDP|9762563002360150543</stp>
        <tr r="P9" s="338"/>
      </tp>
      <tp t="s">
        <v>#N/A Requesting Data...2234145752</v>
        <stp/>
        <stp>BDP|7565516181913503073</stp>
        <tr r="E7" s="2"/>
      </tp>
      <tp t="s">
        <v>#N/A Requesting Data...2865454815</v>
        <stp/>
        <stp>BDP|8690033388548820123</stp>
        <tr r="AJ14" s="338"/>
        <tr r="AJ35" s="338"/>
      </tp>
      <tp t="s">
        <v>#N/A Requesting Data...3130632231</v>
        <stp/>
        <stp>BDP|5063786732481800955</stp>
        <tr r="C63" s="89"/>
      </tp>
      <tp t="s">
        <v>#N/A Requesting Data...2993131089</v>
        <stp/>
        <stp>BDP|5400835087744406808</stp>
        <tr r="AG29" s="338"/>
      </tp>
      <tp t="s">
        <v>#N/A Requesting Data...2546101675</v>
        <stp/>
        <stp>BDP|2272046972965931995</stp>
        <tr r="V188" s="89"/>
      </tp>
      <tp t="s">
        <v>#N/A Requesting Data...2549762757</v>
        <stp/>
        <stp>BDP|9280288157897826002</stp>
        <tr r="C138" s="89"/>
      </tp>
      <tp t="s">
        <v>#N/A Requesting Data...3312560128</v>
        <stp/>
        <stp>BDP|6141864573737095712</stp>
        <tr r="T82" s="89"/>
      </tp>
      <tp t="s">
        <v>#N/A Requesting Data...3737904292</v>
        <stp/>
        <stp>BDP|8865039534922905038</stp>
        <tr r="L13" s="252"/>
        <tr r="L13" s="252"/>
      </tp>
      <tp t="s">
        <v>#N/A N/A</v>
        <stp/>
        <stp>BDP|8508395004434515685</stp>
        <tr r="AB187" s="89"/>
        <tr r="AB186" s="89"/>
        <tr r="AB203" s="89"/>
        <tr r="AB204" s="89"/>
        <tr r="AB205" s="89"/>
        <tr r="AQ21" s="2"/>
        <tr r="AQ22" s="2"/>
        <tr r="AQ23" s="2"/>
        <tr r="AB188" s="89"/>
      </tp>
      <tp>
        <v>15.25</v>
        <stp/>
        <stp>BDP|15170082727718363189|22</stp>
        <stp>META US 04/17/26 C750 Equity</stp>
        <stp>bid</stp>
        <tr r="P8" s="2"/>
        <tr r="K169" s="89"/>
        <tr r="K178" s="89"/>
        <tr r="K233" s="89"/>
      </tp>
      <tp>
        <v>32.049999999999997</v>
        <stp/>
        <stp>BDP|14111141271769378618|22</stp>
        <stp>META US 04/17/26 C690 Equity</stp>
        <stp>ask</stp>
        <tr r="Q9" s="2"/>
        <tr r="L170" s="89"/>
        <tr r="L179" s="89"/>
      </tp>
    </main>
    <main first="bofaddin.rtdserver">
      <tp>
        <v>23.45</v>
        <stp/>
        <stp>BDP|16478206836234223191|22</stp>
        <stp>TSM US 01/16/26 C300 Equity</stp>
        <stp>ask</stp>
        <tr r="Q26" s="2"/>
        <tr r="L7" s="89"/>
      </tp>
      <tp>
        <v>313.69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Data...4225292929</v>
        <stp/>
        <stp>BDP|8490234008586700620</stp>
        <tr r="Z247" s="89"/>
        <tr r="AA247" s="89"/>
      </tp>
      <tp t="s">
        <v>#N/A Requesting Data...2205936211</v>
        <stp/>
        <stp>BDP|5587682882935341464</stp>
        <tr r="E90" s="89"/>
      </tp>
      <tp t="s">
        <v>#N/A Requesting Data...3142645468</v>
        <stp/>
        <stp>BDP|4181385796167397361</stp>
        <tr r="T76" s="89"/>
        <tr r="AA25" s="2"/>
      </tp>
      <tp t="s">
        <v>#N/A Requesting Data...3867424389</v>
        <stp/>
        <stp>BDP|7230833674217968563</stp>
        <tr r="S36" s="338"/>
      </tp>
      <tp t="s">
        <v>#N/A Requesting Data...2806767514</v>
        <stp/>
        <stp>BDP|3492706410819693697</stp>
        <tr r="C24" s="2"/>
      </tp>
      <tp t="s">
        <v>#N/A Requesting Data...3490205951</v>
        <stp/>
        <stp>BDP|4614669274439881673</stp>
        <tr r="E4" s="2"/>
      </tp>
      <tp t="s">
        <v>#N/A Requesting Data...2758941373</v>
        <stp/>
        <stp>BDP|3603190722478324251</stp>
        <tr r="AI21" s="1"/>
        <tr r="AI22" s="1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Requesting Data...2177048352</v>
        <stp/>
        <stp>BDP|6392840872006556586</stp>
        <tr r="E8" s="1"/>
      </tp>
      <tp t="s">
        <v>#N/A Requesting Data...2867230662</v>
        <stp/>
        <stp>BDP|5263574927779802120</stp>
        <tr r="V45" s="338"/>
      </tp>
      <tp t="s">
        <v>#N/A Requesting Data...2768634337</v>
        <stp/>
        <stp>BDP|2344935394120970850</stp>
        <tr r="C108" s="89"/>
      </tp>
      <tp t="s">
        <v>#N/A Requesting Data...2627996974</v>
        <stp/>
        <stp>BDP|1305485589197843027</stp>
        <tr r="AJ17" s="338"/>
        <tr r="AJ18" s="338"/>
        <tr r="AH17" s="338"/>
        <tr r="AH18" s="338"/>
      </tp>
      <tp t="s">
        <v>#N/A Requesting Data...3183405340</v>
        <stp/>
        <stp>BDP|9065585755010767336</stp>
        <tr r="F17" s="252"/>
      </tp>
      <tp t="e">
        <v>#N/A</v>
        <stp/>
        <stp>BDH|2734053018858031144</stp>
        <tr r="J6" s="252"/>
      </tp>
      <tp t="s">
        <v>#N/A Requesting Data...4208528636</v>
        <stp/>
        <stp>BDP|3271990383928035073</stp>
        <tr r="K10" s="1"/>
      </tp>
      <tp t="e">
        <v>#N/A</v>
        <stp/>
        <stp>BDH|1686338980868859825</stp>
        <tr r="AR9" s="338"/>
      </tp>
      <tp t="e">
        <v>#N/A</v>
        <stp/>
        <stp>BDH|7378294545039885283</stp>
        <tr r="AN9" s="338"/>
        <tr r="AN8" s="338"/>
      </tp>
      <tp t="s">
        <v>#N/A Requesting Data...2711698330</v>
        <stp/>
        <stp>BDP|7972307511286384971</stp>
        <tr r="AI39" s="1"/>
      </tp>
      <tp t="s">
        <v>#N/A Requesting Data...3324054220</v>
        <stp/>
        <stp>BDP|7038982583049677518</stp>
        <tr r="T108" s="89"/>
      </tp>
      <tp t="s">
        <v>#N/A Requesting Data...2259422352</v>
        <stp/>
        <stp>BDP|1004337573258431787</stp>
        <tr r="L8" s="338"/>
        <tr r="L9" s="338"/>
        <tr r="H8" s="338"/>
        <tr r="H9" s="338"/>
      </tp>
      <tp t="s">
        <v>#N/A Requesting Data...3102562880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Data...3856577000</v>
        <stp/>
        <stp>BDP|2786473499167807238</stp>
        <tr r="AI45" s="338"/>
      </tp>
      <tp t="s">
        <v>#N/A Requesting Data...3257270829</v>
        <stp/>
        <stp>BDP|9928781162902167014</stp>
        <tr r="AA171" s="89"/>
        <tr r="Z171" s="89"/>
      </tp>
      <tp t="s">
        <v>#N/A Requesting Data...3323467295</v>
        <stp/>
        <stp>BDP|6785747401219846296</stp>
        <tr r="S41" s="338"/>
      </tp>
      <tp t="s">
        <v>#N/A Requesting Data...3306547014</v>
        <stp/>
        <stp>BDP|7636506958715934842</stp>
        <tr r="T24" s="2"/>
      </tp>
      <tp t="s">
        <v>#N/A Requesting Data...2234915433</v>
        <stp/>
        <stp>BDP|9500211458423629792</stp>
        <tr r="V31" s="338"/>
      </tp>
      <tp t="s">
        <v>#N/A Requesting Data...3722896770</v>
        <stp/>
        <stp>BDP|3991525680666985223</stp>
        <tr r="C171" s="89"/>
      </tp>
      <tp t="s">
        <v>#N/A Requesting Data...2660460325</v>
        <stp/>
        <stp>BDP|4587517495856843492</stp>
        <tr r="T16" s="338"/>
        <tr r="T38" s="338"/>
      </tp>
      <tp t="s">
        <v>#N/A N/A</v>
        <stp/>
        <stp>BDP|8471485932241814460</stp>
        <tr r="AB248" s="89"/>
        <tr r="AB197" s="89"/>
        <tr r="AB195" s="89"/>
        <tr r="AB196" s="89"/>
      </tp>
      <tp t="s">
        <v>#N/A Requesting Data...2957585514</v>
        <stp/>
        <stp>BDP|8582278211013363216</stp>
        <tr r="AI15" s="1"/>
        <tr r="AI14" s="1"/>
      </tp>
      <tp t="s">
        <v>#N/A Requesting Data...3952094145</v>
        <stp/>
        <stp>BDP|9965794027725386324</stp>
        <tr r="AB17" s="1"/>
        <tr r="F26" s="446"/>
      </tp>
      <tp t="s">
        <v>#N/A Requesting Data...4270732785</v>
        <stp/>
        <stp>BDP|8565626935242633520</stp>
        <tr r="D203" s="89"/>
      </tp>
      <tp t="s">
        <v>#N/A Requesting Data...2753327005</v>
        <stp/>
        <stp>BDP|7762957903341343540</stp>
        <tr r="Q51" s="338"/>
      </tp>
      <tp t="s">
        <v>#N/A Requesting Data...3225382209</v>
        <stp/>
        <stp>BDP|1001769831296786978</stp>
        <tr r="AI45" s="338"/>
        <tr r="AK45" s="338"/>
      </tp>
      <tp t="s">
        <v>#N/A Requesting Data...4198217083</v>
        <stp/>
        <stp>BDP|2779597998256859293</stp>
        <tr r="E188" s="89"/>
      </tp>
      <tp t="s">
        <v>#N/A Requesting Data...3468820887</v>
        <stp/>
        <stp>BDP|3394479430858909693</stp>
        <tr r="C96" s="89"/>
      </tp>
      <tp t="s">
        <v>#N/A Requesting Data...4223356651</v>
        <stp/>
        <stp>BDP|4524000010539321624</stp>
        <tr r="V129" s="89"/>
      </tp>
      <tp t="s">
        <v>#N/A N/A</v>
        <stp/>
        <stp>BDP|2140911238616808459</stp>
        <tr r="AB249" s="89"/>
        <tr r="AB171" s="89"/>
        <tr r="AB169" s="89"/>
        <tr r="AB170" s="89"/>
        <tr r="AB178" s="89"/>
        <tr r="AB179" s="89"/>
        <tr r="AB180" s="89"/>
        <tr r="AB233" s="89"/>
        <tr r="AB234" s="89"/>
        <tr r="AQ10" s="2"/>
        <tr r="AQ11" s="2"/>
        <tr r="AQ8" s="2"/>
        <tr r="AQ9" s="2"/>
      </tp>
      <tp t="s">
        <v>#N/A Requesting Data...3993566275</v>
        <stp/>
        <stp>BDP|3332604227028093513</stp>
        <tr r="S13" s="338"/>
      </tp>
      <tp t="s">
        <v>#N/A Requesting Data...3400623653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Data...3376523859</v>
        <stp/>
        <stp>BDP|3948059027399786291</stp>
        <tr r="C102" s="89"/>
      </tp>
      <tp>
        <v>46.65</v>
        <stp/>
        <stp>BDP|13965893341883543451|22</stp>
        <stp>LITE US 02/20/26 C400 Equity</stp>
        <stp>mid</stp>
        <tr r="L6" s="2"/>
      </tp>
      <tp t="s">
        <v>#N/A N/A</v>
        <stp/>
        <stp>BDP|11422101846013417478|22</stp>
        <stp>SPXW US 12/31/25 C6950 Index</stp>
        <stp>bid</stp>
        <tr r="K160" s="89"/>
      </tp>
      <tp t="s">
        <v>#N/A Requesting Data...2191427545</v>
        <stp/>
        <stp>BDP|6535458296649412984</stp>
        <tr r="T188" s="89"/>
      </tp>
      <tp t="s">
        <v>#N/A Requesting Data...3012835829</v>
        <stp/>
        <stp>BDP|8888687617413548780</stp>
        <tr r="L54" s="338"/>
        <tr r="J54" s="338"/>
      </tp>
      <tp t="s">
        <v>#N/A Requesting Data...2750155014</v>
        <stp/>
        <stp>BDP|2329729297960563787</stp>
        <tr r="U42" s="338"/>
      </tp>
      <tp t="s">
        <v>#N/A Requesting Data...2269052125</v>
        <stp/>
        <stp>BDP|5055978459833341163</stp>
        <tr r="S40" s="338"/>
      </tp>
      <tp t="s">
        <v>#N/A Requesting Data...3128087214</v>
        <stp/>
        <stp>BDP|9916250733583306071</stp>
        <tr r="V95" s="89"/>
      </tp>
      <tp t="s">
        <v>#N/A Requesting Data...3167656924</v>
        <stp/>
        <stp>BDP|4721614875256887832</stp>
        <tr r="AR13" s="2"/>
      </tp>
      <tp t="s">
        <v>#N/A Requesting Data...4153990818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e">
        <v>#N/A</v>
        <stp/>
        <stp>BDH|9004241954344169199</stp>
        <tr r="AR18" s="338"/>
      </tp>
      <tp t="s">
        <v>#N/A Requesting Data...2414266460</v>
        <stp/>
        <stp>BDP|4926041887351657654</stp>
        <tr r="D137" s="89"/>
      </tp>
      <tp t="s">
        <v>#N/A Requesting Data...3893700484</v>
        <stp/>
        <stp>BDP|9866940913692641877</stp>
        <tr r="AF16" s="1"/>
      </tp>
      <tp t="s">
        <v>#N/A Requesting Data...4092874446</v>
        <stp/>
        <stp>BDP|8737954890503872047</stp>
        <tr r="D33" s="446"/>
      </tp>
      <tp t="s">
        <v>#N/A Requesting Data...4242552275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Data...2252021798</v>
        <stp/>
        <stp>BDP|4440081808298299792</stp>
        <tr r="AK42" s="338"/>
        <tr r="AI42" s="338"/>
      </tp>
      <tp t="s">
        <v>#N/A Requesting Data...2533850328</v>
        <stp/>
        <stp>BDP|6735248014207248991</stp>
        <tr r="T49" s="338"/>
      </tp>
      <tp t="s">
        <v>#N/A Requesting Data...3512378465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Requesting Data...2774885416</v>
        <stp/>
        <stp>BDP|4860326794961478469</stp>
        <tr r="C27" s="2"/>
      </tp>
      <tp t="s">
        <v>#N/A Requesting Data...3270907060</v>
        <stp/>
        <stp>BDP|8786342763721865752</stp>
        <tr r="P31" s="338"/>
      </tp>
      <tp t="s">
        <v>#N/A Requesting Data...4231703716</v>
        <stp/>
        <stp>BDP|7001248851652159998</stp>
        <tr r="T34" s="338"/>
      </tp>
      <tp t="s">
        <v>#N/A Requesting Data...3595035044</v>
        <stp/>
        <stp>BDP|8184963260888735426</stp>
        <tr r="AA180" s="89"/>
        <tr r="Z180" s="89"/>
      </tp>
      <tp t="s">
        <v>#N/A Requesting Data...2441925481</v>
        <stp/>
        <stp>BDP|5051274982791237548</stp>
        <tr r="C13" s="89"/>
        <tr r="D27" s="2"/>
      </tp>
      <tp t="s">
        <v>#N/A Requesting Data...3146726224</v>
        <stp/>
        <stp>BDP|9762687753917905669</stp>
        <tr r="T12" s="338"/>
      </tp>
      <tp t="s">
        <v>#N/A N/A</v>
        <stp/>
        <stp>BDP|2220703499371845606</stp>
        <tr r="R250" s="89"/>
        <tr r="R20" s="89"/>
        <tr r="AV24" s="2"/>
        <tr r="R19" s="89"/>
      </tp>
      <tp t="s">
        <v>#N/A Requesting Data...4231858587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Data...3745849264</v>
        <stp/>
        <stp>BDP|6241611932378988086</stp>
        <tr r="G42" s="446"/>
      </tp>
      <tp t="s">
        <v>#N/A Requesting Data...3024815018</v>
        <stp/>
        <stp>BDP|7985659615982817917</stp>
        <tr r="V36" s="338"/>
      </tp>
      <tp t="s">
        <v>#N/A Requesting Data...2287815692</v>
        <stp/>
        <stp>BDP|2754061954929434510</stp>
        <tr r="D56" s="89"/>
      </tp>
      <tp t="s">
        <v>#N/A Requesting Data...2594225728</v>
        <stp/>
        <stp>BDP|8038940098673839043</stp>
        <tr r="F26" s="2"/>
      </tp>
      <tp t="s">
        <v>#N/A Requesting Data...2360711413</v>
        <stp/>
        <stp>BDP|1523347182133500261</stp>
        <tr r="V39" s="89"/>
      </tp>
      <tp t="s">
        <v>#N/A Requesting Data...2338796179</v>
        <stp/>
        <stp>BDP|8637443246353684034</stp>
        <tr r="T51" s="338"/>
      </tp>
      <tp t="s">
        <v>#N/A N/A</v>
        <stp/>
        <stp>BDP|8959047049495095258</stp>
        <tr r="AV18" s="2"/>
        <tr r="AV19" s="2"/>
        <tr r="R211" s="89"/>
        <tr r="R212" s="89"/>
        <tr r="R213" s="89"/>
        <tr r="R246" s="89"/>
        <tr r="AV20" s="2"/>
      </tp>
      <tp t="s">
        <v>#N/A Requesting Data...4148581828</v>
        <stp/>
        <stp>BDP|5187006175490775958</stp>
        <tr r="N7" s="252"/>
        <tr r="N7" s="252"/>
      </tp>
      <tp t="s">
        <v>#N/A Requesting Data...3879949757</v>
        <stp/>
        <stp>BDP|2612160096671704068</stp>
        <tr r="D31" s="446"/>
      </tp>
      <tp t="s">
        <v>#N/A Requesting Data...4012679083</v>
        <stp/>
        <stp>BDP|7517755008088933364</stp>
        <tr r="AG13" s="1"/>
      </tp>
      <tp t="s">
        <v>#N/A Requesting Data...2893084861</v>
        <stp/>
        <stp>BDP|4718173344583097938</stp>
        <tr r="F16" s="252"/>
      </tp>
      <tp t="s">
        <v>#N/A Requesting Data...3837607117</v>
        <stp/>
        <stp>BDP|9318183699928316256</stp>
        <tr r="D43" s="446"/>
      </tp>
      <tp t="s">
        <v>#N/A Requesting Data...4122342802</v>
        <stp/>
        <stp>BDP|3518120095883057363</stp>
        <tr r="D196" s="89"/>
      </tp>
      <tp t="s">
        <v>#N/A Requesting Data...2531897983</v>
        <stp/>
        <stp>BDP|2397389796744963701</stp>
        <tr r="AK42" s="338"/>
      </tp>
      <tp t="s">
        <v>#N/A Requesting Data...2581036047</v>
        <stp/>
        <stp>BDP|9352295318971282043</stp>
        <tr r="T102" s="89"/>
      </tp>
      <tp t="s">
        <v>#N/A Requesting Data...4157317412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Data...2423381781</v>
        <stp/>
        <stp>BDP|4946496227111068830</stp>
        <tr r="T101" s="89"/>
      </tp>
      <tp t="s">
        <v>#N/A Requesting Data...3089665042</v>
        <stp/>
        <stp>BDP|4411149358442996952</stp>
        <tr r="O11" s="252"/>
      </tp>
      <tp t="s">
        <v>#N/A Requesting Data...4181529794</v>
        <stp/>
        <stp>BDP|8633363721614159645</stp>
        <tr r="G8" s="446"/>
      </tp>
      <tp t="s">
        <v>#N/A Requesting Data...3234209127</v>
        <stp/>
        <stp>BDP|3529759684584753366</stp>
        <tr r="T247" s="89"/>
      </tp>
      <tp>
        <v>22.35</v>
        <stp/>
        <stp>BDP|16895049281307982456|22</stp>
        <stp>AVGO US 06/18/26 P300 Equity</stp>
        <stp>ask</stp>
        <tr r="L224" s="89"/>
      </tp>
      <tp>
        <v>10.9</v>
        <stp/>
        <stp>BDP|13241627216941092661|22</stp>
        <stp>AMZN US 03/20/26 C235 Equity</stp>
        <stp>bid</stp>
        <tr r="K196" s="89"/>
      </tp>
      <tp>
        <v>5.0999999999999996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>
        <v>89.363</v>
        <stp/>
        <stp>BDP|2279876738225149449|22</stp>
        <stp>MRVL US Equity</stp>
        <stp>LAST_PRICE</stp>
        <tr r="Z13" s="2"/>
        <tr r="Z14" s="2"/>
        <tr r="Z15" s="2"/>
        <tr r="S49" s="89"/>
        <tr r="S50" s="89"/>
        <tr r="S56" s="89"/>
        <tr r="S55" s="89"/>
        <tr r="Z12" s="2"/>
      </tp>
      <tp>
        <v>-0.28099870681762695</v>
        <stp/>
        <stp>BDP|1393123865485650562|22</stp>
        <stp>MRVL US 03/20/26 P80 Equity</stp>
        <stp>DELTA_MID_RT</stp>
        <tr r="AF14" s="2"/>
        <tr r="W56" s="89"/>
      </tp>
      <tp t="s">
        <v>#N/A Requesting Data...4214144518</v>
        <stp/>
        <stp>BDP|9669031297401111598</stp>
        <tr r="AG18" s="1"/>
        <tr r="AG19" s="1"/>
      </tp>
      <tp t="s">
        <v>#N/A Requesting Data...3799794459</v>
        <stp/>
        <stp>BDP|2205988461789047030</stp>
        <tr r="Q50" s="338"/>
      </tp>
      <tp t="s">
        <v>#N/A Requesting Data...4168077955</v>
        <stp/>
        <stp>BDP|8181530094431771194</stp>
        <tr r="C249" s="89"/>
      </tp>
      <tp t="s">
        <v>#N/A Requesting Data...3161522310</v>
        <stp/>
        <stp>BDP|7846163779046776380</stp>
        <tr r="V8" s="338"/>
      </tp>
      <tp t="s">
        <v>#N/A Requesting Data...2980398212</v>
        <stp/>
        <stp>BDP|4966659791349467604</stp>
        <tr r="AF12" s="1"/>
        <tr r="AG45" s="338"/>
      </tp>
      <tp t="s">
        <v>#N/A Requesting Data...2556335443</v>
        <stp/>
        <stp>BDP|2906346500884364176</stp>
        <tr r="AJ31" s="338"/>
        <tr r="AJ32" s="338"/>
      </tp>
      <tp t="s">
        <v>#N/A N/A</v>
        <stp/>
        <stp>BDP|1105691956700330633</stp>
        <tr r="AG23" s="1"/>
        <tr r="AG24" s="1"/>
      </tp>
      <tp t="s">
        <v>#N/A Requesting Data...2316456203</v>
        <stp/>
        <stp>BDP|7494523709231730773</stp>
        <tr r="F31" s="446"/>
      </tp>
      <tp t="s">
        <v>#N/A Requesting Data...3307023318</v>
        <stp/>
        <stp>BDP|2743037479982482367</stp>
        <tr r="AF20" s="1"/>
      </tp>
      <tp t="s">
        <v>#N/A Requesting Data...4177092710</v>
        <stp/>
        <stp>BDP|3462439910116908424</stp>
        <tr r="Q14" s="338"/>
      </tp>
      <tp t="s">
        <v>#N/A Requesting Data...3467943607</v>
        <stp/>
        <stp>BDP|9847286686473857422</stp>
        <tr r="C23" s="2"/>
      </tp>
      <tp t="s">
        <v>#N/A Requesting Data...2820663704</v>
        <stp/>
        <stp>BDP|8549451961438864644</stp>
        <tr r="AJ55" s="338"/>
        <tr r="AK14" s="338"/>
        <tr r="AK55" s="338"/>
      </tp>
      <tp t="s">
        <v>#N/A Requesting Data...2855388725</v>
        <stp/>
        <stp>BDP|9945382899790540700</stp>
        <tr r="Z138" s="89"/>
        <tr r="AA138" s="89"/>
      </tp>
      <tp t="s">
        <v>#N/A Requesting Data...2905130602</v>
        <stp/>
        <stp>BDP|1051127841111916176</stp>
        <tr r="P16" s="252"/>
      </tp>
      <tp t="s">
        <v>#N/A Requesting Data...3144126096</v>
        <stp/>
        <stp>BDP|4663108797361832948</stp>
        <tr r="T240" s="89"/>
      </tp>
      <tp t="e">
        <v>#N/A</v>
        <stp/>
        <stp>BDH|4869780198109202777</stp>
        <tr r="AR54" s="338"/>
      </tp>
      <tp t="s">
        <v>#N/A Requesting Data...3542645720</v>
        <stp/>
        <stp>BDP|2199559048282875569</stp>
        <tr r="AI18" s="338"/>
      </tp>
      <tp t="s">
        <v>#N/A Requesting Data...3837631190</v>
        <stp/>
        <stp>BDP|4374742715501301730</stp>
        <tr r="N16" s="252"/>
        <tr r="N16" s="252"/>
      </tp>
      <tp t="s">
        <v>#N/A Requesting Data...4113715389</v>
        <stp/>
        <stp>BDP|8764335623844685936</stp>
        <tr r="T225" s="89"/>
      </tp>
      <tp t="s">
        <v>#N/A Requesting Data...3091825993</v>
        <stp/>
        <stp>BDP|1615244074723761330</stp>
        <tr r="T36" s="338"/>
      </tp>
      <tp t="s">
        <v>#N/A Requesting Data...3410563742</v>
        <stp/>
        <stp>BDP|1689501637441437267</stp>
        <tr r="E153" s="89"/>
        <tr r="E154" s="89"/>
      </tp>
      <tp t="s">
        <v>#N/A Requesting Data...4109181250</v>
        <stp/>
        <stp>BDP|8326860540126523632</stp>
        <tr r="E129" s="89"/>
      </tp>
      <tp t="s">
        <v>#N/A Requesting Data...2976190931</v>
        <stp/>
        <stp>BDP|5790626169004593599</stp>
        <tr r="F40" s="446"/>
      </tp>
      <tp t="s">
        <v>#N/A Requesting Data...4013286642</v>
        <stp/>
        <stp>BDP|4650578052267668756</stp>
        <tr r="Q52" s="338"/>
      </tp>
      <tp t="s">
        <v>#N/A Requesting Data...3119409017</v>
        <stp/>
        <stp>BDP|9726257024364768910</stp>
        <tr r="O19" s="252"/>
      </tp>
      <tp t="s">
        <v>#N/A Requesting Data...3772884475</v>
        <stp/>
        <stp>BDP|3121965407037939996</stp>
        <tr r="T10" s="338"/>
      </tp>
      <tp t="s">
        <v>#N/A Requesting Data...2982809499</v>
        <stp/>
        <stp>BDP|6006028351715170233</stp>
        <tr r="F27" s="2"/>
      </tp>
      <tp t="s">
        <v>#N/A Requesting Data...2690304686</v>
        <stp/>
        <stp>BDP|5103135804965713501</stp>
        <tr r="Z75" s="89"/>
        <tr r="AA75" s="89"/>
      </tp>
      <tp t="s">
        <v>#N/A Requesting Data...2806339677</v>
        <stp/>
        <stp>BDP|2781273192095754848</stp>
        <tr r="P37" s="338"/>
      </tp>
      <tp t="s">
        <v>#N/A Requesting Data...3274762016</v>
        <stp/>
        <stp>BDP|5028796441871860363</stp>
        <tr r="C223" s="89"/>
        <tr r="D5" s="2"/>
      </tp>
      <tp t="s">
        <v>#N/A Requesting Data...3409349460</v>
        <stp/>
        <stp>BDP|5440482774885960773</stp>
        <tr r="AH36" s="338"/>
      </tp>
      <tp t="s">
        <v>#N/A Requesting Data...3897324880</v>
        <stp/>
        <stp>BDP|8903483087139985997</stp>
        <tr r="S8" s="252"/>
      </tp>
      <tp t="s">
        <v>#N/A Requesting Data...2705196609</v>
        <stp/>
        <stp>BDP|5888831369219232664</stp>
        <tr r="Q13" s="338"/>
      </tp>
      <tp t="s">
        <v>#N/A Requesting Data...2491806371</v>
        <stp/>
        <stp>BDP|2357040805921494704</stp>
        <tr r="AJ10" s="338"/>
        <tr r="AJ11" s="338"/>
        <tr r="AJ33" s="338"/>
      </tp>
      <tp t="s">
        <v>#N/A Requesting Data...3968746135</v>
        <stp/>
        <stp>BDP|7928439714665118399</stp>
        <tr r="AR11" s="2"/>
      </tp>
      <tp t="s">
        <v>#N/A Requesting Data...3949731768</v>
        <stp/>
        <stp>BDP|8037069285811505514</stp>
        <tr r="AA12" s="2"/>
      </tp>
      <tp t="s">
        <v>#N/A Requesting Data...2927804040</v>
        <stp/>
        <stp>BDP|2785695221570324283</stp>
        <tr r="O188" s="89"/>
      </tp>
      <tp t="s">
        <v>#N/A Requesting Data...2469726128</v>
        <stp/>
        <stp>BDP|7488252242316209355</stp>
        <tr r="C69" s="89"/>
      </tp>
      <tp t="s">
        <v>#N/A Requesting Data...2666579007</v>
        <stp/>
        <stp>BDP|1913639431982971268</stp>
        <tr r="V122" s="89"/>
      </tp>
      <tp t="s">
        <v>#N/A Requesting Data...4154829067</v>
        <stp/>
        <stp>BDP|8103428543709687520</stp>
        <tr r="G5" s="446"/>
        <tr r="G6" s="446"/>
      </tp>
      <tp t="s">
        <v>#N/A Requesting Data...2646477579</v>
        <stp/>
        <stp>BDP|5430094244624859152</stp>
        <tr r="D34" s="446"/>
      </tp>
      <tp t="s">
        <v>#N/A Requesting Data...3570335160</v>
        <stp/>
        <stp>BDP|8392707160538708517</stp>
        <tr r="AA7" s="89"/>
        <tr r="Z7" s="89"/>
      </tp>
      <tp t="s">
        <v>#N/A Requesting Data...3797991421</v>
        <stp/>
        <stp>BDP|5284294530751812164</stp>
        <tr r="AI12" s="338"/>
      </tp>
      <tp t="s">
        <v>#N/A Requesting Data...3258747569</v>
        <stp/>
        <stp>BDP|2593154816901666757</stp>
        <tr r="N13" s="252"/>
        <tr r="N13" s="252"/>
      </tp>
      <tp t="s">
        <v>#N/A Requesting Data...4251871166</v>
        <stp/>
        <stp>BDP|9638513960499697749</stp>
        <tr r="T46" s="338"/>
      </tp>
      <tp t="s">
        <v>#N/A Requesting Data...3727301550</v>
        <stp/>
        <stp>BDP|1095799839766349765</stp>
        <tr r="AR10" s="2"/>
      </tp>
      <tp t="e">
        <v>#N/A</v>
        <stp/>
        <stp>BDH|1117389449016176446</stp>
        <tr r="AR13" s="338"/>
      </tp>
      <tp>
        <v>650.41</v>
        <stp/>
        <stp>BDP|3807768373389777345|22</stp>
        <stp>META Equity</stp>
        <stp>LAST_PRICE</stp>
        <tr r="I17" s="1"/>
      </tp>
      <tp>
        <v>102.36</v>
        <stp/>
        <stp>BDP|4389152314038046903|22</stp>
        <stp>QQQE Equity</stp>
        <stp>LAST_PRICE</stp>
        <tr r="I12" s="1"/>
      </tp>
      <tp>
        <v>85.73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5" s="89"/>
        <tr r="R196" s="89"/>
      </tp>
      <tp t="s">
        <v>#N/A Requesting Data...3808797235</v>
        <stp/>
        <stp>BDP|9778868848743494371</stp>
        <tr r="AA49" s="89"/>
        <tr r="AA55" s="89"/>
        <tr r="Z49" s="89"/>
        <tr r="Z55" s="89"/>
      </tp>
      <tp t="s">
        <v>#N/A Requesting Data...2961995594</v>
        <stp/>
        <stp>BDP|2926137671092226333</stp>
        <tr r="P14" s="252"/>
      </tp>
      <tp t="s">
        <v>#N/A Requesting Data...4136005259</v>
        <stp/>
        <stp>BDP|6027981592980487345</stp>
        <tr r="V63" s="89"/>
      </tp>
      <tp t="s">
        <v>#N/A Requesting Data...3212880383</v>
        <stp/>
        <stp>BDP|4780459414043985746</stp>
        <tr r="S33" s="338"/>
      </tp>
      <tp t="s">
        <v>#N/A Requesting Data...4119588755</v>
        <stp/>
        <stp>BDP|3715220583989463590</stp>
        <tr r="AB35" s="1"/>
        <tr r="AB36" s="1"/>
        <tr r="F30" s="446"/>
      </tp>
      <tp t="s">
        <v>#N/A Requesting Data...3984962565</v>
        <stp/>
        <stp>BDP|3983744460122577503</stp>
        <tr r="AF23" s="1"/>
        <tr r="AF24" s="1"/>
        <tr r="AF36" s="338"/>
      </tp>
      <tp t="s">
        <v>#N/A Requesting Data...2939809087</v>
        <stp/>
        <stp>BDP|5013605744345919757</stp>
        <tr r="D20" s="2"/>
      </tp>
      <tp t="s">
        <v>#N/A Requesting Data...2537397173</v>
        <stp/>
        <stp>BDP|5308081551174601141</stp>
        <tr r="U11" s="338"/>
      </tp>
      <tp t="e">
        <v>#N/A</v>
        <stp/>
        <stp>BDH|9726748985565677680</stp>
        <tr r="AM36" s="338"/>
      </tp>
      <tp t="s">
        <v>#N/A N/A</v>
        <stp/>
        <stp>BDP|2916877855548179238</stp>
        <tr r="K1" s="2"/>
      </tp>
      <tp t="s">
        <v>#N/A Requesting Data...3217642078</v>
        <stp/>
        <stp>BDP|3051431949301095732</stp>
        <tr r="AB20" s="1"/>
      </tp>
      <tp t="s">
        <v>#N/A Requesting Data...2879290060</v>
        <stp/>
        <stp>BDP|3582495755343816481</stp>
        <tr r="F8" s="2"/>
      </tp>
      <tp t="s">
        <v>#N/A Requesting Data...3472766216</v>
        <stp/>
        <stp>BDP|4947765633296651347</stp>
        <tr r="V33" s="89"/>
      </tp>
      <tp t="s">
        <v>#N/A Requesting Data...3346986846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Data...4008113119</v>
        <stp/>
        <stp>BDP|6525006869707181227</stp>
        <tr r="AF28" s="1"/>
        <tr r="AF50" s="338"/>
        <tr r="AF51" s="338"/>
        <tr r="AG34" s="338"/>
        <tr r="AG35" s="338"/>
        <tr r="AG36" s="338"/>
        <tr r="AG37" s="338"/>
      </tp>
      <tp t="s">
        <v>#N/A Requesting Data...2461157608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Data...3467186385</v>
        <stp/>
        <stp>BDP|2680507519705077633</stp>
        <tr r="C250" s="89"/>
      </tp>
      <tp t="s">
        <v>#N/A Requesting Data...3535089046</v>
        <stp/>
        <stp>BDP|8626964800726479283</stp>
        <tr r="T17" s="338"/>
      </tp>
      <tp t="e">
        <v>#N/A</v>
        <stp/>
        <stp>BDH|3356168220505170085</stp>
        <tr r="AR31" s="338"/>
        <tr r="AM46" s="338"/>
        <tr r="AR51" s="338"/>
        <tr r="AR47" s="338"/>
        <tr r="AR41" s="338"/>
        <tr r="AM49" s="338"/>
        <tr r="AR33" s="338"/>
        <tr r="AM45" s="338"/>
      </tp>
      <tp t="s">
        <v>#N/A Requesting Data...3286271618</v>
        <stp/>
        <stp>BDP|7410592363259611858</stp>
        <tr r="K2" s="1"/>
      </tp>
      <tp t="s">
        <v>#N/A Requesting Data...2720003817</v>
        <stp/>
        <stp>BDP|5037173113667914709</stp>
        <tr r="Q41" s="338"/>
      </tp>
      <tp t="s">
        <v>#N/A Requesting Data...3783285436</v>
        <stp/>
        <stp>BDP|6453493511390892665</stp>
        <tr r="T31" s="338"/>
      </tp>
      <tp t="s">
        <v>#N/A Requesting Data...2323988247</v>
        <stp/>
        <stp>BDP|1589468757956595330</stp>
        <tr r="AB12" s="1"/>
      </tp>
      <tp t="s">
        <v>#N/A Requesting Data...3297343965</v>
        <stp/>
        <stp>BDP|8284829573094330622</stp>
        <tr r="C20" s="89"/>
      </tp>
      <tp t="s">
        <v>#N/A Requesting Data...4020729805</v>
        <stp/>
        <stp>BDP|1933423945534840047</stp>
        <tr r="AK9" s="338"/>
      </tp>
      <tp t="s">
        <v>#N/A Requesting Data...3293689757</v>
        <stp/>
        <stp>BDP|4087771710803757431</stp>
        <tr r="X54" s="338"/>
      </tp>
      <tp t="s">
        <v>#N/A Requesting Data...2477549804</v>
        <stp/>
        <stp>BDP|5606617135013296639</stp>
        <tr r="C234" s="89"/>
        <tr r="D11" s="2"/>
      </tp>
      <tp t="s">
        <v>#N/A Requesting Data...3142969982</v>
        <stp/>
        <stp>BDP|7419327903193598239</stp>
        <tr r="AJ15" s="338"/>
        <tr r="AJ39" s="338"/>
        <tr r="AK40" s="338"/>
      </tp>
      <tp t="s">
        <v>#N/A Requesting Data...2655341079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Data...3456372987</v>
        <stp/>
        <stp>BDP|1252039566197775513</stp>
        <tr r="AK54" s="338"/>
      </tp>
      <tp t="s">
        <v>#N/A Requesting Data...2300660341</v>
        <stp/>
        <stp>BDP|6695752411146080338</stp>
        <tr r="AG30" s="1"/>
      </tp>
      <tp t="s">
        <v>#N/A Requesting Data...3523465686</v>
        <stp/>
        <stp>BDP|9107847052373360258</stp>
        <tr r="C9" s="2"/>
      </tp>
      <tp t="s">
        <v>#N/A Requesting Data...3583445808</v>
        <stp/>
        <stp>BDP|1340430251865159018</stp>
        <tr r="C122" s="89"/>
      </tp>
      <tp t="s">
        <v>#N/A Requesting Data...3545694756</v>
        <stp/>
        <stp>BDP|5426154680509897088</stp>
        <tr r="E49" s="89"/>
        <tr r="E55" s="89"/>
      </tp>
      <tp t="e">
        <v>#N/A</v>
        <stp/>
        <stp>BDH|7189602101285438157</stp>
        <tr r="AM10" s="338"/>
        <tr r="AM33" s="338"/>
        <tr r="AM11" s="338"/>
      </tp>
      <tp t="s">
        <v>#N/A Requesting Data...2467581746</v>
        <stp/>
        <stp>BDP|5090807547899967589</stp>
        <tr r="V197" s="89"/>
      </tp>
      <tp t="s">
        <v>#N/A Requesting Data...3054899778</v>
        <stp/>
        <stp>BDP|3531766210442590208</stp>
        <tr r="AF40" s="1"/>
      </tp>
      <tp t="s">
        <v>#N/A Requesting Data...3867980408</v>
        <stp/>
        <stp>BDP|1828379862467297692</stp>
        <tr r="Q32" s="338"/>
      </tp>
      <tp t="s">
        <v>#N/A Requesting Data...3416428647</v>
        <stp/>
        <stp>BDP|3799144864516936797</stp>
        <tr r="C26" s="2"/>
      </tp>
      <tp t="s">
        <v>#N/A Requesting Data...4087061384</v>
        <stp/>
        <stp>BDP|8582895767476473581</stp>
        <tr r="O68" s="89"/>
      </tp>
      <tp t="s">
        <v>#N/A Requesting Data...2347038034</v>
        <stp/>
        <stp>BDP|6124212647123164610</stp>
        <tr r="Z109" s="89"/>
        <tr r="AA109" s="89"/>
      </tp>
      <tp t="s">
        <v>#N/A Requesting Data...3620330481</v>
        <stp/>
        <stp>BDP|2987580469143878743</stp>
        <tr r="Z115" s="89"/>
        <tr r="AA115" s="89"/>
      </tp>
      <tp t="s">
        <v>#N/A Requesting Data...2557023616</v>
        <stp/>
        <stp>BDP|1785534484179509007</stp>
        <tr r="U37" s="338"/>
      </tp>
      <tp t="s">
        <v>#N/A Requesting Data...3499440219</v>
        <stp/>
        <stp>BDP|1740177922186285155</stp>
        <tr r="Q37" s="338"/>
      </tp>
      <tp t="s">
        <v>#N/A Requesting Data...3365693383</v>
        <stp/>
        <stp>BDP|3067574631645536568</stp>
        <tr r="AD24" s="2"/>
      </tp>
      <tp t="s">
        <v>#N/A Real Time</v>
        <stp/>
        <stp>BDP|16483041364426568359|22</stp>
        <stp>NVDA US 10/03/25 P160 Equity</stp>
        <stp>ask</stp>
        <tr r="L250" s="89"/>
      </tp>
      <tp>
        <v>17.8</v>
        <stp/>
        <stp>BDP|16902259978573716312|22</stp>
        <stp>MSFT US 03/20/26 P465 Equity</stp>
        <stp>ask</stp>
        <tr r="Q20" s="2"/>
      </tp>
      <tp>
        <v>271.01</v>
        <stp/>
        <stp>BDP|4350104393385922955|22</stp>
        <stp>AAPL Equity</stp>
        <stp>LAST PRICE</stp>
        <tr r="I11" s="338"/>
      </tp>
      <tp>
        <v>11.05</v>
        <stp/>
        <stp>BDP|17829187074506046907|22</stp>
        <stp>AMZN US 03/20/26 C235 Equity</stp>
        <stp>ask</stp>
        <tr r="L196" s="89"/>
      </tp>
      <tp>
        <v>-0.1302044689655304</v>
        <stp/>
        <stp>BDP|4567417713158786157|22</stp>
        <stp>AVGO US 06/18/26 C410 Equity</stp>
        <stp>theta_mid_rt</stp>
        <tr r="AN4" s="2"/>
      </tp>
      <tp t="s">
        <v>#N/A Requesting Data...2418406404</v>
        <stp/>
        <stp>BDP|9823698439132005823</stp>
        <tr r="M12" s="252"/>
      </tp>
      <tp t="s">
        <v>#N/A Requesting Data...4147308130</v>
        <stp/>
        <stp>BDP|3841182258277076628</stp>
        <tr r="E27" s="2"/>
      </tp>
      <tp t="s">
        <v>#N/A Requesting Data...3692594906</v>
        <stp/>
        <stp>BDP|4517054330706260788</stp>
        <tr r="AD12" s="2"/>
      </tp>
      <tp t="s">
        <v>#N/A Requesting Data...3282236847</v>
        <stp/>
        <stp>BDP|3019690065241065465</stp>
        <tr r="AI48" s="338"/>
        <tr r="AI49" s="338"/>
      </tp>
      <tp t="s">
        <v>#N/A Requesting Data...3601283111</v>
        <stp/>
        <stp>BDP|7188757863485888551</stp>
        <tr r="G39" s="446"/>
      </tp>
      <tp t="s">
        <v>#N/A Requesting Data...2788265400</v>
        <stp/>
        <stp>BDP|6357706968437215632</stp>
        <tr r="S51" s="338"/>
      </tp>
      <tp t="e">
        <v>#N/A</v>
        <stp/>
        <stp>BDH|9403894576361657170</stp>
        <tr r="AR30" s="338"/>
      </tp>
      <tp t="e">
        <v>#N/A</v>
        <stp/>
        <stp>BDH|7166471559391395161</stp>
        <tr r="AN37" s="338"/>
      </tp>
    </main>
    <main first="bofaddin.rtdserver">
      <tp t="s">
        <v>#N/A Requesting Data...2702069517</v>
        <stp/>
        <stp>BDP|2912249135106636351</stp>
        <tr r="E171" s="89"/>
      </tp>
      <tp t="s">
        <v>#N/A Requesting Data...2514477229</v>
        <stp/>
        <stp>BDP|1443585917713323038</stp>
        <tr r="L30" s="338"/>
        <tr r="J30" s="338"/>
      </tp>
      <tp t="s">
        <v>#N/A Requesting Data...3081819693</v>
        <stp/>
        <stp>BDP|5313522867520570081</stp>
        <tr r="Q36" s="338"/>
      </tp>
      <tp t="s">
        <v>#N/A Requesting Data...2731969185</v>
        <stp/>
        <stp>BDP|8062180154563076977</stp>
        <tr r="E234" s="89"/>
      </tp>
      <tp t="s">
        <v>#N/A Requesting Data...3888235795</v>
        <stp/>
        <stp>BDP|4646626558147768607</stp>
        <tr r="T144" s="89"/>
      </tp>
    </main>
    <main first="bofaddin.rtdserver">
      <tp t="s">
        <v>#N/A Requesting Data...4024424922</v>
        <stp/>
        <stp>BDP|9958243614845156906</stp>
        <tr r="AK30" s="338"/>
        <tr r="AI30" s="338"/>
      </tp>
      <tp t="s">
        <v>#N/A Requesting Data...3902620972</v>
        <stp/>
        <stp>BDP|3175608666544602195</stp>
        <tr r="T171" s="89"/>
      </tp>
      <tp t="s">
        <v>#N/A Requesting Data...3376430009</v>
        <stp/>
        <stp>BDP|1754575979255457051</stp>
        <tr r="G14" s="446"/>
      </tp>
      <tp t="e">
        <v>#N/A</v>
        <stp/>
        <stp>BDH|3166945313988668586</stp>
        <tr r="AM12" s="338"/>
      </tp>
    </main>
    <main first="bofaddin.rtdserver">
      <tp t="s">
        <v>#N/A Requesting Data...4018873822</v>
        <stp/>
        <stp>BDP|7065204913884869622</stp>
        <tr r="O239" s="89"/>
      </tp>
      <tp t="s">
        <v>#N/A Requesting Data...3381970686</v>
        <stp/>
        <stp>BDP|2515728139790025072</stp>
        <tr r="Q29" s="338"/>
      </tp>
      <tp t="s">
        <v>#N/A Requesting Data...3197541118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Data...2504591686</v>
        <stp/>
        <stp>BDP|6095484704072209604</stp>
        <tr r="AJ13" s="338"/>
        <tr r="AJ34" s="338"/>
      </tp>
      <tp t="s">
        <v>#N/A Requesting Data...2417865403</v>
        <stp/>
        <stp>BDP|6921540255739678909</stp>
        <tr r="AK32" s="338"/>
        <tr r="AK46" s="338"/>
        <tr r="AK50" s="338"/>
        <tr r="AK8" s="338"/>
      </tp>
      <tp t="s">
        <v>#N/A Requesting Data...3040323708</v>
        <stp/>
        <stp>BDP|5918554856170734333</stp>
        <tr r="E204" s="89"/>
      </tp>
      <tp t="s">
        <v>#N/A Requesting Data...2754335198</v>
        <stp/>
        <stp>BDP|5836174453674625345</stp>
        <tr r="V34" s="338"/>
      </tp>
      <tp t="e">
        <v>#N/A</v>
        <stp/>
        <stp>BDH|2990483259505046062</stp>
        <tr r="AR42" s="338"/>
      </tp>
    </main>
    <main first="bofaddin.rtdserver">
      <tp t="s">
        <v>#N/A Requesting Data...4026825084</v>
        <stp/>
        <stp>BDP|6914181187250139988</stp>
        <tr r="T223" s="89"/>
        <tr r="AA5" s="2"/>
      </tp>
      <tp t="s">
        <v>#N/A Requesting Data...2948179891</v>
        <stp/>
        <stp>BDP|4520496969556340698</stp>
        <tr r="E40" s="89"/>
      </tp>
      <tp t="s">
        <v>#N/A Requesting Data...2392008784</v>
        <stp/>
        <stp>BDP|2338594160066491111</stp>
        <tr r="AR27" s="2"/>
      </tp>
      <tp t="s">
        <v>#N/A N/A</v>
        <stp/>
        <stp>BDP|4812047156012255576</stp>
        <tr r="AB39" s="89"/>
        <tr r="AB40" s="89"/>
        <tr r="AB81" s="89"/>
      </tp>
    </main>
    <main first="bofaddin.rtdserver">
      <tp t="s">
        <v>#N/A Requesting Data...3077070939</v>
        <stp/>
        <stp>BDP|3930578222146831483</stp>
        <tr r="G43" s="446"/>
      </tp>
      <tp t="s">
        <v>#N/A Requesting Data...3198098596</v>
        <stp/>
        <stp>BDP|9880395878588381367</stp>
        <tr r="AA188" s="89"/>
        <tr r="Z188" s="89"/>
      </tp>
    </main>
    <main first="bofaddin.rtdserver">
      <tp t="s">
        <v>#N/A Requesting Data...3203985581</v>
        <stp/>
        <stp>BDP|3166087990788095446</stp>
        <tr r="G21" s="446"/>
      </tp>
      <tp t="s">
        <v>#N/A Requesting Data...2826900981</v>
        <stp/>
        <stp>BDP|4996607430791175657</stp>
        <tr r="T122" s="89"/>
      </tp>
      <tp t="s">
        <v>#N/A Requesting Data...3311763588</v>
        <stp/>
        <stp>BDP|3807948298497989200</stp>
        <tr r="P45" s="338"/>
      </tp>
      <tp t="s">
        <v>#N/A Requesting Data...3949692968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Data...2725261385</v>
        <stp/>
        <stp>BDP|3531676896459233342</stp>
        <tr r="G35" s="446"/>
      </tp>
      <tp t="s">
        <v>#N/A Requesting Data...3536833284</v>
        <stp/>
        <stp>BDP|9850960325197941300</stp>
        <tr r="AF16" s="338"/>
        <tr r="AF38" s="338"/>
        <tr r="AF40" s="338"/>
      </tp>
      <tp t="s">
        <v>#N/A Requesting Data...3398912877</v>
        <stp/>
        <stp>BDP|1831578601782415092</stp>
        <tr r="V18" s="338"/>
      </tp>
      <tp t="e">
        <v>#N/A</v>
        <stp/>
        <stp>BDH|1430733976633376410</stp>
        <tr r="AM29" s="338"/>
        <tr r="AM30" s="338"/>
      </tp>
      <tp t="s">
        <v>#N/A Requesting Data...3070954685</v>
        <stp/>
        <stp>BDP|6200337636076782602</stp>
        <tr r="D17" s="2"/>
      </tp>
      <tp t="s">
        <v>#N/A Requesting Data...4000221701</v>
        <stp/>
        <stp>BDP|5836444470257405798</stp>
        <tr r="E197" s="89"/>
      </tp>
      <tp t="s">
        <v>#N/A Requesting Data...3537392772</v>
        <stp/>
        <stp>BDP|9650470625011320866</stp>
        <tr r="AA225" s="89"/>
        <tr r="Z225" s="89"/>
      </tp>
      <tp t="s">
        <v>#N/A Requesting Data...3100048204</v>
        <stp/>
        <stp>BDP|9271742846914689876</stp>
        <tr r="S15" s="338"/>
        <tr r="S39" s="338"/>
      </tp>
      <tp t="s">
        <v>#N/A Requesting Data...4094055120</v>
        <stp/>
        <stp>BDP|3284254053177089528</stp>
        <tr r="AF39" s="1"/>
      </tp>
      <tp t="s">
        <v>#N/A Requesting Data...3189328156</v>
        <stp/>
        <stp>BDP|3672362430114067167</stp>
        <tr r="T14" s="338"/>
      </tp>
      <tp t="s">
        <v>#N/A Requesting Data...2368585872</v>
        <stp/>
        <stp>BDP|2714917007269668409</stp>
        <tr r="M8" s="252"/>
      </tp>
      <tp t="s">
        <v>#N/A Requesting Data...3377317959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Data...2486701308</v>
        <stp/>
        <stp>BDP|5567953545949726766</stp>
        <tr r="T68" s="89"/>
      </tp>
      <tp t="s">
        <v>#N/A Requesting Data...2730416421</v>
        <stp/>
        <stp>BDP|8885961869603230210</stp>
        <tr r="AK32" s="338"/>
        <tr r="AK46" s="338"/>
        <tr r="AK50" s="338"/>
        <tr r="AK8" s="338"/>
      </tp>
      <tp t="s">
        <v>#N/A Requesting Data...4293167461</v>
        <stp/>
        <stp>BDP|5769981822101030995</stp>
        <tr r="T96" s="89"/>
      </tp>
      <tp t="s">
        <v>#N/A Requesting Data...3660242021</v>
        <stp/>
        <stp>BDP|8318036623599634512</stp>
        <tr r="D225" s="89"/>
      </tp>
      <tp t="e">
        <v>#N/A</v>
        <stp/>
        <stp>BDH|1686658876022552443</stp>
        <tr r="AP36" s="338"/>
      </tp>
      <tp t="s">
        <v>#N/A Requesting Data...2864144671</v>
        <stp/>
        <stp>BDP|5653947895504032727</stp>
        <tr r="D197" s="89"/>
      </tp>
      <tp t="s">
        <v>#N/A Requesting Data...3348023530</v>
        <stp/>
        <stp>BDP|6578532290218141424</stp>
        <tr r="T33" s="89"/>
      </tp>
      <tp t="s">
        <v>#N/A Requesting Data...2489458196</v>
        <stp/>
        <stp>BDP|7214956164048318650</stp>
        <tr r="U34" s="338"/>
      </tp>
      <tp t="e">
        <v>#N/A</v>
        <stp/>
        <stp>BDH|1173638945337579273</stp>
        <tr r="AN10" s="338"/>
        <tr r="AN33" s="338"/>
        <tr r="AN11" s="338"/>
      </tp>
      <tp>
        <v>4.75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>
        <v>650.41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-0.13572691380977631</v>
        <stp/>
        <stp>BDP|8795046347241444117|22</stp>
        <stp>AVGO US 06/18/26 C350 Equity</stp>
        <stp>theta_mid_rt</stp>
        <tr r="AN5" s="2"/>
      </tp>
      <tp t="s">
        <v>USD</v>
        <stp/>
        <stp>BDP|15745457023546852571|22</stp>
        <stp>NFLX US 03/20/26 P83 Equity</stp>
        <stp>QUOTED_CURRENCY_REALTIME</stp>
        <tr r="G23" s="2"/>
        <tr r="F205" s="89"/>
      </tp>
      <tp t="s">
        <v>#N/A Requesting Data...2474969145</v>
        <stp/>
        <stp>BDP|4283425441594897730</stp>
        <tr r="AA170" s="89"/>
        <tr r="AA179" s="89"/>
        <tr r="Z170" s="89"/>
        <tr r="Z179" s="89"/>
      </tp>
      <tp t="s">
        <v>#N/A Requesting Data...3951746566</v>
        <stp/>
        <stp>BDP|4245799967772009077</stp>
        <tr r="D37" s="446"/>
      </tp>
      <tp t="s">
        <v>#N/A Requesting Data...3380916008</v>
        <stp/>
        <stp>BDP|8970836561946482743</stp>
        <tr r="T249" s="89"/>
      </tp>
      <tp t="s">
        <v>#N/A Requesting Data...3824400403</v>
        <stp/>
        <stp>BDP|2863781781368349292</stp>
        <tr r="AJ16" s="338"/>
        <tr r="AJ38" s="338"/>
        <tr r="AJ40" s="338"/>
      </tp>
      <tp t="s">
        <v>#N/A Requesting Data...3845993912</v>
        <stp/>
        <stp>BDP|8120208431448184693</stp>
        <tr r="S46" s="338"/>
      </tp>
      <tp t="s">
        <v>#N/A N/A</v>
        <stp/>
        <stp>BDP|7156185906827354649</stp>
        <tr r="AI37" s="1"/>
      </tp>
      <tp t="s">
        <v>#N/A Requesting Data...3542764482</v>
        <stp/>
        <stp>BDP|4897361001360642018</stp>
        <tr r="T48" s="338"/>
      </tp>
      <tp t="s">
        <v>#N/A Requesting Data...3480659818</v>
        <stp/>
        <stp>BDP|6577894425722203925</stp>
        <tr r="AI27" s="1"/>
      </tp>
      <tp t="s">
        <v>#N/A Requesting Data...3868349846</v>
        <stp/>
        <stp>BDP|5289094940154690244</stp>
        <tr r="S14" s="338"/>
      </tp>
      <tp t="s">
        <v>#N/A Requesting Data...4120551188</v>
        <stp/>
        <stp>BDP|1707015801081904771</stp>
        <tr r="S11" s="338"/>
      </tp>
      <tp t="s">
        <v>#N/A Requesting Data...3929462161</v>
        <stp/>
        <stp>BDP|5947737455944304421</stp>
        <tr r="AB27" s="1"/>
      </tp>
      <tp t="s">
        <v>#N/A Requesting Data...3197927233</v>
        <stp/>
        <stp>BDP|4804201201193410233</stp>
        <tr r="T212" s="89"/>
      </tp>
      <tp t="e">
        <v>#N/A</v>
        <stp/>
        <stp>BDH|2490657321894677583</stp>
        <tr r="AS30" s="338"/>
      </tp>
      <tp t="s">
        <v>#N/A Requesting Data...3814382551</v>
        <stp/>
        <stp>BDP|1510584037002581204</stp>
        <tr r="T115" s="89"/>
      </tp>
      <tp t="s">
        <v>#N/A Requesting Data...2878865907</v>
        <stp/>
        <stp>BDP|2412545287880145891</stp>
        <tr r="Z246" s="89"/>
        <tr r="AA246" s="89"/>
      </tp>
      <tp t="s">
        <v>#N/A Requesting Data...3178885490</v>
        <stp/>
        <stp>BDP|6917157052941035414</stp>
        <tr r="AK54" s="338"/>
      </tp>
      <tp t="s">
        <v>#N/A Requesting Data...2423768331</v>
        <stp/>
        <stp>BDP|1092378379464484650</stp>
        <tr r="G9" s="446"/>
      </tp>
      <tp t="s">
        <v>#N/A Requesting Data...3014386929</v>
        <stp/>
        <stp>BDP|5346594685016575959</stp>
        <tr r="AI18" s="338"/>
        <tr r="AK18" s="338"/>
      </tp>
      <tp t="s">
        <v>#N/A Requesting Data...2819774891</v>
        <stp/>
        <stp>BDP|5675170649634239369</stp>
        <tr r="E109" s="89"/>
      </tp>
      <tp t="e">
        <v>#N/A</v>
        <stp/>
        <stp>BDH|3098571189290286908</stp>
        <tr r="AN18" s="338"/>
        <tr r="AN17" s="338"/>
      </tp>
      <tp t="s">
        <v>#N/A Requesting Data...3622226928</v>
        <stp/>
        <stp>BDP|3706549500372914371</stp>
        <tr r="E136" s="89"/>
      </tp>
      <tp t="s">
        <v>#N/A Requesting Data...2929037023</v>
        <stp/>
        <stp>BDP|7107626834487292286</stp>
        <tr r="L11" s="252"/>
        <tr r="L11" s="252"/>
      </tp>
      <tp t="s">
        <v>#N/A Requesting Data...3157831957</v>
        <stp/>
        <stp>BDP|8336092558638833275</stp>
        <tr r="M18" s="252"/>
      </tp>
      <tp t="s">
        <v>#N/A Requesting Data...4219302198</v>
        <stp/>
        <stp>BDP|2787535871500884705</stp>
        <tr r="S35" s="338"/>
      </tp>
      <tp t="s">
        <v>#N/A Requesting Data...2704741536</v>
        <stp/>
        <stp>BDP|3340874033607802822</stp>
        <tr r="AB32" s="1"/>
        <tr r="AB33" s="1"/>
        <tr r="AB34" s="1"/>
      </tp>
      <tp t="s">
        <v>#N/A N/A</v>
        <stp/>
        <stp>BDP|7341491708322758684</stp>
        <tr r="AB144" s="89"/>
        <tr r="AB145" s="89"/>
      </tp>
      <tp t="s">
        <v>#N/A Requesting Data...4240492755</v>
        <stp/>
        <stp>BDP|1288906989993060491</stp>
        <tr r="X49" s="338"/>
      </tp>
      <tp t="s">
        <v>#N/A Requesting Data...2725296850</v>
        <stp/>
        <stp>BDP|8185611637538225266</stp>
        <tr r="C11" s="2"/>
      </tp>
      <tp t="s">
        <v>#N/A Requesting Data...2892677137</v>
        <stp/>
        <stp>BDP|5938177747656903132</stp>
        <tr r="S55" s="338"/>
      </tp>
      <tp t="s">
        <v>#N/A Requesting Data...4135632333</v>
        <stp/>
        <stp>BDP|1855721819082945297</stp>
        <tr r="P52" s="338"/>
      </tp>
      <tp t="s">
        <v>#N/A Requesting Data...4186935493</v>
        <stp/>
        <stp>BDP|4389620896004359841</stp>
        <tr r="E24" s="2"/>
      </tp>
      <tp t="s">
        <v>#N/A Requesting Data...4101923779</v>
        <stp/>
        <stp>BDP|7226011316269547804</stp>
        <tr r="AA101" s="89"/>
        <tr r="Z101" s="89"/>
      </tp>
      <tp t="s">
        <v>#N/A Requesting Data...2810397088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Data...3814817242</v>
        <stp/>
        <stp>BDP|6362624963838148922</stp>
        <tr r="AF35" s="1"/>
        <tr r="AF36" s="1"/>
        <tr r="AF8" s="338"/>
        <tr r="AF9" s="338"/>
      </tp>
      <tp t="s">
        <v>#N/A Requesting Data...2831015316</v>
        <stp/>
        <stp>BDP|2907663611126652497</stp>
        <tr r="D136" s="89"/>
      </tp>
      <tp t="s">
        <v>#N/A Requesting Data...3895168512</v>
        <stp/>
        <stp>BDP|5447413907492272417</stp>
        <tr r="AG48" s="338"/>
        <tr r="AG49" s="338"/>
      </tp>
      <tp t="s">
        <v>#N/A Requesting Data...3913590135</v>
        <stp/>
        <stp>BDP|2614909402095251903</stp>
        <tr r="L12" s="252"/>
        <tr r="L12" s="252"/>
      </tp>
      <tp t="s">
        <v>#N/A Requesting Data...3290586761</v>
        <stp/>
        <stp>BDP|5476793879341768354</stp>
        <tr r="AK30" s="338"/>
      </tp>
      <tp t="s">
        <v>#N/A Requesting Data...3466958279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Data...3421577057</v>
        <stp/>
        <stp>BDP|9356568301399407276</stp>
        <tr r="L29" s="338"/>
        <tr r="J29" s="338"/>
      </tp>
      <tp t="s">
        <v>#N/A Requesting Data...3296860446</v>
        <stp/>
        <stp>BDP|7057279456164256342</stp>
        <tr r="S32" s="338"/>
      </tp>
      <tp t="s">
        <v>#N/A Requesting Data...2654358874</v>
        <stp/>
        <stp>BDP|6393802199118518884</stp>
        <tr r="AR12" s="2"/>
      </tp>
      <tp t="s">
        <v>#N/A Requesting Data...3860285245</v>
        <stp/>
        <stp>BDP|7250845338122873916</stp>
        <tr r="C50" s="89"/>
        <tr r="D15" s="2"/>
      </tp>
      <tp t="s">
        <v>#N/A Requesting Data...3488274974</v>
        <stp/>
        <stp>BDP|5679496740627876502</stp>
        <tr r="N20" s="252"/>
        <tr r="N20" s="252"/>
      </tp>
      <tp t="s">
        <v>#N/A Requesting Data...3839363315</v>
        <stp/>
        <stp>BDP|7775425857631476016</stp>
        <tr r="X53" s="338"/>
      </tp>
      <tp t="s">
        <v>#N/A Requesting Data...2830880912</v>
        <stp/>
        <stp>BDP|6730519311327945299</stp>
        <tr r="AK11" s="338"/>
      </tp>
      <tp t="s">
        <v>#N/A Requesting Data...2668921754</v>
        <stp/>
        <stp>BDP|7034052966182144450</stp>
        <tr r="G7" s="446"/>
      </tp>
      <tp t="s">
        <v>#N/A Requesting Data...2560097196</v>
        <stp/>
        <stp>BDP|5264049846531072744</stp>
        <tr r="AA95" s="89"/>
        <tr r="Z95" s="89"/>
      </tp>
      <tp t="s">
        <v>#N/A Requesting Data...2860531701</v>
        <stp/>
        <stp>BDP|7817792651205133748</stp>
        <tr r="U30" s="338"/>
      </tp>
      <tp t="s">
        <v>#N/A Requesting Data...3568213400</v>
        <stp/>
        <stp>BDP|1636158366620394139</stp>
        <tr r="V160" s="89"/>
      </tp>
      <tp t="s">
        <v>#N/A Requesting Data...2488251528</v>
        <stp/>
        <stp>BDP|7130911573469165773</stp>
        <tr r="V223" s="89"/>
        <tr r="AD5" s="2"/>
      </tp>
      <tp t="e">
        <v>#N/A</v>
        <stp/>
        <stp>BDH|4060017640804378371</stp>
        <tr r="AP42" s="338"/>
        <tr r="AP41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226.5</v>
        <stp/>
        <stp>BDP|4344863504285541564|22</stp>
        <stp>AMZN Equity</stp>
        <stp>LAST_PRICE</stp>
        <tr r="I16" s="1"/>
      </tp>
      <tp t="s">
        <v>#N/A Requesting Data...3777218824</v>
        <stp/>
        <stp>BDP|3454753217493992655</stp>
        <tr r="AB21" s="1"/>
        <tr r="AB22" s="1"/>
        <tr r="F36" s="446"/>
      </tp>
      <tp t="s">
        <v>#N/A Requesting Data...3497978980</v>
        <stp/>
        <stp>BDP|8148908707662517398</stp>
        <tr r="AG17" s="1"/>
      </tp>
      <tp t="s">
        <v>#N/A Requesting Data...3791113345</v>
        <stp/>
        <stp>BDP|1189172247476298290</stp>
        <tr r="O7" s="252"/>
      </tp>
      <tp t="e">
        <v>#N/A</v>
        <stp/>
        <stp>BDH|6300508665442857747</stp>
        <tr r="J20" s="252"/>
      </tp>
      <tp t="s">
        <v>#N/A Requesting Data...3319128390</v>
        <stp/>
        <stp>BDP|7581312139944399354</stp>
        <tr r="V248" s="89"/>
      </tp>
      <tp t="s">
        <v>#N/A Requesting Data...2748452972</v>
        <stp/>
        <stp>BDP|7979979998415857266</stp>
        <tr r="D63" s="89"/>
      </tp>
      <tp t="s">
        <v>#N/A Requesting Data...3747141502</v>
        <stp/>
        <stp>BDP|5633736189908449205</stp>
        <tr r="D195" s="89"/>
      </tp>
      <tp t="s">
        <v>#N/A Requesting Data...4017935379</v>
        <stp/>
        <stp>BDP|2073373381748750195</stp>
        <tr r="F25" s="446"/>
      </tp>
      <tp t="s">
        <v>#N/A Requesting Data...4063804242</v>
        <stp/>
        <stp>BDP|1626262929107928698</stp>
        <tr r="O224" s="89"/>
      </tp>
      <tp t="s">
        <v>#N/A Requesting Data...2899746501</v>
        <stp/>
        <stp>BDP|9527072389466751754</stp>
        <tr r="Q48" s="338"/>
      </tp>
      <tp t="s">
        <v>#N/A Requesting Data...3190333225</v>
        <stp/>
        <stp>BDP|5045073666933003089</stp>
        <tr r="V9" s="338"/>
      </tp>
      <tp t="s">
        <v>#N/A Requesting Data...3597307989</v>
        <stp/>
        <stp>BDP|4708682786482667866</stp>
        <tr r="O76" s="89"/>
        <tr r="T25" s="2"/>
      </tp>
      <tp t="s">
        <v>#N/A Requesting Data...3490395258</v>
        <stp/>
        <stp>BDP|6896400074314430162</stp>
        <tr r="AR8" s="2"/>
      </tp>
      <tp t="s">
        <v>#N/A Requesting Data...2764896248</v>
        <stp/>
        <stp>BDP|4532092450399684847</stp>
        <tr r="D69" s="89"/>
      </tp>
      <tp t="s">
        <v>#N/A Requesting Data...2917702095</v>
        <stp/>
        <stp>BDP|7131418634293998332</stp>
        <tr r="O50" s="89"/>
        <tr r="T15" s="2"/>
      </tp>
      <tp t="s">
        <v>#N/A Requesting Data...3768265995</v>
        <stp/>
        <stp>BDP|4874875695403262667</stp>
        <tr r="O169" s="89"/>
        <tr r="O178" s="89"/>
        <tr r="O233" s="89"/>
        <tr r="T8" s="2"/>
      </tp>
      <tp t="s">
        <v>#N/A N/A</v>
        <stp/>
        <stp>BDP|3833608477975887782</stp>
        <tr r="AC6" s="2"/>
        <tr r="AC7" s="2"/>
      </tp>
      <tp t="s">
        <v>#N/A Requesting Data...2794061947</v>
        <stp/>
        <stp>BDP|3872713712930116557</stp>
        <tr r="V186" s="89"/>
      </tp>
      <tp t="s">
        <v>#N/A Requesting Data...4117050496</v>
        <stp/>
        <stp>BDP|5526635939431875188</stp>
        <tr r="AI29" s="338"/>
      </tp>
      <tp t="s">
        <v>#N/A Requesting Data...4165185285</v>
        <stp/>
        <stp>BDP|9883434167133388809</stp>
        <tr r="D7" s="89"/>
      </tp>
      <tp t="s">
        <v>#N/A Requesting Data...3262806688</v>
        <stp/>
        <stp>BDP|5959149956824211564</stp>
        <tr r="G38" s="446"/>
      </tp>
      <tp t="s">
        <v>#N/A Requesting Data...2803623686</v>
        <stp/>
        <stp>BDP|7602661925716306591</stp>
        <tr r="V69" s="89"/>
      </tp>
      <tp t="s">
        <v>#N/A Requesting Data...2755981167</v>
        <stp/>
        <stp>BDP|8609914140652937722</stp>
        <tr r="T7" s="89"/>
        <tr r="AA26" s="2"/>
      </tp>
      <tp t="s">
        <v>#N/A Requesting Data...2980313251</v>
        <stp/>
        <stp>BDP|2398050075806951371</stp>
        <tr r="E13" s="89"/>
      </tp>
      <tp t="e">
        <v>#N/A</v>
        <stp/>
        <stp>BDH|9065042297303936375</stp>
        <tr r="AM38" s="338"/>
        <tr r="AM16" s="338"/>
        <tr r="AM40" s="338"/>
      </tp>
      <tp t="s">
        <v>#N/A Requesting Data...2616062999</v>
        <stp/>
        <stp>BDP|3572723856414756549</stp>
        <tr r="C222" s="89"/>
        <tr r="D4" s="2"/>
      </tp>
      <tp t="s">
        <v>#N/A Requesting Data...4213126857</v>
        <stp/>
        <stp>BDP|1905590006853613726</stp>
        <tr r="E169" s="89"/>
        <tr r="E178" s="89"/>
        <tr r="E233" s="89"/>
      </tp>
      <tp t="s">
        <v>#N/A Requesting Data...4231866011</v>
        <stp/>
        <stp>BDP|2433822951857147842</stp>
        <tr r="T34" s="89"/>
      </tp>
      <tp t="s">
        <v>#N/A Requesting Data...3815147795</v>
        <stp/>
        <stp>BDP|8781859390611325836</stp>
        <tr r="X12" s="338"/>
      </tp>
      <tp t="s">
        <v>#N/A Requesting Data...3675200804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51" s="89"/>
        <tr r="AB224" s="89"/>
        <tr r="AB222" s="89"/>
        <tr r="AB223" s="89"/>
        <tr r="AB225" s="89"/>
        <tr r="AQ4" s="2"/>
        <tr r="AQ5" s="2"/>
      </tp>
      <tp t="s">
        <v>#N/A Requesting Data...4018510494</v>
        <stp/>
        <stp>BDP|2925650370332906175</stp>
        <tr r="AI18" s="1"/>
        <tr r="AI19" s="1"/>
      </tp>
      <tp t="e">
        <v>#N/A</v>
        <stp/>
        <stp>BDH|1611037707800663167</stp>
        <tr r="AU54" s="338"/>
      </tp>
      <tp t="s">
        <v>#N/A Requesting Data...3328735307</v>
        <stp/>
        <stp>BDP|2133575701433292462</stp>
        <tr r="C21" s="2"/>
      </tp>
      <tp t="s">
        <v>#N/A Requesting Data...4070065359</v>
        <stp/>
        <stp>BDP|4248326180166334909</stp>
        <tr r="AA13" s="89"/>
        <tr r="Z13" s="89"/>
      </tp>
      <tp t="s">
        <v>#N/A Requesting Data...3383678800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Data...4066380044</v>
        <stp/>
        <stp>BDP|4552037620785435316</stp>
        <tr r="P33" s="338"/>
      </tp>
      <tp t="s">
        <v>#N/A Requesting Data...3972407323</v>
        <stp/>
        <stp>BDP|8177301223040694940</stp>
        <tr r="AB40" s="1"/>
      </tp>
      <tp t="s">
        <v>#N/A Requesting Data...3599256224</v>
        <stp/>
        <stp>BDP|1912350260220949454</stp>
        <tr r="AJ29" s="338"/>
        <tr r="AJ30" s="338"/>
      </tp>
      <tp t="s">
        <v>#N/A Requesting Data...3671592130</v>
        <stp/>
        <stp>BDP|5137251643354744701</stp>
        <tr r="L36" s="338"/>
        <tr r="H36" s="338"/>
      </tp>
      <tp t="s">
        <v>#N/A Requesting Data...4036698642</v>
        <stp/>
        <stp>BDP|6283111272633911397</stp>
        <tr r="AJ14" s="338"/>
        <tr r="AJ35" s="338"/>
      </tp>
      <tp t="s">
        <v>#N/A Requesting Data...4111884489</v>
        <stp/>
        <stp>BDP|6675309206537184204</stp>
        <tr r="O8" s="89"/>
      </tp>
      <tp t="s">
        <v>#N/A Requesting Data...3136284288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Data...3289620835</v>
        <stp/>
        <stp>BDP|5682063267492381124</stp>
        <tr r="S12" s="338"/>
      </tp>
      <tp t="s">
        <v>#N/A Requesting Data...3910403825</v>
        <stp/>
        <stp>BDP|1018734111515407205</stp>
        <tr r="F18" s="252"/>
      </tp>
      <tp t="s">
        <v>#N/A Requesting Data...3420997488</v>
        <stp/>
        <stp>BDP|3552873885842320134</stp>
        <tr r="Q31" s="338"/>
      </tp>
      <tp t="s">
        <v>#N/A Requesting Data...2508266881</v>
        <stp/>
        <stp>BDP|4028930726656593970</stp>
        <tr r="AJ16" s="338"/>
        <tr r="AJ38" s="338"/>
        <tr r="AJ40" s="338"/>
      </tp>
      <tp t="s">
        <v>#N/A Requesting Data...2838818744</v>
        <stp/>
        <stp>BDP|9163195119900175972</stp>
        <tr r="C188" s="89"/>
      </tp>
      <tp t="s">
        <v>#N/A Requesting Data...4240129744</v>
        <stp/>
        <stp>BDP|2540033372355370000</stp>
        <tr r="D153" s="89"/>
        <tr r="D154" s="89"/>
      </tp>
      <tp t="s">
        <v>#N/A Requesting Data...3637671193</v>
        <stp/>
        <stp>BDP|1494500509740882420</stp>
        <tr r="D96" s="89"/>
      </tp>
      <tp t="s">
        <v>#N/A Requesting Data...3636529142</v>
        <stp/>
        <stp>BDP|3485044105441809296</stp>
        <tr r="L12" s="338"/>
        <tr r="J12" s="338"/>
      </tp>
      <tp t="s">
        <v>#N/A Requesting Data...3273507182</v>
        <stp/>
        <stp>BDP|6637641837380428351</stp>
        <tr r="D89" s="89"/>
      </tp>
      <tp t="s">
        <v>#N/A Requesting Data...3439065257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192.86</v>
        <stp/>
        <stp>BDP|17027429052585223577|22</stp>
        <stp>RSP EQUITY</stp>
        <stp>LAST_PRICE</stp>
        <tr r="I5" s="1"/>
      </tp>
      <tp>
        <v>315.28500000000003</v>
        <stp/>
        <stp>BDP|11598227388227238953|22</stp>
        <stp>MU US Equity</stp>
        <stp>LAST_PRICE</stp>
        <tr r="S40" s="89"/>
        <tr r="S39" s="89"/>
        <tr r="S81" s="89"/>
      </tp>
      <tp>
        <v>54.97</v>
        <stp/>
        <stp>BDP|18172808545737565366|22</stp>
        <stp>MP US Equity</stp>
        <stp>LAST_PRICE</stp>
        <tr r="S239" s="89"/>
        <tr r="S240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Data...3932860537</v>
        <stp/>
        <stp>BDP|9913239814302158954</stp>
        <tr r="V7" s="89"/>
        <tr r="AD26" s="2"/>
      </tp>
      <tp t="s">
        <v>#N/A Requesting Data...4091749808</v>
        <stp/>
        <stp>BDP|5033376349836196559</stp>
        <tr r="X29" s="338"/>
      </tp>
      <tp t="s">
        <v>#N/A Requesting Data...3188846258</v>
        <stp/>
        <stp>BDP|3672774059107516773</stp>
        <tr r="AR22" s="2"/>
      </tp>
      <tp t="s">
        <v>#N/A Requesting Data...2774736736</v>
        <stp/>
        <stp>BDP|5906347697766862884</stp>
        <tr r="C20" s="2"/>
      </tp>
      <tp t="s">
        <v>#N/A Requesting Data...4247446423</v>
        <stp/>
        <stp>BDP|3552512649496298558</stp>
        <tr r="M14" s="252"/>
      </tp>
      <tp t="s">
        <v>#N/A Requesting Data...2687681971</v>
        <stp/>
        <stp>BDP|6512582705651116331</stp>
        <tr r="C56" s="89"/>
        <tr r="D14" s="2"/>
      </tp>
      <tp t="s">
        <v>#N/A Requesting Data...3118821110</v>
        <stp/>
        <stp>BDP|3758548566115413498</stp>
        <tr r="F10" s="2"/>
      </tp>
      <tp t="s">
        <v>#N/A Requesting Data...3129883919</v>
        <stp/>
        <stp>BDP|8533714604917039989</stp>
        <tr r="F21" s="2"/>
      </tp>
      <tp t="s">
        <v>#N/A Requesting Data...3274169702</v>
        <stp/>
        <stp>BDP|5889104764011396273</stp>
        <tr r="AI25" s="1"/>
        <tr r="AI26" s="1"/>
      </tp>
      <tp t="e">
        <v>#N/A</v>
        <stp/>
        <stp>BDH|8569246238228916085</stp>
        <tr r="AS29" s="338"/>
      </tp>
      <tp t="s">
        <v>#N/A Requesting Data...2950404506</v>
        <stp/>
        <stp>BDP|5256432133392845134</stp>
        <tr r="C101" s="89"/>
      </tp>
      <tp t="s">
        <v>#N/A Requesting Data...3004258577</v>
        <stp/>
        <stp>BDP|7551465529835272566</stp>
        <tr r="N9" s="252"/>
        <tr r="N9" s="252"/>
      </tp>
      <tp t="s">
        <v>#N/A Requesting Data...3263782391</v>
        <stp/>
        <stp>BDP|2562198847723491518</stp>
        <tr r="Z62" s="89"/>
        <tr r="AA62" s="89"/>
      </tp>
      <tp t="s">
        <v>#N/A Requesting Data...4014203584</v>
        <stp/>
        <stp>BDP|1897815793981176051</stp>
        <tr r="AR15" s="2"/>
      </tp>
      <tp t="e">
        <v>#N/A</v>
        <stp/>
        <stp>BDH|8594836933710961229</stp>
        <tr r="AU45" s="338"/>
      </tp>
      <tp t="s">
        <v>#N/A Requesting Data...2807340288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Data...2765080107</v>
        <stp/>
        <stp>BDP|7601159166158268985</stp>
        <tr r="S16" s="252"/>
      </tp>
      <tp t="s">
        <v>#N/A Requesting Data...2618641488</v>
        <stp/>
        <stp>BDP|3235511292777879969</stp>
        <tr r="X11" s="338"/>
      </tp>
      <tp t="s">
        <v>#N/A Requesting Data...2803949874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Data...3205099783</v>
        <stp/>
        <stp>BDP|1748256233439783899</stp>
        <tr r="T15" s="338"/>
        <tr r="T39" s="338"/>
      </tp>
      <tp t="s">
        <v>#N/A Requesting Data...2957288890</v>
        <stp/>
        <stp>BDP|7660636101386198693</stp>
        <tr r="P15" s="338"/>
        <tr r="P39" s="338"/>
      </tp>
      <tp t="s">
        <v>#N/A Requesting Data...3476576161</v>
        <stp/>
        <stp>BDP|2272232279947205164</stp>
        <tr r="C251" s="89"/>
      </tp>
      <tp t="s">
        <v>#N/A Requesting Data...3132455783</v>
        <stp/>
        <stp>BDP|8463094131499939398</stp>
        <tr r="X18" s="338"/>
      </tp>
      <tp t="s">
        <v>#N/A Requesting Data...4219091372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Data...3093996762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Data...2799055697</v>
        <stp/>
        <stp>BDP|6241899226908646569</stp>
        <tr r="D42" s="446"/>
      </tp>
      <tp t="s">
        <v>#N/A Requesting Data...4125985679</v>
        <stp/>
        <stp>BDP|2974198673022627786</stp>
        <tr r="AK48" s="338"/>
        <tr r="AK49" s="338"/>
      </tp>
      <tp t="s">
        <v>#N/A Requesting Data...3432471959</v>
        <stp/>
        <stp>BDP|5183368778820171035</stp>
        <tr r="F45" s="446"/>
      </tp>
      <tp t="s">
        <v>#N/A Requesting Data...2946195518</v>
        <stp/>
        <stp>BDP|9867815445690675470</stp>
        <tr r="E18" s="2"/>
      </tp>
      <tp t="s">
        <v>#N/A N/A</v>
        <stp/>
        <stp>BDP|5223714776062803600</stp>
        <tr r="AC37" s="1"/>
      </tp>
      <tp t="s">
        <v>#N/A Requesting Data...4092728420</v>
        <stp/>
        <stp>BDP|3451935198061445399</stp>
        <tr r="E20" s="2"/>
      </tp>
      <tp t="s">
        <v>#N/A Requesting Data...2971326990</v>
        <stp/>
        <stp>BDP|7603021556517835487</stp>
        <tr r="AH52" s="338"/>
        <tr r="AH53" s="338"/>
        <tr r="AH54" s="338"/>
      </tp>
      <tp t="s">
        <v>#N/A Requesting Data...2527246199</v>
        <stp/>
        <stp>BDP|4388333855843269056</stp>
        <tr r="P10" s="252"/>
      </tp>
      <tp t="s">
        <v>#N/A Requesting Data...2971734050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Data...4075249163</v>
        <stp/>
        <stp>BDP|2790133807587110508</stp>
        <tr r="O10" s="252"/>
      </tp>
      <tp t="s">
        <v>#N/A Requesting Data...3471499189</v>
        <stp/>
        <stp>BDP|7513670475916134150</stp>
        <tr r="AG18" s="338"/>
      </tp>
      <tp t="s">
        <v>#N/A Requesting Data...3746839191</v>
        <stp/>
        <stp>BDP|2141784958820043120</stp>
        <tr r="E17" s="2"/>
      </tp>
      <tp t="s">
        <v>#N/A Requesting Data...3101186145</v>
        <stp/>
        <stp>BDP|3348619047004459416</stp>
        <tr r="O20" s="89"/>
      </tp>
      <tp t="s">
        <v>#N/A Requesting Data...4217281948</v>
        <stp/>
        <stp>BDP|7521567605333773011</stp>
        <tr r="E69" s="89"/>
      </tp>
      <tp t="e">
        <v>#N/A</v>
        <stp/>
        <stp>BDH|2062254640615398060</stp>
        <tr r="AU9" s="338"/>
      </tp>
      <tp t="s">
        <v>#N/A N/A</v>
        <stp/>
        <stp>BDP|1821230040030393694</stp>
        <tr r="AB49" s="89"/>
        <tr r="AB50" s="89"/>
        <tr r="AB55" s="89"/>
        <tr r="AB56" s="89"/>
        <tr r="AQ12" s="2"/>
        <tr r="AQ13" s="2"/>
        <tr r="AQ14" s="2"/>
        <tr r="AQ15" s="2"/>
      </tp>
      <tp t="s">
        <v>#N/A Requesting Data...3439623002</v>
        <stp/>
        <stp>BDP|6324014549174281781</stp>
        <tr r="L32" s="338"/>
        <tr r="L31" s="338"/>
        <tr r="H31" s="338"/>
        <tr r="H32" s="338"/>
      </tp>
      <tp t="s">
        <v>#N/A N/A</v>
        <stp/>
        <stp>BDP|8968284987484412739</stp>
        <tr r="AB13" s="89"/>
        <tr r="AB14" s="89"/>
        <tr r="AB7" s="89"/>
        <tr r="AQ26" s="2"/>
        <tr r="AQ27" s="2"/>
        <tr r="AQ28" s="2"/>
      </tp>
      <tp t="s">
        <v>#N/A Requesting Data...2774041408</v>
        <stp/>
        <stp>BDP|7369961025445727864</stp>
        <tr r="E195" s="89"/>
      </tp>
      <tp t="s">
        <v>#N/A Requesting Data...3505451189</v>
        <stp/>
        <stp>BDP|8707806237397902583</stp>
        <tr r="S11" s="252"/>
      </tp>
      <tp t="e">
        <v>#N/A</v>
        <stp/>
        <stp>BDH|8929588442209030126</stp>
        <tr r="AP10" s="338"/>
        <tr r="AP33" s="338"/>
        <tr r="AP11" s="338"/>
      </tp>
    </main>
    <main first="bofaddin.rtdserver">
      <tp t="s">
        <v>#N/A Requesting Data...3984245268</v>
        <stp/>
        <stp>BDP|9939228331380883944</stp>
        <tr r="G11" s="446"/>
      </tp>
      <tp t="s">
        <v>#N/A Requesting Data...2829912052</v>
        <stp/>
        <stp>BDP|2267087599569280367</stp>
        <tr r="P34" s="338"/>
      </tp>
      <tp t="s">
        <v>#N/A Requesting Data...2991909137</v>
        <stp/>
        <stp>BDP|2620429521461757456</stp>
        <tr r="AK42" s="338"/>
      </tp>
      <tp t="s">
        <v>#N/A Requesting Data...3952703758</v>
        <stp/>
        <stp>BDP|5223685639709765836</stp>
        <tr r="D16" s="2"/>
      </tp>
      <tp t="s">
        <v>#N/A Requesting Data...2853573580</v>
        <stp/>
        <stp>BDP|7066346967523510010</stp>
        <tr r="U9" s="338"/>
      </tp>
      <tp t="s">
        <v>#N/A N/A</v>
        <stp/>
        <stp>BDP|6497440232258298876</stp>
        <tr r="AF37" s="1"/>
      </tp>
      <tp t="s">
        <v>#N/A Requesting Data...4008948430</v>
        <stp/>
        <stp>BDP|4452676106120108316</stp>
        <tr r="Z251" s="89"/>
        <tr r="AA251" s="89"/>
      </tp>
      <tp>
        <v>0.72</v>
        <stp/>
        <stp>BDP|460267911489357602|22</stp>
        <stp>QQQ US 01/02/26 P614 Equity</stp>
        <stp>mid</stp>
        <tr r="L16" s="2"/>
      </tp>
      <tp>
        <v>31.95</v>
        <stp/>
        <stp>BDP|11372581848729563069|22</stp>
        <stp>META US 04/17/26 C690 Equity</stp>
        <stp>mid</stp>
        <tr r="L9" s="2"/>
      </tp>
      <tp>
        <v>2</v>
        <stp/>
        <stp>BDP|18227171608903191816|22</stp>
        <stp>NFLX US 03/20/26 C104 Equity</stp>
        <stp>bid</stp>
        <tr r="P21" s="2"/>
        <tr r="K203" s="89"/>
      </tp>
      <tp>
        <v>17.73</v>
        <stp/>
        <stp>BDP|16757164580454265033|22</stp>
        <stp>MSFT US 03/20/26 P465 Equity</stp>
        <stp>mid</stp>
        <tr r="L20" s="2"/>
      </tp>
      <tp t="s">
        <v>#N/A Requesting Data...4030784579</v>
        <stp/>
        <stp>BDP|5252092169507826608</stp>
        <tr r="O205" s="89"/>
        <tr r="T23" s="2"/>
      </tp>
      <tp t="e">
        <v>#N/A</v>
        <stp/>
        <stp>BDH|6738474066391527793</stp>
        <tr r="AP16" s="338"/>
        <tr r="AP38" s="338"/>
        <tr r="AP40" s="338"/>
      </tp>
      <tp t="s">
        <v>#N/A Requesting Data...2931257216</v>
        <stp/>
        <stp>BDP|7095772926996984633</stp>
        <tr r="T153" s="89"/>
        <tr r="T154" s="89"/>
      </tp>
      <tp t="s">
        <v>#N/A Requesting Data...2697496603</v>
        <stp/>
        <stp>BDP|7964758820092579227</stp>
        <tr r="AJ52" s="338"/>
        <tr r="AJ53" s="338"/>
        <tr r="AJ54" s="338"/>
      </tp>
      <tp t="s">
        <v>#N/A Requesting Data...3639233643</v>
        <stp/>
        <stp>BDP|9060205111721083990</stp>
        <tr r="AI48" s="338"/>
        <tr r="AI49" s="338"/>
        <tr r="AK48" s="338"/>
        <tr r="AK49" s="338"/>
      </tp>
      <tp t="s">
        <v>#N/A Requesting Data...2932931071</v>
        <stp/>
        <stp>BDP|8644058243408809607</stp>
        <tr r="V49" s="338"/>
      </tp>
      <tp t="s">
        <v>#N/A Requesting Data...4032196503</v>
        <stp/>
        <stp>BDP|2721287269476965276</stp>
        <tr r="V35" s="338"/>
      </tp>
      <tp t="s">
        <v>#N/A Requesting Data...3957665901</v>
        <stp/>
        <stp>BDP|1927755561564288678</stp>
        <tr r="G45" s="446"/>
      </tp>
      <tp t="s">
        <v>#N/A Requesting Data...2796069317</v>
        <stp/>
        <stp>BDP|7934725441220366616</stp>
        <tr r="D14" s="89"/>
      </tp>
      <tp t="s">
        <v>#N/A Requesting Data...3711088727</v>
        <stp/>
        <stp>BDP|3284843281913962260</stp>
        <tr r="C5" s="2"/>
      </tp>
      <tp t="s">
        <v>#N/A Requesting Data...2797794424</v>
        <stp/>
        <stp>BDP|9877339664059041762</stp>
        <tr r="D39" s="89"/>
      </tp>
      <tp t="s">
        <v>#N/A Requesting Data...4108334984</v>
        <stp/>
        <stp>BDP|5871188314703840456</stp>
        <tr r="L11" s="338"/>
        <tr r="J11" s="338"/>
      </tp>
      <tp t="s">
        <v>#N/A Requesting Data...4143290377</v>
        <stp/>
        <stp>BDP|5728718823292467081</stp>
        <tr r="L15" s="1"/>
        <tr r="L12" s="1"/>
        <tr r="L13" s="1"/>
        <tr r="L14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2" s="1"/>
        <tr r="L33" s="1"/>
        <tr r="L34" s="1"/>
        <tr r="L35" s="1"/>
        <tr r="L36" s="1"/>
        <tr r="L37" s="1"/>
        <tr r="L38" s="1"/>
        <tr r="L39" s="1"/>
        <tr r="L40" s="1"/>
        <tr r="S19" s="2"/>
        <tr r="S7" s="2"/>
        <tr r="S8" s="2"/>
        <tr r="N27" s="89"/>
        <tr r="N169" s="89"/>
        <tr r="N178" s="89"/>
        <tr r="N224" s="89"/>
        <tr r="N233" s="89"/>
        <tr r="S21" s="2"/>
        <tr r="S22" s="2"/>
        <tr r="S23" s="2"/>
        <tr r="S12" s="2"/>
        <tr r="S13" s="2"/>
        <tr r="S14" s="2"/>
        <tr r="S15" s="2"/>
        <tr r="S18" s="2"/>
        <tr r="S6" s="2"/>
        <tr r="S9" s="2"/>
        <tr r="S26" s="2"/>
        <tr r="N7" s="89"/>
        <tr r="N8" s="89"/>
        <tr r="N13" s="89"/>
        <tr r="N14" s="89"/>
        <tr r="N19" s="89"/>
        <tr r="N20" s="89"/>
        <tr r="N26" s="89"/>
        <tr r="N33" s="89"/>
        <tr r="N34" s="89"/>
        <tr r="N39" s="89"/>
        <tr r="N40" s="89"/>
        <tr r="N49" s="89"/>
        <tr r="N50" s="89"/>
        <tr r="N55" s="89"/>
        <tr r="N56" s="89"/>
        <tr r="N68" s="89"/>
        <tr r="N69" s="89"/>
        <tr r="N75" s="89"/>
        <tr r="N81" s="89"/>
        <tr r="N153" s="89"/>
        <tr r="N154" s="89"/>
        <tr r="N170" s="89"/>
        <tr r="N171" s="89"/>
        <tr r="N179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34" s="89"/>
        <tr r="N225" s="89"/>
        <tr r="S5" s="2"/>
        <tr r="S4" s="2"/>
        <tr r="S10" s="2"/>
        <tr r="S27" s="2"/>
        <tr r="S28" s="2"/>
        <tr r="S11" s="2"/>
        <tr r="S25" s="2"/>
        <tr r="S20" s="2"/>
        <tr r="S24" s="2"/>
        <tr r="S16" s="2"/>
        <tr r="S17" s="2"/>
        <tr r="N101" s="89"/>
        <tr r="N102" s="89"/>
        <tr r="N160" s="89"/>
        <tr r="N76" s="89"/>
        <tr r="N82" s="89"/>
        <tr r="N95" s="89"/>
      </tp>
      <tp t="s">
        <v>#N/A Requesting Data...3234096081</v>
        <stp/>
        <stp>BDP|5145625159843494775</stp>
        <tr r="P10" s="338"/>
      </tp>
      <tp t="s">
        <v>#N/A Requesting Data...2810008544</v>
        <stp/>
        <stp>BDP|9919677548080032985</stp>
        <tr r="G44" s="446"/>
      </tp>
      <tp t="s">
        <v>#N/A Requesting Data...3103231306</v>
        <stp/>
        <stp>BDP|6059442769123214510</stp>
        <tr r="O246" s="89"/>
      </tp>
      <tp t="s">
        <v>#N/A Requesting Data...4222409145</v>
        <stp/>
        <stp>BDP|3371693940045698635</stp>
        <tr r="V123" s="89"/>
      </tp>
      <tp t="s">
        <v>#N/A Requesting Data...3771656326</v>
        <stp/>
        <stp>BDP|8428913731466273690</stp>
        <tr r="L8" s="252"/>
        <tr r="L8" s="252"/>
      </tp>
      <tp t="s">
        <v>#N/A Requesting Data...3550988542</v>
        <stp/>
        <stp>BDP|5733506010745883630</stp>
        <tr r="F10" s="1"/>
      </tp>
      <tp t="s">
        <v>#N/A Requesting Data...4236379572</v>
        <stp/>
        <stp>BDP|6223131064210098392</stp>
        <tr r="V14" s="338"/>
      </tp>
      <tp t="s">
        <v>#N/A Requesting Data...3146558910</v>
        <stp/>
        <stp>BDP|1858131163537242367</stp>
        <tr r="E26" s="89"/>
      </tp>
      <tp t="s">
        <v>#N/A Requesting Data...2600319611</v>
        <stp/>
        <stp>BDP|3910223521378009966</stp>
        <tr r="N11" s="252"/>
        <tr r="N11" s="252"/>
      </tp>
      <tp t="s">
        <v>#N/A Requesting Data...2721504399</v>
        <stp/>
        <stp>BDP|5903385788755501919</stp>
        <tr r="C195" s="89"/>
      </tp>
      <tp t="s">
        <v>#N/A Requesting Data...2739742037</v>
        <stp/>
        <stp>BDP|5024341343609931931</stp>
        <tr r="AJ41" s="338"/>
        <tr r="AJ42" s="338"/>
      </tp>
      <tp t="s">
        <v>#N/A Requesting Data...2805349342</v>
        <stp/>
        <stp>BDP|2109542547769740886</stp>
        <tr r="AI29" s="338"/>
        <tr r="AK29" s="338"/>
      </tp>
      <tp t="s">
        <v>#N/A Requesting Data...3954667133</v>
        <stp/>
        <stp>BDP|5481282727275925203</stp>
        <tr r="V8" s="89"/>
      </tp>
      <tp t="s">
        <v>#N/A N/A</v>
        <stp/>
        <stp>BDP|6172070853435387447</stp>
        <tr r="AB23" s="1"/>
        <tr r="AB24" s="1"/>
      </tp>
      <tp t="s">
        <v>#N/A Requesting Data...2755260657</v>
        <stp/>
        <stp>BDP|4636653477250550732</stp>
        <tr r="G31" s="446"/>
      </tp>
      <tp t="s">
        <v>#N/A Requesting Data...3176422269</v>
        <stp/>
        <stp>BDP|5714451203842663158</stp>
        <tr r="K8" s="1"/>
      </tp>
      <tp t="s">
        <v>#N/A Requesting Data...3088236198</v>
        <stp/>
        <stp>BDP|4880433377190901556</stp>
        <tr r="E115" s="89"/>
      </tp>
      <tp t="s">
        <v>#N/A Requesting Data...3725647725</v>
        <stp/>
        <stp>BDP|3519061147724655148</stp>
        <tr r="AJ31" s="338"/>
        <tr r="AJ32" s="338"/>
      </tp>
      <tp t="s">
        <v>#N/A Requesting Data...3515484264</v>
        <stp/>
        <stp>BDP|2744353735382856293</stp>
        <tr r="O69" s="89"/>
      </tp>
      <tp t="s">
        <v>#N/A Requesting Data...2929848268</v>
        <stp/>
        <stp>BDP|9125333988758543887</stp>
        <tr r="AJ17" s="338"/>
        <tr r="AJ18" s="338"/>
      </tp>
      <tp t="s">
        <v>#N/A Requesting Data...2807530549</v>
        <stp/>
        <stp>BDP|6725335069146326790</stp>
        <tr r="AR20" s="2"/>
      </tp>
      <tp t="s">
        <v>#N/A Requesting Data...3077356249</v>
        <stp/>
        <stp>BDP|7134890756011396990</stp>
        <tr r="L45" s="338"/>
        <tr r="J45" s="338"/>
      </tp>
      <tp t="s">
        <v>#N/A Requesting Data...2670494492</v>
        <stp/>
        <stp>BDP|2307633905712170406</stp>
        <tr r="P46" s="338"/>
      </tp>
      <tp t="s">
        <v>#N/A Requesting Data...3572547248</v>
        <stp/>
        <stp>BDP|5576577576222301722</stp>
        <tr r="Q16" s="338"/>
        <tr r="Q38" s="338"/>
      </tp>
      <tp t="e">
        <v>#N/A</v>
        <stp/>
        <stp>BDH|6895513104452078386</stp>
        <tr r="AU48" s="338"/>
        <tr r="AU49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33.85</v>
        <stp/>
        <stp>BDP|14184441232848248848|22</stp>
        <stp>TSM US 03/20/26 C300 Equity</stp>
        <stp>bid</stp>
        <tr r="K13" s="89"/>
        <tr r="P27" s="2"/>
      </tp>
      <tp t="s">
        <v>USD</v>
        <stp/>
        <stp>BDP|13391010946162052310|22</stp>
        <stp>META US 04/17/26 P600 Equity</stp>
        <stp>QUOTED_CURRENCY_REALTIME</stp>
        <tr r="F180" s="89"/>
        <tr r="G10" s="2"/>
      </tp>
      <tp t="s">
        <v>#N/A Requesting Data...2670205463</v>
        <stp/>
        <stp>BDP|3002329712405351793</stp>
        <tr r="E203" s="89"/>
      </tp>
      <tp t="s">
        <v>#N/A Requesting Data...3728757815</v>
        <stp/>
        <stp>BDP|2288489672854050620</stp>
        <tr r="E9" s="2"/>
      </tp>
      <tp t="s">
        <v>#N/A Requesting Data...3474706467</v>
        <stp/>
        <stp>BDP|4669365388388290407</stp>
        <tr r="K5" s="1"/>
      </tp>
      <tp t="s">
        <v>#N/A Requesting Data...3037887922</v>
        <stp/>
        <stp>BDP|1294995983457020437</stp>
        <tr r="E222" s="89"/>
      </tp>
      <tp t="s">
        <v>#N/A Requesting Data...3709503969</v>
        <stp/>
        <stp>BDP|2591422732557732191</stp>
        <tr r="L13" s="338"/>
        <tr r="H13" s="338"/>
        <tr r="L34" s="338"/>
        <tr r="H34" s="338"/>
      </tp>
      <tp t="s">
        <v>#N/A Requesting Data...3188561236</v>
        <stp/>
        <stp>BDP|2625307773140485594</stp>
        <tr r="O213" s="89"/>
      </tp>
      <tp t="s">
        <v>#N/A Requesting Data...3741312393</v>
        <stp/>
        <stp>BDP|8111730990087995223</stp>
        <tr r="Q55" s="338"/>
      </tp>
      <tp t="s">
        <v>#N/A Requesting Data...3247106916</v>
        <stp/>
        <stp>BDP|2736589262953108158</stp>
        <tr r="E82" s="89"/>
      </tp>
      <tp t="s">
        <v>#N/A Requesting Data...3933333380</v>
        <stp/>
        <stp>BDP|7919916036548158668</stp>
        <tr r="AI9" s="338"/>
        <tr r="AK9" s="338"/>
      </tp>
      <tp t="s">
        <v>#N/A Requesting Data...3783963725</v>
        <stp/>
        <stp>BDP|5970596063913968630</stp>
        <tr r="AG30" s="338"/>
      </tp>
      <tp t="s">
        <v>#N/A Requesting Data...4111926585</v>
        <stp/>
        <stp>BDP|7170630364126625297</stp>
        <tr r="S52" s="338"/>
      </tp>
      <tp t="s">
        <v>#N/A Requesting Data...3153536926</v>
        <stp/>
        <stp>BDP|7115677759757668004</stp>
        <tr r="AC27" s="1"/>
      </tp>
      <tp t="s">
        <v>#N/A Requesting Data...2836935719</v>
        <stp/>
        <stp>BDP|3754293213215371607</stp>
        <tr r="F5" s="446"/>
        <tr r="F6" s="446"/>
      </tp>
      <tp t="s">
        <v>#N/A Requesting Data...2617046802</v>
        <stp/>
        <stp>BDP|9189543898503512568</stp>
        <tr r="T16" s="2"/>
      </tp>
      <tp t="e">
        <v>#N/A</v>
        <stp/>
        <stp>BDH|6693412629884239724</stp>
        <tr r="AS42" s="338"/>
      </tp>
      <tp t="s">
        <v>#N/A Requesting Data...2842330484</v>
        <stp/>
        <stp>BDP|2213180314153111209</stp>
        <tr r="AF13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Data...4132036831</v>
        <stp/>
        <stp>BDP|9390709548618762108</stp>
        <tr r="N6" s="252"/>
        <tr r="N6" s="252"/>
      </tp>
      <tp t="s">
        <v>#N/A Requesting Data...3252559799</v>
        <stp/>
        <stp>BDP|7796453577674837314</stp>
        <tr r="U44" s="338"/>
      </tp>
      <tp t="s">
        <v>#N/A Requesting Data...2683498238</v>
        <stp/>
        <stp>BDP|7961266924697349349</stp>
        <tr r="X36" s="338"/>
      </tp>
      <tp t="s">
        <v>#N/A Requesting Data...3279579399</v>
        <stp/>
        <stp>BDP|7659781264157478228</stp>
        <tr r="D95" s="89"/>
      </tp>
      <tp t="s">
        <v>#N/A Requesting Data...3467090451</v>
        <stp/>
        <stp>BDP|7777047645317887721</stp>
        <tr r="V145" s="89"/>
      </tp>
      <tp t="s">
        <v>#N/A Requesting Data...2685382710</v>
        <stp/>
        <stp>BDP|2793585885519216544</stp>
        <tr r="L19" s="252"/>
        <tr r="L19" s="252"/>
      </tp>
      <tp t="s">
        <v>#N/A Requesting Data...3384254043</v>
        <stp/>
        <stp>BDP|8230930209200509213</stp>
        <tr r="X30" s="338"/>
      </tp>
      <tp t="s">
        <v>#N/A Requesting Data...3761168318</v>
        <stp/>
        <stp>BDP|1465483163793446398</stp>
        <tr r="AI32" s="1"/>
        <tr r="AI33" s="1"/>
        <tr r="AI34" s="1"/>
      </tp>
      <tp t="s">
        <v>#N/A Requesting Data...3137827922</v>
        <stp/>
        <stp>BDP|6169555274102368514</stp>
        <tr r="S10" s="338"/>
      </tp>
      <tp t="s">
        <v>#N/A Requesting Data...3428474702</v>
        <stp/>
        <stp>BDP|2465258476870377467</stp>
        <tr r="Z122" s="89"/>
        <tr r="AA122" s="89"/>
      </tp>
      <tp t="s">
        <v>#N/A Requesting Data...3342117845</v>
        <stp/>
        <stp>BDP|8020332285295353568</stp>
        <tr r="P32" s="338"/>
      </tp>
      <tp t="s">
        <v>#N/A Requesting Data...4061097709</v>
        <stp/>
        <stp>BDP|1102263639204652783</stp>
        <tr r="T205" s="89"/>
        <tr r="AA23" s="2"/>
      </tp>
      <tp t="s">
        <v>#N/A Requesting Data...3289192455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Data...4112397828</v>
        <stp/>
        <stp>BDP|8606813376675771170</stp>
        <tr r="E75" s="89"/>
      </tp>
      <tp t="s">
        <v>#N/A Requesting Data...3871799647</v>
        <stp/>
        <stp>BDP|2411087539537646522</stp>
        <tr r="V13" s="89"/>
        <tr r="AD27" s="2"/>
      </tp>
      <tp t="s">
        <v>#N/A Requesting Data...3822315966</v>
        <stp/>
        <stp>BDP|6109913190467097261</stp>
        <tr r="AG32" s="338"/>
        <tr r="AG46" s="338"/>
        <tr r="AG50" s="338"/>
        <tr r="AG8" s="338"/>
      </tp>
      <tp t="s">
        <v>#N/A Requesting Data...4285529503</v>
        <stp/>
        <stp>BDP|5764387578793708167</stp>
        <tr r="M20" s="252"/>
      </tp>
      <tp t="s">
        <v>#N/A Requesting Data...2770435974</v>
        <stp/>
        <stp>BDP|2834421045940985100</stp>
        <tr r="E186" s="89"/>
      </tp>
      <tp t="s">
        <v>#N/A Requesting Data...3459118581</v>
        <stp/>
        <stp>BDP|3469315206342563101</stp>
        <tr r="AA248" s="89"/>
        <tr r="Z248" s="89"/>
      </tp>
      <tp t="e">
        <v>#N/A</v>
        <stp/>
        <stp>BDH|3074329656142197437</stp>
        <tr r="AR15" s="338"/>
        <tr r="AR17" s="338"/>
        <tr r="AR52" s="338"/>
        <tr r="AR44" s="338"/>
        <tr r="AR39" s="338"/>
        <tr r="AR38" s="338"/>
        <tr r="AR16" s="338"/>
      </tp>
      <tp t="e">
        <v>#N/A</v>
        <stp/>
        <stp>BDH|7335509425832705170</stp>
        <tr r="AM53" s="338"/>
        <tr r="AM54" s="338"/>
        <tr r="AM52" s="338"/>
      </tp>
      <tp t="s">
        <v>#N/A Requesting Data...3420673425</v>
        <stp/>
        <stp>BDP|6555173421444373279</stp>
        <tr r="AI13" s="338"/>
      </tp>
      <tp t="s">
        <v>#N/A Requesting Data...3582519531</v>
        <stp/>
        <stp>BDP|9226344490726854691</stp>
        <tr r="E101" s="89"/>
      </tp>
      <tp t="s">
        <v>#N/A Requesting Data...3115774966</v>
        <stp/>
        <stp>BDP|6247087616267870331</stp>
        <tr r="AH29" s="338"/>
        <tr r="AH30" s="338"/>
      </tp>
      <tp t="s">
        <v>#N/A Requesting Data...3375059593</v>
        <stp/>
        <stp>BDP|4307029492407618910</stp>
        <tr r="AK45" s="338"/>
      </tp>
      <tp t="s">
        <v>#N/A Requesting Data...3124216099</v>
        <stp/>
        <stp>BDP|8245865345547421013</stp>
        <tr r="AC35" s="1"/>
        <tr r="AC36" s="1"/>
        <tr r="D30" s="446"/>
      </tp>
      <tp t="s">
        <v>#N/A Requesting Data...3136383698</v>
        <stp/>
        <stp>BDP|7283217290158408739</stp>
        <tr r="T246" s="89"/>
      </tp>
      <tp t="s">
        <v>#N/A N/A</v>
        <stp/>
        <stp>BDP|8680549524655746940</stp>
        <tr r="R247" s="89"/>
      </tp>
      <tp>
        <v>75.44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-0.12238631397485733</v>
        <stp/>
        <stp>BDP|6841380180102177424|22</stp>
        <stp>MSFT US 03/20/26 C515 Equity</stp>
        <stp>theta_mid_rt</stp>
        <tr r="AN18" s="2"/>
      </tp>
      <tp>
        <v>-0.11026245355606079</v>
        <stp/>
        <stp>BDP|4476352464442655757|22</stp>
        <stp>NVDA US 01/09/26 C200 Equity</stp>
        <stp>theta_mid_rt</stp>
        <tr r="AN24" s="2"/>
      </tp>
      <tp>
        <v>472.94</v>
        <stp/>
        <stp>BDP|9988051122657863096|22</stp>
        <stp>MSFT US Equity</stp>
        <stp>LAST_PRICE</stp>
        <tr r="Z18" s="2"/>
        <tr r="Z19" s="2"/>
        <tr r="S211" s="89"/>
        <tr r="S212" s="89"/>
        <tr r="S213" s="89"/>
        <tr r="S246" s="89"/>
        <tr r="Z20" s="2"/>
      </tp>
      <tp>
        <v>35.1</v>
        <stp/>
        <stp>BDP|680728060256356434|22</stp>
        <stp>TSM US 03/20/26 C300 Equity</stp>
        <stp>ask</stp>
        <tr r="L13" s="89"/>
        <tr r="Q27" s="2"/>
      </tp>
      <tp>
        <v>36.049999999999997</v>
        <stp/>
        <stp>BDP|5669808659811807514|22</stp>
        <stp>MU US 03/20/26 C320 Equity</stp>
        <stp>bid</stp>
        <tr r="K40" s="89"/>
      </tp>
      <tp>
        <v>20.3</v>
        <stp/>
        <stp>BDP|18233456704135986193|22</stp>
        <stp>FSLR US 03/20/26 C290 Equity</stp>
        <stp>ask</stp>
        <tr r="L33" s="89"/>
      </tp>
      <tp>
        <v>472.94</v>
        <stp/>
        <stp>BDP|1720488993946020104|22</stp>
        <stp>MSFT Equity</stp>
        <stp>LAST PRICE</stp>
        <tr r="G8" s="338"/>
        <tr r="G9" s="338"/>
      </tp>
      <tp>
        <v>-0.47960522770881653</v>
        <stp/>
        <stp>BDP|2595831184962588402|22</stp>
        <stp>NFLX US 03/20/26 P92 Equity</stp>
        <stp>DELTA_MID_RT</stp>
        <tr r="AF22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N/A</v>
        <stp/>
        <stp>BDP|12922104030965746247|22</stp>
        <stp>QQQ US 12/26/25 P600 Equity</stp>
        <stp>bid</stp>
        <tr r="K69" s="89"/>
      </tp>
      <tp t="s">
        <v>USD</v>
        <stp/>
        <stp>BDP|15807974610555755775|22</stp>
        <stp>MRVL US 03/20/26 P85 Equity</stp>
        <stp>QUOTED_CURRENCY_REALTIME</stp>
        <tr r="G13" s="2"/>
        <tr r="F49" s="89"/>
        <tr r="F55" s="89"/>
      </tp>
      <tp>
        <v>58</v>
        <stp/>
        <stp>BDP|9548968054901803925|22</stp>
        <stp>MU US 03/20/26 C280 Equity</stp>
        <stp>ask</stp>
        <tr r="L39" s="89"/>
      </tp>
      <tp>
        <v>22.13</v>
        <stp/>
        <stp>BDP|12595944397153100458|22</stp>
        <stp>META US 04/17/26 P600 Equity</stp>
        <stp>mid</stp>
        <tr r="L10" s="2"/>
      </tp>
      <tp>
        <v>9168.99</v>
        <stp/>
        <stp>BDP|8345363860153837789|22</stp>
        <stp>HSCEI Index</stp>
        <stp>LAST_PRICE</stp>
        <tr r="H19" s="252"/>
        <tr r="H19" s="252"/>
      </tp>
      <tp>
        <v>6.35</v>
        <stp/>
        <stp>BDP|12933221309917084244|22</stp>
        <stp>NFLX US 03/20/26 P92 Equity</stp>
        <stp>ask</stp>
        <tr r="Q22" s="2"/>
        <tr r="L204" s="89"/>
      </tp>
      <tp>
        <v>25.35</v>
        <stp/>
        <stp>BDP|11549499930516457816|22</stp>
        <stp>AVGO US 06/18/26 C410 Equity</stp>
        <stp>bid</stp>
        <tr r="K222" s="89"/>
        <tr r="P4" s="2"/>
      </tp>
      <tp>
        <v>6.6</v>
        <stp/>
        <stp>BDP|16199323523634865039|22</stp>
        <stp>MRVL US 03/20/26 P85 Equity</stp>
        <stp>mid</stp>
        <tr r="L13" s="2"/>
      </tp>
      <tp>
        <v>46.95</v>
        <stp/>
        <stp>BDP|17652529992752880187|22</stp>
        <stp>AVGO US 06/18/26 C350 Equity</stp>
        <stp>bid</stp>
        <tr r="K223" s="89"/>
        <tr r="P5" s="2"/>
      </tp>
      <tp>
        <v>0.8</v>
        <stp/>
        <stp>BDP|13457631786591218475|22</stp>
        <stp>QQQ US 01/02/26 P614 Equity</stp>
        <stp>ask</stp>
        <tr r="Q16" s="2"/>
      </tp>
      <tp t="s">
        <v>USD</v>
        <stp/>
        <stp>BDP|12706007477605028642|22</stp>
        <stp>FSLR US 03/20/26 C320 Equity</stp>
        <stp>QUOTED_CURRENCY_REALTIME</stp>
        <tr r="F34" s="89"/>
      </tp>
      <tp>
        <v>16.25</v>
        <stp/>
        <stp>BDP|18169547819762494862|22</stp>
        <stp>MSFT US 03/20/26 C490 Equity</stp>
        <stp>mid</stp>
        <tr r="L19" s="2"/>
      </tp>
      <tp>
        <v>56.4</v>
        <stp/>
        <stp>BDP|2232505729109775021|22</stp>
        <stp>MU US 03/20/26 C280 Equity</stp>
        <stp>bid</stp>
        <tr r="K39" s="89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F223" s="89"/>
        <tr r="G5" s="2"/>
      </tp>
      <tp>
        <v>14.25</v>
        <stp/>
        <stp>BDP|13045517909567750209|22</stp>
        <stp>META US 04/17/26 P570 Equity</stp>
        <stp>mid</stp>
        <tr r="L11" s="2"/>
      </tp>
      <tp>
        <v>1.29</v>
        <stp/>
        <stp>BDP|16133565999441643104|22</stp>
        <stp>NVDA US 01/09/26 C195 Equity</stp>
        <stp>ask</stp>
        <tr r="L20" s="89"/>
      </tp>
      <tp>
        <v>6.45</v>
        <stp/>
        <stp>BDP|10246542437065037496|22</stp>
        <stp>MRVL US 03/20/26 P85 Equity</stp>
        <stp>bid</stp>
        <tr r="P13" s="2"/>
        <tr r="K49" s="89"/>
        <tr r="K55" s="89"/>
      </tp>
      <tp>
        <v>90.98</v>
        <stp/>
        <stp>BDP|2401224757541047929|22</stp>
        <stp>NFLX Equity</stp>
        <stp>LAST_PRICE</stp>
        <tr r="I40" s="1"/>
      </tp>
      <tp>
        <v>0.63</v>
        <stp/>
        <stp>BDP|16309738370498847799|22</stp>
        <stp>QQQ US 01/02/26 P614 Equity</stp>
        <stp>bid</stp>
        <tr r="P16" s="2"/>
      </tp>
      <tp>
        <v>0.54974150657653809</v>
        <stp/>
        <stp>BDP|9483173166744713632|22</stp>
        <stp>MU US 03/20/26 C320 Equity</stp>
        <stp>DELTA_MID_RT</stp>
        <tr r="W40" s="89"/>
      </tp>
      <tp>
        <v>2.4700000000000002</v>
        <stp/>
        <stp>BDP|18217445081536365001|22</stp>
        <stp>NFLX US 03/20/26 P83 Equity</stp>
        <stp>bid</stp>
        <tr r="P23" s="2"/>
        <tr r="K205" s="89"/>
      </tp>
      <tp>
        <v>274.33999999999997</v>
        <stp/>
        <stp>BDP|7588646830979615577|22</stp>
        <stp>FSLR US Equity</stp>
        <stp>LAST_PRICE</stp>
        <tr r="S33" s="89"/>
        <tr r="S34" s="89"/>
      </tp>
      <tp>
        <v>8.3000000000000007</v>
        <stp/>
        <stp>BDP|16776532931638824445|22</stp>
        <stp>MSFT US 03/20/26 C515 Equity</stp>
        <stp>ask</stp>
        <tr r="Q18" s="2"/>
      </tp>
      <tp>
        <v>4.55</v>
        <stp/>
        <stp>BDP|12289700020985263311|22</stp>
        <stp>MRVL US 03/20/26 P80 Equity</stp>
        <stp>bid</stp>
        <tr r="P14" s="2"/>
        <tr r="K56" s="89"/>
      </tp>
    </main>
    <main first="bofaddin.rtdserver">
      <tp t="s">
        <v>#N/A Requesting Data...3141615408</v>
        <stp/>
        <stp>BDP|10678020949630144</stp>
        <tr r="C40" s="89"/>
      </tp>
      <tp>
        <v>665.63729999999998</v>
        <stp/>
        <stp>BDP|12318182968788510555|22</stp>
        <stp>NDEUCHF Index</stp>
        <stp>LAST_PRICE</stp>
        <tr r="H16" s="252"/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472.94</v>
        <stp/>
        <stp>BDP|1912830234697829517|22</stp>
        <stp>MSFT Equity</stp>
        <stp>LAST_PRICE</stp>
        <tr r="I35" s="1"/>
        <tr r="I36" s="1"/>
      </tp>
      <tp>
        <v>102.36</v>
        <stp/>
        <stp>BDP|11511261369815685982|22</stp>
        <stp>QQQE EQUITY</stp>
        <stp>LAST_PRICE</stp>
        <tr r="I7" s="1"/>
      </tp>
      <tp t="s">
        <v>USD</v>
        <stp/>
        <stp>BDP|15283020077022952976|22</stp>
        <stp>NVDA US 01/09/26 C205 Equity</stp>
        <stp>QUOTED_CURRENCY_REALTIME</stp>
        <tr r="F19" s="89"/>
      </tp>
      <tp>
        <v>90.98</v>
        <stp/>
        <stp>BDP|8263106965958046051|22</stp>
        <stp>NFLX US Equity</stp>
        <stp>LAST_PRICE</stp>
        <tr r="Z21" s="2"/>
        <tr r="Z22" s="2"/>
        <tr r="S186" s="89"/>
        <tr r="S187" s="89"/>
        <tr r="S188" s="89"/>
        <tr r="S203" s="89"/>
        <tr r="S204" s="89"/>
        <tr r="S205" s="89"/>
        <tr r="Z23" s="2"/>
      </tp>
      <tp>
        <v>5.25</v>
        <stp/>
        <stp>BDP|12374218908081165086|22</stp>
        <stp>NFLX US 03/20/26 P90 Equity</stp>
        <stp>ask</stp>
        <tr r="L187" s="89"/>
      </tp>
      <tp>
        <v>-0.19020676612854004</v>
        <stp/>
        <stp>BDP|6852050318923921669|22</stp>
        <stp>NFLX US 03/20/26 P80 Equity</stp>
        <stp>DELTA_MID_RT</stp>
        <tr r="W188" s="89"/>
      </tp>
      <tp>
        <v>0.01</v>
        <stp/>
        <stp>BDP|11466650127604950166|22</stp>
        <stp>QQQ US 12/26/25 P600 Equity</stp>
        <stp>ask</stp>
        <tr r="L69" s="89"/>
      </tp>
      <tp>
        <v>3.89</v>
        <stp/>
        <stp>BDP|16692054716720003175|22</stp>
        <stp>QQQ US 01/09/26 P610 Equity</stp>
        <stp>ask</stp>
        <tr r="Q17" s="2"/>
      </tp>
      <tp t="s">
        <v>#N/A Requesting Data...2736455341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8" s="2"/>
      </tp>
      <tp>
        <v>14.15</v>
        <stp/>
        <stp>BDP|10240673035974561197|22</stp>
        <stp>META US 04/17/26 P570 Equity</stp>
        <stp>bid</stp>
        <tr r="K234" s="89"/>
        <tr r="P11" s="2"/>
      </tp>
      <tp>
        <v>3.08</v>
        <stp/>
        <stp>BDP|14841963169371507253|22</stp>
        <stp>MRVL US 03/20/26 P75 Equity</stp>
        <stp>mid</stp>
        <tr r="L15" s="2"/>
      </tp>
      <tp t="s">
        <v>USD</v>
        <stp/>
        <stp>BDP|481629867145125801|22</stp>
        <stp>SMH US 12/26/25 P355 Equity</stp>
        <stp>QUOTED_CURRENCY_REALTIME</stp>
        <tr r="F75" s="89"/>
      </tp>
      <tp>
        <v>271.01</v>
        <stp/>
        <stp>BDP|13852632459561529635|22</stp>
        <stp>AAPL EQUITY</stp>
        <stp>LAST_PRICE</stp>
        <tr r="C6" s="1"/>
      </tp>
      <tp>
        <v>37111.29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0.45</v>
        <stp/>
        <stp>BDP|17192515229025783136|22</stp>
        <stp>NVDA US 01/09/26 C200 Equity</stp>
        <stp>bid</stp>
        <tr r="P24" s="2"/>
      </tp>
      <tp>
        <v>195.71</v>
        <stp/>
        <stp>BDP|8523820006929361112|22</stp>
        <stp>ORCL US Equity</stp>
        <stp>LAST_PRICE</stp>
        <tr r="S247" s="89"/>
      </tp>
      <tp>
        <v>563.13</v>
        <stp/>
        <stp>BDP|9828940858298145952|22</stp>
        <stp>MA Equity</stp>
        <stp>LAST PRICE</stp>
        <tr r="G16" s="338"/>
        <tr r="G38" s="338"/>
        <tr r="G40" s="338"/>
      </tp>
      <tp>
        <v>150.30000000000001</v>
        <stp/>
        <stp>BDP|7581686725725045071|22</stp>
        <stp>BIDU Equity</stp>
        <stp>LAST_PRICE</stp>
        <tr r="I37" s="1"/>
      </tp>
      <tp t="s">
        <v>#N/A Real Time</v>
        <stp/>
        <stp>BDP|790178945972254236|22</stp>
        <stp>IMBWK5C4 5840 Index</stp>
        <stp>QUOTED_CURRENCY_REALTIME</stp>
        <tr r="F89" s="89"/>
      </tp>
      <tp>
        <v>3.15</v>
        <stp/>
        <stp>BDP|17311283871303777118|22</stp>
        <stp>MRVL US 03/20/26 P75 Equity</stp>
        <stp>ask</stp>
        <tr r="Q15" s="2"/>
        <tr r="L50" s="89"/>
      </tp>
      <tp>
        <v>25.6</v>
        <stp/>
        <stp>BDP|13407383351402000483|22</stp>
        <stp>AVGO US 06/18/26 C410 Equity</stp>
        <stp>ask</stp>
        <tr r="L222" s="89"/>
        <tr r="Q4" s="2"/>
      </tp>
      <tp>
        <v>25.48</v>
        <stp/>
        <stp>BDP|14577375391089989808|22</stp>
        <stp>AVGO US 06/18/26 C410 Equity</stp>
        <stp>mid</stp>
        <tr r="L4" s="2"/>
      </tp>
      <tp>
        <v>188.85</v>
        <stp/>
        <stp>BDP|2630581548609766860|22</stp>
        <stp>NVDA US Equity</stp>
        <stp>LAST_PRICE</stp>
        <tr r="S250" s="89"/>
        <tr r="S20" s="89"/>
        <tr r="Z24" s="2"/>
        <tr r="S19" s="89"/>
      </tp>
      <tp t="s">
        <v>#N/A Real Time</v>
        <stp/>
        <stp>BDP|11098924844599643197|22</stp>
        <stp>QQQ US 12/15/25 P611 Equity</stp>
        <stp>ask</stp>
        <tr r="L62" s="89"/>
      </tp>
      <tp>
        <v>315.14999999999998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  <tr r="G4" s="2"/>
      </tp>
      <tp>
        <v>496.85</v>
        <stp/>
        <stp>BDP|16804995271076659285|22</stp>
        <stp>BRK/B Equity</stp>
        <stp>LAST PRICE</stp>
        <tr r="I18" s="338"/>
      </tp>
      <tp>
        <v>6.75</v>
        <stp/>
        <stp>BDP|13966874951199659074|22</stp>
        <stp>MRVL US 03/20/26 P85 Equity</stp>
        <stp>ask</stp>
        <tr r="Q13" s="2"/>
        <tr r="L49" s="89"/>
        <tr r="L55" s="89"/>
      </tp>
      <tp>
        <v>22</v>
        <stp/>
        <stp>BDP|14266615157817866347|22</stp>
        <stp>META US 04/17/26 P600 Equity</stp>
        <stp>bid</stp>
        <tr r="K180" s="89"/>
        <tr r="P10" s="2"/>
      </tp>
      <tp>
        <v>47.25</v>
        <stp/>
        <stp>BDP|16021407028720881249|22</stp>
        <stp>AVGO US 06/18/26 C350 Equity</stp>
        <stp>ask</stp>
        <tr r="L223" s="89"/>
        <tr r="Q5" s="2"/>
      </tp>
      <tp>
        <v>205.79</v>
        <stp/>
        <stp>BDP|6290765801174780597|22</stp>
        <stp>WDAY Equity</stp>
        <stp>LAST PRICE</stp>
        <tr r="L10" s="446"/>
      </tp>
      <tp>
        <v>8.9499999999999993</v>
        <stp/>
        <stp>BDP|15482140876348442223|22</stp>
        <stp>MRVL US 03/20/26 P90 Equity</stp>
        <stp>bid</stp>
        <tr r="P12" s="2"/>
      </tp>
      <tp>
        <v>19.3</v>
        <stp/>
        <stp>BDP|13310992897897785440|22</stp>
        <stp>META US 04/17/26 P590 Equity</stp>
        <stp>ask</stp>
        <tr r="L171" s="89"/>
      </tp>
      <tp>
        <v>9.1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>
        <v>6857.97</v>
        <stp/>
        <stp>BDP|2596990609892593565|22</stp>
        <stp>SPX Index</stp>
        <stp>LAST_PRICE</stp>
        <tr r="S160" s="89"/>
      </tp>
      <tp t="s">
        <v>#N/A Requesting Data...3387362842</v>
        <stp/>
        <stp>BDP|58362587440124964</stp>
        <tr r="C247" s="89"/>
      </tp>
      <tp>
        <v>7791.82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1.28</v>
        <stp/>
        <stp>BDP|15831593567127570012|22</stp>
        <stp>NVDA US 01/09/26 C195 Equity</stp>
        <stp>bid</stp>
        <tr r="K20" s="89"/>
      </tp>
      <tp t="s">
        <v>USD</v>
        <stp/>
        <stp>BDP|12071913326868084242|22</stp>
        <stp>NVDA US 01/09/26 C200 Equity</stp>
        <stp>QUOTED_CURRENCY_REALTIME</stp>
        <tr r="G24" s="2"/>
      </tp>
      <tp>
        <v>373.36</v>
        <stp/>
        <stp>BDP|14458808308106996349|22</stp>
        <stp>SMH US Equity</stp>
        <stp>LAST_PRICE</stp>
        <tr r="S75" s="89"/>
        <tr r="S76" s="89"/>
        <tr r="Z25" s="2"/>
      </tp>
      <tp t="s">
        <v>USD</v>
        <stp/>
        <stp>BDP|15498396242312000693|22</stp>
        <stp>MSFT US 06/18/26 C585 Equity</stp>
        <stp>QUOTED_CURRENCY_REALTIME</stp>
        <tr r="F211" s="89"/>
      </tp>
      <tp>
        <v>0.46</v>
        <stp/>
        <stp>BDP|18445337398193333218|22</stp>
        <stp>NVDA US 01/09/26 C200 Equity</stp>
        <stp>ask</stp>
        <tr r="Q24" s="2"/>
      </tp>
      <tp>
        <v>226.5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>
        <v>5.4246999999999996</v>
        <stp/>
        <stp>BDP|10515480241315630363|22</stp>
        <stp>brl Curncy</stp>
        <stp>LAST_PRICE</stp>
        <tr r="AC3" s="1"/>
      </tp>
      <tp>
        <v>3.84</v>
        <stp/>
        <stp>BDP|10138545352856120360|22</stp>
        <stp>QQQ US 01/09/26 P610 Equity</stp>
        <stp>bid</stp>
        <tr r="P17" s="2"/>
      </tp>
      <tp t="s">
        <v>#N/A Requesting Data...2822508797</v>
        <stp/>
        <stp>BDP|31447539442012205</stp>
        <tr r="V203" s="89"/>
        <tr r="AD21" s="2"/>
      </tp>
      <tp t="s">
        <v>USD</v>
        <stp/>
        <stp>BDP|13998573931045965631|22</stp>
        <stp>MSFT US 03/20/26 P465 Equity</stp>
        <stp>QUOTED_CURRENCY_REALTIME</stp>
        <tr r="G20" s="2"/>
      </tp>
      <tp t="s">
        <v>USD</v>
        <stp/>
        <stp>BDP|13984816954757946914|22</stp>
        <stp>MSFT US 06/18/26 C515 Equity</stp>
        <stp>QUOTED_CURRENCY_REALTIME</stp>
        <tr r="F212" s="89"/>
      </tp>
      <tp>
        <v>2.54</v>
        <stp/>
        <stp>BDP|10306915659924416460|22</stp>
        <stp>NFLX US 03/20/26 P83 Equity</stp>
        <stp>mid</stp>
        <tr r="L23" s="2"/>
      </tp>
      <tp>
        <v>16.3</v>
        <stp/>
        <stp>BDP|10156068293807054847|22</stp>
        <stp>MSFT US 03/20/26 C490 Equity</stp>
        <stp>ask</stp>
        <tr r="Q19" s="2"/>
      </tp>
      <tp>
        <v>10.25</v>
        <stp/>
        <stp>BDP|13862586550571544723|22</stp>
        <stp>FSLR US 03/20/26 C320 Equity</stp>
        <stp>bid</stp>
        <tr r="K34" s="89"/>
      </tp>
      <tp>
        <v>1.82</v>
        <stp/>
        <stp>BDP|11810525163719928784|22</stp>
        <stp>NFLX US 03/20/26 P80 Equity</stp>
        <stp>ask</stp>
        <tr r="L188" s="89"/>
      </tp>
      <tp>
        <v>188.85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-0.52006220817565918</v>
        <stp/>
        <stp>BDP|5212348006943988893|22</stp>
        <stp>LITE US 02/20/26 C450 Equity</stp>
        <stp>theta_mid_rt</stp>
        <tr r="AN7" s="2"/>
      </tp>
      <tp>
        <v>-0.23208101093769073</v>
        <stp/>
        <stp>BDP|17181714877731926690|22</stp>
        <stp>TSM US 01/16/26 C300 Equity</stp>
        <stp>theta_mid_rt</stp>
        <tr r="AN26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Data...2995048578</v>
        <stp/>
        <stp>BDP|751520279507684047</stp>
        <tr r="X40" s="338"/>
      </tp>
      <tp t="s">
        <v>#N/A Requesting Data...2981446921</v>
        <stp/>
        <stp>BDP|708391392016349940</stp>
        <tr r="V204" s="89"/>
        <tr r="AD22" s="2"/>
      </tp>
      <tp t="s">
        <v>#N/A Requesting Data...3622754292</v>
        <stp/>
        <stp>BDP|981149443964554497</stp>
        <tr r="V196" s="89"/>
      </tp>
      <tp t="s">
        <v>#N/A Requesting Data...3774910912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241.89</v>
        <stp/>
        <stp>BDP|15031025441735979532|22</stp>
        <stp>RDDT Equity</stp>
        <stp>LAST PRICE</stp>
        <tr r="L11" s="446"/>
      </tp>
      <tp>
        <v>18.899999999999999</v>
        <stp/>
        <stp>BDP|6998547858539711557|22</stp>
        <stp>TSM US 03/20/26 C330 Equity</stp>
        <stp>ask</stp>
        <tr r="L14" s="89"/>
        <tr r="Q28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Data...4197511938</v>
        <stp/>
        <stp>BDP|608595985359488024</stp>
        <tr r="AH13" s="338"/>
        <tr r="AH34" s="338"/>
        <tr r="AJ13" s="338"/>
        <tr r="AJ34" s="338"/>
      </tp>
      <tp t="s">
        <v>#N/A Requesting Data...3004728271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>
        <v>313.69</v>
        <stp/>
        <stp>BDP|11919359090538774022|22</stp>
        <stp>SOXX Equity</stp>
        <stp>LAST_PRICE</stp>
        <tr r="I29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Data...3772776193</v>
        <stp/>
        <stp>BDP|686234847331911027</stp>
        <tr r="G17" s="446"/>
      </tp>
      <tp t="s">
        <v>#N/A Requesting Data...3816350797</v>
        <stp/>
        <stp>BDP|845945561529258153</stp>
        <tr r="X37" s="338"/>
      </tp>
      <tp t="s">
        <v>#N/A Requesting Data...3931954834</v>
        <stp/>
        <stp>BDP|719080694298469649</stp>
        <tr r="F9" s="2"/>
      </tp>
      <tp t="s">
        <v>#N/A Requesting Data...3803152319</v>
        <stp/>
        <stp>BDP|408762416568436914</stp>
        <tr r="T116" s="89"/>
      </tp>
      <tp t="s">
        <v>#N/A Requesting Data...2979998952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5736.44</v>
        <stp/>
        <stp>BDP|7715274099356745424|22</stp>
        <stp>HSTECH Index</stp>
        <stp>LAST_PRICE</stp>
        <tr r="H14" s="252"/>
        <tr r="H14" s="252"/>
      </tp>
      <tp>
        <v>683.17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Data...4063526385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Data...2876979492</v>
        <stp/>
        <stp>BDP|575304639910340627</stp>
        <tr r="AR4" s="2"/>
      </tp>
      <tp t="e">
        <v>#N/A</v>
        <stp/>
        <stp>BDH|248450347001943774</stp>
        <tr r="AU13" s="338"/>
      </tp>
      <tp t="s">
        <v>#N/A Requesting Data...3666256422</v>
        <stp/>
        <stp>BDP|703780504329627859</stp>
        <tr r="AI17" s="1"/>
      </tp>
      <tp t="s">
        <v>#N/A Requesting Data...3505608619</v>
        <stp/>
        <stp>BDP|691697916283485252</stp>
        <tr r="T27" s="89"/>
        <tr r="AA7" s="2"/>
      </tp>
      <tp t="s">
        <v>#N/A Requesting Data...3814868662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Data...4155701291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0.7160835862159729</v>
        <stp/>
        <stp>BDP|784429703500140446|22</stp>
        <stp>MU US 03/20/26 C280 Equity</stp>
        <stp>DELTA_MID_RT</stp>
        <tr r="W39" s="89"/>
      </tp>
      <tp t="s">
        <v>#N/A Requesting Data...2967553705</v>
        <stp/>
        <stp>BDP|174009925060253452</stp>
        <tr r="C25" s="2"/>
      </tp>
      <tp>
        <v>-4.3770000338554382E-2</v>
        <stp/>
        <stp>BDP|12770217588166131188|22</stp>
        <stp>SMH US 12/26/25 P355 Equity</stp>
        <stp>DELTA_MID_RT</stp>
        <tr r="W75" s="89"/>
      </tp>
      <tp>
        <v>195.71</v>
        <stp/>
        <stp>BDP|7132801475716187902|22</stp>
        <stp>ORCL EQUITY</stp>
        <stp>LAST_PRICE</stp>
        <tr r="C10" s="1"/>
      </tp>
      <tp>
        <v>22.67</v>
        <stp/>
        <stp>BDP|7501771750478618611|22</stp>
        <stp>TSM US 01/16/26 C300 Equity</stp>
        <stp>mid</stp>
        <tr r="L26" s="2"/>
      </tp>
      <tp t="s">
        <v>#N/A Requesting Data...3363750883</v>
        <stp/>
        <stp>BDP|517543108217561323</stp>
        <tr r="P53" s="338"/>
      </tp>
      <tp t="s">
        <v>#N/A Requesting Data...2966755708</v>
        <stp/>
        <stp>BDP|244764414260319781</stp>
        <tr r="O18" s="252"/>
      </tp>
      <tp t="s">
        <v>#N/A Requesting Data...3861264004</v>
        <stp/>
        <stp>BDP|896518566545118787</stp>
        <tr r="AA102" s="89"/>
        <tr r="Z102" s="89"/>
      </tp>
      <tp t="s">
        <v>USD</v>
        <stp/>
        <stp>BDP|8953270605956463578|22</stp>
        <stp>TSM US 01/16/26 C300 Equity</stp>
        <stp>QUOTED_CURRENCY_REALTIME</stp>
        <tr r="G26" s="2"/>
        <tr r="F7" s="89"/>
      </tp>
      <tp>
        <v>4.1529916226863861E-2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Data...4181346823</v>
        <stp/>
        <stp>BDP|739245098392147969</stp>
        <tr r="AG15" s="1"/>
        <tr r="AG14" s="1"/>
      </tp>
      <tp t="s">
        <v>#N/A Requesting Data...4099955180</v>
        <stp/>
        <stp>BDP|999131207671054040</stp>
        <tr r="P55" s="338"/>
      </tp>
      <tp t="s">
        <v>#N/A Requesting Data...3234527855</v>
        <stp/>
        <stp>BDP|798980087638306908</stp>
        <tr r="K4" s="1"/>
      </tp>
      <tp>
        <v>36.549999999999997</v>
        <stp/>
        <stp>BDP|16675255893669474746|22</stp>
        <stp>MU US 03/20/26 C320 Equity</stp>
        <stp>ask</stp>
        <tr r="L40" s="89"/>
      </tp>
      <tp t="s">
        <v>#N/A Requesting Data...3758750904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0.11127753555774689</v>
        <stp/>
        <stp>BDP|5073910131777479151|22</stp>
        <stp>NVDA US 01/09/26 C200 Equity</stp>
        <stp>DELTA_MID_RT</stp>
        <tr r="AF24" s="2"/>
      </tp>
      <tp>
        <v>192.86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  <tr r="AB76" s="89"/>
        <tr r="AQ25" s="2"/>
      </tp>
      <tp t="s">
        <v>#N/A Requesting Data...2939352009</v>
        <stp/>
        <stp>BDP|103387833183780070</stp>
        <tr r="Z108" s="89"/>
        <tr r="AA108" s="89"/>
      </tp>
      <tp t="s">
        <v>#N/A Requesting Data...4238960801</v>
        <stp/>
        <stp>BDP|145363176127530027</stp>
        <tr r="T8" s="89"/>
      </tp>
      <tp>
        <v>85.76</v>
        <stp/>
        <stp>BDP|6244681688337820540|22</stp>
        <stp>KBWB EQUITY</stp>
        <stp>LAST_PRICE</stp>
        <tr r="I1" s="1"/>
      </tp>
      <tp>
        <v>14.16</v>
        <stp/>
        <stp>BDP|11593899381746563402|22</stp>
        <stp>RIOT Equity</stp>
        <stp>LAST_PRICE</stp>
        <tr r="I20" s="1"/>
      </tp>
      <tp t="s">
        <v>#N/A Requesting Data...4143756213</v>
        <stp/>
        <stp>BDP|867434005810212632</stp>
        <tr r="AR21" s="2"/>
      </tp>
      <tp t="s">
        <v>#N/A N/A</v>
        <stp/>
        <stp>BDP|450712038053400567</stp>
        <tr r="AG38" s="1"/>
      </tp>
      <tp>
        <v>613.12</v>
        <stp/>
        <stp>BDP|13846945124532688911|22</stp>
        <stp>QQQ Equity</stp>
        <stp>LAST_PRICE</stp>
        <tr r="I15" s="1"/>
        <tr r="I14" s="1"/>
      </tp>
      <tp t="s">
        <v>#N/A Requesting Data...4048966100</v>
        <stp/>
        <stp>BDP|485222895401231859</stp>
        <tr r="AR23" s="2"/>
      </tp>
      <tp t="s">
        <v>#N/A Requesting Data...3712325063</v>
        <stp/>
        <stp>BDP|908193390539320353</stp>
        <tr r="AA56" s="89"/>
        <tr r="Z56" s="89"/>
      </tp>
      <tp t="s">
        <v>#N/A Requesting Data...4190599537</v>
        <stp/>
        <stp>BDP|544525320321433421</stp>
        <tr r="AR24" s="2"/>
      </tp>
      <tp t="s">
        <v>#N/A Requesting Data...3535797338</v>
        <stp/>
        <stp>BDP|269829832791832881</stp>
        <tr r="C17" s="2"/>
      </tp>
      <tp t="s">
        <v>#N/A Requesting Data...3377285342</v>
        <stp/>
        <stp>BDP|665136997182388831</stp>
        <tr r="E213" s="89"/>
      </tp>
      <tp t="s">
        <v>#N/A Requesting Data...3730858094</v>
        <stp/>
        <stp>BDP|310378113498032857</stp>
        <tr r="F9" s="446"/>
      </tp>
      <tp>
        <v>-0.40481904149055481</v>
        <stp/>
        <stp>BDP|3113404587360388424|22</stp>
        <stp>MSFT US 03/20/26 P465 Equity</stp>
        <stp>DELTA_MID_RT</stp>
        <tr r="AF20" s="2"/>
      </tp>
      <tp>
        <v>0.30031898617744446</v>
        <stp/>
        <stp>BDP|1646825244312998634|22</stp>
        <stp>FSLR US 03/20/26 C320 Equity</stp>
        <stp>DELTA_MID_RT</stp>
        <tr r="W34" s="89"/>
      </tp>
      <tp>
        <v>-0.17446725070476532</v>
        <stp/>
        <stp>BDP|5551973401497312809|22</stp>
        <stp>AVGO US 06/18/26 P270 Equity</stp>
        <stp>DELTA_MID_RT</stp>
        <tr r="W225" s="89"/>
      </tp>
      <tp>
        <v>34.479999999999997</v>
        <stp/>
        <stp>BDP|4064819158649726562|22</stp>
        <stp>TSM US 03/20/26 C300 Equity</stp>
        <stp>mid</stp>
        <tr r="L27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Data...3814956019</v>
        <stp/>
        <stp>BDP|630836919334916088</stp>
        <tr r="X10" s="338"/>
      </tp>
      <tp t="s">
        <v>#N/A N/A</v>
        <stp/>
        <stp>BDP|894652130481491978</stp>
        <tr r="AC10" s="2"/>
        <tr r="AC11" s="2"/>
        <tr r="AC8" s="2"/>
        <tr r="AC9" s="2"/>
      </tp>
      <tp t="s">
        <v>#N/A Requesting Data...4179951997</v>
        <stp/>
        <stp>BDP|270487313100359854</stp>
        <tr r="V17" s="338"/>
      </tp>
      <tp>
        <v>683.17</v>
        <stp/>
        <stp>BDP|13189918054944550299|22</stp>
        <stp>SPY Equity</stp>
        <stp>LAST_PRICE</stp>
        <tr r="X3" s="1"/>
      </tp>
      <tp>
        <v>-5.096849799156189E-2</v>
        <stp/>
        <stp>BDP|3178362372691625299|22</stp>
        <stp>MRVL US 03/20/26 P80 Equity</stp>
        <stp>theta_mid_rt</stp>
        <tr r="AN14" s="2"/>
      </tp>
      <tp>
        <v>313.69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Data...3025560904</v>
        <stp/>
        <stp>BDP|127253274771311898</stp>
        <tr r="AG11" s="338"/>
      </tp>
      <tp t="s">
        <v>#N/A Requesting Data...4219754468</v>
        <stp/>
        <stp>BDP|127322122439208464</stp>
        <tr r="E28" s="2"/>
      </tp>
      <tp t="s">
        <v>#N/A Requesting Data...3150969946</v>
        <stp/>
        <stp>BDP|827675090525898604</stp>
        <tr r="AF41" s="338"/>
        <tr r="AF42" s="338"/>
      </tp>
      <tp t="s">
        <v>#N/A Requesting Data...3852315397</v>
        <stp/>
        <stp>BDP|782705090920373269</stp>
        <tr r="D129" s="89"/>
      </tp>
      <tp t="s">
        <v>USD</v>
        <stp/>
        <stp>BDP|4474037058052004071|22</stp>
        <stp>QQQ US 01/09/26 P610 Equity</stp>
        <stp>QUOTED_CURRENCY_REALTIME</stp>
        <tr r="G17" s="2"/>
      </tp>
      <tp t="s">
        <v>#N/A Requesting Data...3640456480</v>
        <stp/>
        <stp>BDP|404252579678701218</stp>
        <tr r="O49" s="89"/>
        <tr r="O55" s="89"/>
        <tr r="T13" s="2"/>
      </tp>
      <tp t="s">
        <v>#N/A Requesting Data...3791060477</v>
        <stp/>
        <stp>BDP|747191926384069867</stp>
        <tr r="L15" s="252"/>
        <tr r="L15" s="252"/>
      </tp>
      <tp t="s">
        <v>#N/A Requesting Data...3141271403</v>
        <stp/>
        <stp>BDP|176347289857022339</stp>
        <tr r="S17" s="252"/>
      </tp>
      <tp t="s">
        <v>#N/A Requesting Data...3382502407</v>
        <stp/>
        <stp>BDP|278537766618564487</stp>
        <tr r="U17" s="338"/>
      </tp>
      <tp t="s">
        <v>#N/A Requesting Data...3236615942</v>
        <stp/>
        <stp>BDP|985943877960620174</stp>
        <tr r="V26" s="89"/>
        <tr r="AD6" s="2"/>
      </tp>
      <tp t="e">
        <v>#N/A</v>
        <stp/>
        <stp>BDH|433708982537243710</stp>
        <tr r="AR48" s="338"/>
        <tr r="AR49" s="338"/>
      </tp>
      <tp t="s">
        <v>#N/A Requesting Data...3246888342</v>
        <stp/>
        <stp>BDP|987924063845804559</stp>
        <tr r="E4" s="1"/>
      </tp>
      <tp t="s">
        <v>#N/A Requesting Data...3124823689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>
        <v>650.41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192.86</v>
        <stp/>
        <stp>BDP|10381440186149181728|22</stp>
        <stp>RSP Equity</stp>
        <stp>LAST_PRICE</stp>
        <tr r="I13" s="1"/>
      </tp>
      <tp t="s">
        <v>#N/A N/A</v>
        <stp/>
        <stp>BDP|887987616640012698</stp>
        <tr r="AB38" s="1"/>
      </tp>
      <tp t="s">
        <v>#N/A Requesting Data...3818296752</v>
        <stp/>
        <stp>BDP|250048024809964501</stp>
        <tr r="T250" s="89"/>
      </tp>
      <tp t="s">
        <v>#N/A Requesting Data...3113659111</v>
        <stp/>
        <stp>BDP|364330932177526925</stp>
        <tr r="S37" s="338"/>
      </tp>
      <tp>
        <v>33.32</v>
        <stp/>
        <stp>BDP|18329643987132492211|22</stp>
        <stp>ASHR Equity</stp>
        <stp>LAST_PRICE</stp>
        <tr r="H6" s="252"/>
        <tr r="H6" s="252"/>
      </tp>
      <tp>
        <v>21.9</v>
        <stp/>
        <stp>BDP|3354072527797676939|22</stp>
        <stp>TSM US 01/16/26 C300 Equity</stp>
        <stp>bid</stp>
        <tr r="P26" s="2"/>
        <tr r="K7" s="89"/>
      </tp>
      <tp>
        <v>18.649999999999999</v>
        <stp/>
        <stp>BDP|9707829131950720246|22</stp>
        <stp>TSM US 03/20/26 C330 Equity</stp>
        <stp>mid</stp>
        <tr r="L28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Data...3294270049</v>
        <stp/>
        <stp>BDP|865618064141370815</stp>
        <tr r="N12" s="252"/>
        <tr r="N12" s="252"/>
      </tp>
      <tp t="s">
        <v>#N/A Requesting Data...4082247743</v>
        <stp/>
        <stp>BDP|757266498405781787</stp>
        <tr r="X3" s="1"/>
      </tp>
      <tp t="s">
        <v>#N/A Requesting Data...3369251523</v>
        <stp/>
        <stp>BDP|321567796020124549</stp>
        <tr r="F43" s="446"/>
      </tp>
      <tp t="s">
        <v>#N/A Requesting Data...4089698360</v>
        <stp/>
        <stp>BDP|748281786590893378</stp>
        <tr r="AA160" s="89"/>
        <tr r="Z160" s="89"/>
      </tp>
      <tp>
        <v>0.26394784450531006</v>
        <stp/>
        <stp>BDP|5582604017446869875|22</stp>
        <stp>MSFT US 03/20/26 C515 Equity</stp>
        <stp>DELTA_MID_RT</stp>
        <tr r="AF18" s="2"/>
      </tp>
      <tp>
        <v>43.18</v>
        <stp/>
        <stp>BDP|16955313478604069014|22</stp>
        <stp>XLU Equity</stp>
        <stp>LAST PRICE</stp>
        <tr r="I42" s="338"/>
      </tp>
      <tp t="s">
        <v>#N/A Requesting Data...4230193095</v>
        <stp/>
        <stp>BDP|908593419299646514</stp>
        <tr r="V212" s="89"/>
      </tp>
      <tp t="s">
        <v>#N/A Requesting Data...4186580675</v>
        <stp/>
        <stp>BDP|938081193165986446</stp>
        <tr r="U46" s="338"/>
      </tp>
      <tp t="s">
        <v>#N/A Requesting Data...3003587488</v>
        <stp/>
        <stp>BDP|345620769730348823</stp>
        <tr r="G20" s="446"/>
      </tp>
      <tp t="s">
        <v>#N/A Requesting Data...3982916346</v>
        <stp/>
        <stp>BDP|340320136489724108</stp>
        <tr r="T75" s="89"/>
      </tp>
      <tp t="s">
        <v>#N/A Requesting Data...3425636832</v>
        <stp/>
        <stp>BDP|771655587750732627</stp>
        <tr r="AI16" s="1"/>
      </tp>
      <tp>
        <v>0.42623931169509888</v>
        <stp/>
        <stp>BDP|1525054646503839834|22</stp>
        <stp>MSFT US 03/20/26 C490 Equity</stp>
        <stp>DELTA_MID_RT</stp>
        <tr r="AF19" s="2"/>
      </tp>
      <tp>
        <v>0.24990418553352356</v>
        <stp/>
        <stp>BDP|4316414877333174269|22</stp>
        <stp>NFLX US 03/20/26 C104 Equity</stp>
        <stp>DELTA_MID_RT</stp>
        <tr r="AF21" s="2"/>
        <tr r="W203" s="89"/>
      </tp>
      <tp>
        <v>102.62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Data...4227984634</v>
        <stp/>
        <stp>BDP|237201852408926413</stp>
        <tr r="U35" s="338"/>
      </tp>
      <tp t="s">
        <v>#N/A Requesting Data...4159252536</v>
        <stp/>
        <stp>BDP|410647168382881996</stp>
        <tr r="V54" s="338"/>
      </tp>
      <tp t="s">
        <v>#N/A Requesting Data...3656749732</v>
        <stp/>
        <stp>BDP|981114986491900309</stp>
        <tr r="F8" s="252"/>
      </tp>
      <tp t="s">
        <v>#N/A Requesting Data...3613393281</v>
        <stp/>
        <stp>BDP|612746655750406928</stp>
        <tr r="S16" s="338"/>
        <tr r="S38" s="338"/>
      </tp>
      <tp t="s">
        <v>#N/A Requesting Data...2932710333</v>
        <stp/>
        <stp>BDP|354957367580482468</stp>
        <tr r="O203" s="89"/>
        <tr r="T21" s="2"/>
      </tp>
      <tp t="s">
        <v>USD</v>
        <stp/>
        <stp>BDP|9780609009563250832|22</stp>
        <stp>QQQ US 01/02/26 P614 Equity</stp>
        <stp>QUOTED_CURRENCY_REALTIME</stp>
        <tr r="G16" s="2"/>
      </tp>
      <tp t="s">
        <v>#N/A Requesting Data...3265762348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>
        <v>347.62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89.363</v>
        <stp/>
        <stp>BDP|15428137786848034213|22</stp>
        <stp>MRVL Equity</stp>
        <stp>LAST PRICE</stp>
        <tr r="G37" s="338"/>
      </tp>
      <tp t="s">
        <v>#N/A N/A</v>
        <stp/>
        <stp>BDP|9097540125672894597|22</stp>
        <stp>SMH US 12/26/25 P355 Equity</stp>
        <stp>bid</stp>
        <tr r="K75" s="89"/>
      </tp>
      <tp>
        <v>39.82</v>
        <stp/>
        <stp>BDP|15189910301226923788|22</stp>
        <stp>FXI Equity</stp>
        <stp>LAST_PRICE</stp>
        <tr r="H9" s="252"/>
        <tr r="H9" s="252"/>
      </tp>
      <tp>
        <v>89.363</v>
        <stp/>
        <stp>BDP|14735743812855208855|22</stp>
        <stp>MRVL Equity</stp>
        <stp>LAST_PRICE</stp>
        <tr r="I27" s="1"/>
      </tp>
      <tp>
        <v>2.62</v>
        <stp/>
        <stp>BDP|8082030159047074741|22</stp>
        <stp>NFLX US 03/20/26 P83 Equity</stp>
        <stp>ask</stp>
        <tr r="Q23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188.85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-3.9952646940946579E-2</v>
        <stp/>
        <stp>BDP|6222775794776934712|22</stp>
        <stp>NFLX US 03/20/26 P92 Equity</stp>
        <stp>theta_mid_rt</stp>
        <tr r="AN22" s="2"/>
      </tp>
      <tp>
        <v>4.63</v>
        <stp/>
        <stp>BDP|1603579272794795324|22</stp>
        <stp>MRVL US 03/20/26 P80 Equity</stp>
        <stp>mid</stp>
        <tr r="L14" s="2"/>
      </tp>
      <tp>
        <v>1.57</v>
        <stp/>
        <stp>BDP|1161171214054051929|22</stp>
        <stp>SMH US 01/09/26 P355 Equity</stp>
        <stp>ask</stp>
        <tr r="L76" s="89"/>
        <tr r="Q25" s="2"/>
      </tp>
      <tp t="s">
        <v>#N/A Real Time</v>
        <stp/>
        <stp>BDP|8340553546063687451|22</stp>
        <stp>4OK5C 21650 Index</stp>
        <stp>DELTA_MID_RT</stp>
        <tr r="W116" s="89"/>
      </tp>
      <tp>
        <v>56</v>
        <stp/>
        <stp>BDP|16808406762660954717|22</stp>
        <stp>MU US 03/20/26 P350 Equity</stp>
        <stp>bid</stp>
        <tr r="K81" s="89"/>
      </tp>
      <tp>
        <v>188.85</v>
        <stp/>
        <stp>BDP|10556089213855348182|22</stp>
        <stp>NVDA Equity</stp>
        <stp>LAST_PRICE</stp>
        <tr r="I21" s="1"/>
        <tr r="I22" s="1"/>
      </tp>
      <tp>
        <v>6.1</v>
        <stp/>
        <stp>BDP|3429946602385955361|22</stp>
        <stp>NFLX US 03/20/26 P92 Equity</stp>
        <stp>bid</stp>
        <tr r="P22" s="2"/>
        <tr r="K204" s="89"/>
      </tp>
      <tp>
        <v>102.36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0.01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  <tp>
        <v>-3.4020000603049994E-3</v>
        <stp/>
        <stp>BDP|11448270398588312303|22</stp>
        <stp>QQQ US 12/26/25 P610 Equity</stp>
        <stp>DELTA_MID_RT</stp>
        <tr r="W68" s="89"/>
      </tp>
      <tp>
        <v>155.74</v>
        <stp/>
        <stp>BDP|16076910053857732698|22</stp>
        <stp>BABA Equity</stp>
        <stp>LAST_PRICE</stp>
        <tr r="I38" s="1"/>
      </tp>
      <tp t="s">
        <v>#N/A Real Time</v>
        <stp/>
        <stp>BDP|16732714406053690944|22</stp>
        <stp>KMU5 Index</stp>
        <stp>LAST PRICE</stp>
        <tr r="L13" s="446"/>
      </tp>
      <tp>
        <v>66.510000000000005</v>
        <stp/>
        <stp>BDP|16675559367525942243|22</stp>
        <stp>TTE Equity</stp>
        <stp>LAST PRICE</stp>
        <tr r="I29" s="338"/>
      </tp>
      <tp>
        <v>3968.84</v>
        <stp/>
        <stp>BDP|8077747707676540560|22</stp>
        <stp>SHCOMP Index</stp>
        <stp>LAST_PRICE</stp>
        <tr r="H20" s="252"/>
        <tr r="H20" s="252"/>
      </tp>
      <tp t="s">
        <v>#N/A Real Time</v>
        <stp/>
        <stp>BDP|6417352138157192762|22</stp>
        <stp>QQQ US 12/15/25 P610 Equity</stp>
        <stp>bid</stp>
        <tr r="K63" s="89"/>
      </tp>
      <tp>
        <v>115.21</v>
        <stp/>
        <stp>BDP|11576966289528241643|22</stp>
        <stp>HOOD Equity</stp>
        <stp>LAST PRICE</stp>
        <tr r="L5" s="446"/>
        <tr r="L6" s="446"/>
      </tp>
      <tp>
        <v>386.11</v>
        <stp/>
        <stp>BDP|13530810646219131800|22</stp>
        <stp>LITE Equity</stp>
        <stp>LAST_PRICE</stp>
        <tr r="I18" s="1"/>
        <tr r="I19" s="1"/>
      </tp>
      <tp>
        <v>0.2044963538646698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>
        <v>259.95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N/A</v>
        <stp/>
        <stp>BDP|8060157925001873899|22</stp>
        <stp>4OZ5C 25750 Index</stp>
        <stp>bid</stp>
        <tr r="K153" s="89"/>
        <tr r="K154" s="89"/>
      </tp>
      <tp>
        <v>4.7</v>
        <stp/>
        <stp>BDP|8734482328934403813|22</stp>
        <stp>MRVL US 03/20/26 P80 Equity</stp>
        <stp>ask</stp>
        <tr r="Q14" s="2"/>
        <tr r="L56" s="89"/>
      </tp>
      <tp>
        <v>1.77</v>
        <stp/>
        <stp>BDP|8993060904794494053|22</stp>
        <stp>NFLX US 03/20/26 P80 Equity</stp>
        <stp>bid</stp>
        <tr r="K188" s="89"/>
      </tp>
      <tp>
        <v>3.87</v>
        <stp/>
        <stp>BDP|8017925761877094582|22</stp>
        <stp>QQQ US 01/09/26 P610 Equity</stp>
        <stp>mid</stp>
        <tr r="L17" s="2"/>
      </tp>
      <tp>
        <v>347.62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1.18</v>
        <stp/>
        <stp>BDP|5927816233268183393|22</stp>
        <stp>SMH US 01/09/26 P355 Equity</stp>
        <stp>mid</stp>
        <tr r="L25" s="2"/>
      </tp>
      <tp>
        <v>-0.57970833778381348</v>
        <stp/>
        <stp>BDP|16567055746554839531|22</stp>
        <stp>MU US 03/20/26 P350 Equity</stp>
        <stp>DELTA_MID_RT</stp>
        <tr r="W81" s="89"/>
      </tp>
      <tp>
        <v>28.51</v>
        <stp/>
        <stp>BDP|17128149864208754325|22</stp>
        <stp>WBD Equity</stp>
        <stp>LAST_PRICE</stp>
        <tr r="I39" s="1"/>
      </tp>
      <tp>
        <v>73.06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57.35</v>
        <stp/>
        <stp>BDP|10412858753154223263|22</stp>
        <stp>MU US 03/20/26 P350 Equity</stp>
        <stp>ask</stp>
        <tr r="L81" s="89"/>
      </tp>
      <tp>
        <v>-0.18862654268741608</v>
        <stp/>
        <stp>BDP|7543552706321273840|22</stp>
        <stp>AMZN US 03/20/26 P200 Equity</stp>
        <stp>DELTA_MID_RT</stp>
        <tr r="W197" s="89"/>
      </tp>
      <tp>
        <v>0.24823868274688721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>
        <v>0.4</v>
        <stp/>
        <stp>BDP|1125275189986841671|22</stp>
        <stp>SMH US 12/26/25 P355 Equity</stp>
        <stp>ask</stp>
        <tr r="L75" s="89"/>
      </tp>
      <tp>
        <v>5323.2</v>
        <stp/>
        <stp>BDP|13402169581729532440|22</stp>
        <stp>BKNG Equity</stp>
        <stp>LAST PRICE</stp>
        <tr r="G12" s="338"/>
      </tp>
      <tp>
        <v>-0.39354193210601807</v>
        <stp/>
        <stp>BDP|10022917708133461442|22</stp>
        <stp>QQQ US 01/09/26 P610 Equity</stp>
        <stp>DELTA_MID_RT</stp>
        <tr r="AF17" s="2"/>
      </tp>
      <tp>
        <v>0.6869814395904541</v>
        <stp/>
        <stp>BDP|16089778845299134572|22</stp>
        <stp>TSM US 03/20/26 C300 Equity</stp>
        <stp>DELTA_MID_RT</stp>
        <tr r="W13" s="89"/>
        <tr r="AF27" s="2"/>
      </tp>
      <tp>
        <v>5.15</v>
        <stp/>
        <stp>BDP|4874141046161399317|22</stp>
        <stp>NFLX US 03/20/26 P90 Equity</stp>
        <stp>bid</stp>
        <tr r="K187" s="89"/>
      </tp>
      <tp>
        <v>0.78</v>
        <stp/>
        <stp>BDP|4718342808891953704|22</stp>
        <stp>SMH US 01/09/26 P355 Equity</stp>
        <stp>bid</stp>
        <tr r="K76" s="89"/>
        <tr r="P25" s="2"/>
      </tp>
      <tp>
        <v>253.62</v>
        <stp/>
        <stp>BDP|18434337130911834676|22</stp>
        <stp>CRM Equity</stp>
        <stp>LAST PRICE</stp>
        <tr r="G31" s="338"/>
        <tr r="G32" s="338"/>
        <tr r="L9" s="446"/>
      </tp>
      <tp>
        <v>319.61</v>
        <stp/>
        <stp>BDP|13113113388917834281|22</stp>
        <stp>TSM Equity</stp>
        <stp>LAST_PRICE</stp>
        <tr r="I25" s="1"/>
        <tr r="I26" s="1"/>
      </tp>
      <tp>
        <v>-0.2491646409034729</v>
        <stp/>
        <stp>BDP|4306646786803793992|22</stp>
        <stp>META US 04/17/26 P590 Equity</stp>
        <stp>DELTA_MID_RT</stp>
        <tr r="W171" s="89"/>
      </tp>
      <tp>
        <v>9.25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  <tp>
        <v>5776</v>
        <stp/>
        <stp>BDP|18259571086573127790|22</stp>
        <stp>HCTA Index</stp>
        <stp>LAST PRICE</stp>
        <tr r="L12" s="446"/>
      </tp>
      <tp>
        <v>0.45523187518119812</v>
        <stp/>
        <stp>BDP|2513818947429436108|22</stp>
        <stp>AMZN US 03/20/26 C235 Equity</stp>
        <stp>DELTA_MID_RT</stp>
        <tr r="W196" s="89"/>
      </tp>
      <tp>
        <v>319.61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4629.9399999999996</v>
        <stp/>
        <stp>BDP|6933862981827794123|22</stp>
        <stp>SHSZ300 Index</stp>
        <stp>LAST_PRICE</stp>
        <tr r="H8" s="252"/>
        <tr r="H8" s="252"/>
      </tp>
      <tp>
        <v>6.22</v>
        <stp/>
        <stp>BDP|9830961858792761021|22</stp>
        <stp>NFLX US 03/20/26 P92 Equity</stp>
        <stp>mid</stp>
        <tr r="L2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P&amp;L'!$B$12:$B$40</c:f>
              <c:strCache>
                <c:ptCount val="29"/>
                <c:pt idx="0">
                  <c:v>QQQE</c:v>
                </c:pt>
                <c:pt idx="1">
                  <c:v>RSP</c:v>
                </c:pt>
                <c:pt idx="2">
                  <c:v>QQQ</c:v>
                </c:pt>
                <c:pt idx="3">
                  <c:v>QQQ</c:v>
                </c:pt>
                <c:pt idx="4">
                  <c:v>AMZN</c:v>
                </c:pt>
                <c:pt idx="5">
                  <c:v>META</c:v>
                </c:pt>
                <c:pt idx="6">
                  <c:v>LITE</c:v>
                </c:pt>
                <c:pt idx="7">
                  <c:v>LITE</c:v>
                </c:pt>
                <c:pt idx="8">
                  <c:v>RIOT</c:v>
                </c:pt>
                <c:pt idx="9">
                  <c:v>NVDA</c:v>
                </c:pt>
                <c:pt idx="10">
                  <c:v>NVDA</c:v>
                </c:pt>
                <c:pt idx="11">
                  <c:v>AVGO</c:v>
                </c:pt>
                <c:pt idx="12">
                  <c:v>AVGO</c:v>
                </c:pt>
                <c:pt idx="13">
                  <c:v>TSM</c:v>
                </c:pt>
                <c:pt idx="14">
                  <c:v>TSM</c:v>
                </c:pt>
                <c:pt idx="15">
                  <c:v>MRVL</c:v>
                </c:pt>
                <c:pt idx="16">
                  <c:v>SMH</c:v>
                </c:pt>
                <c:pt idx="17">
                  <c:v>SOXX</c:v>
                </c:pt>
                <c:pt idx="18">
                  <c:v>EWY</c:v>
                </c:pt>
                <c:pt idx="19">
                  <c:v>000660 KS</c:v>
                </c:pt>
                <c:pt idx="20">
                  <c:v>GDX </c:v>
                </c:pt>
                <c:pt idx="21">
                  <c:v>GDX </c:v>
                </c:pt>
                <c:pt idx="22">
                  <c:v>GDX </c:v>
                </c:pt>
                <c:pt idx="23">
                  <c:v>MSFT</c:v>
                </c:pt>
                <c:pt idx="24">
                  <c:v>MSFT</c:v>
                </c:pt>
                <c:pt idx="25">
                  <c:v>BIDU</c:v>
                </c:pt>
                <c:pt idx="26">
                  <c:v>BABA</c:v>
                </c:pt>
                <c:pt idx="27">
                  <c:v>WBD</c:v>
                </c:pt>
                <c:pt idx="28">
                  <c:v>NFLX</c:v>
                </c:pt>
              </c:strCache>
            </c:strRef>
          </c:cat>
          <c:val>
            <c:numRef>
              <c:f>'Master P&amp;L'!$J$12:$J$40</c:f>
              <c:numCache>
                <c:formatCode>0.00%</c:formatCode>
                <c:ptCount val="29"/>
                <c:pt idx="0">
                  <c:v>-8.6198547215496912E-3</c:v>
                </c:pt>
                <c:pt idx="1">
                  <c:v>-1.8115004399358314E-3</c:v>
                </c:pt>
                <c:pt idx="2">
                  <c:v>-1.0186784624574119E-2</c:v>
                </c:pt>
                <c:pt idx="3">
                  <c:v>-1.7937804738843433E-4</c:v>
                </c:pt>
                <c:pt idx="4">
                  <c:v>-2.5932137788672427E-2</c:v>
                </c:pt>
                <c:pt idx="5">
                  <c:v>-2.3335085216607987E-2</c:v>
                </c:pt>
                <c:pt idx="6">
                  <c:v>4.0223072363812618E-2</c:v>
                </c:pt>
                <c:pt idx="7">
                  <c:v>1.2083879423328892E-2</c:v>
                </c:pt>
                <c:pt idx="8">
                  <c:v>0.11496062992125999</c:v>
                </c:pt>
                <c:pt idx="9">
                  <c:v>6.9851764956809781E-3</c:v>
                </c:pt>
                <c:pt idx="10">
                  <c:v>-2.7986059773998928E-3</c:v>
                </c:pt>
                <c:pt idx="11">
                  <c:v>-6.374160354437719E-3</c:v>
                </c:pt>
                <c:pt idx="12">
                  <c:v>-3.0686282944736298E-3</c:v>
                </c:pt>
                <c:pt idx="13">
                  <c:v>6.6860271046131459E-2</c:v>
                </c:pt>
                <c:pt idx="14">
                  <c:v>5.0628930817611106E-3</c:v>
                </c:pt>
                <c:pt idx="15">
                  <c:v>3.0002305209773983E-2</c:v>
                </c:pt>
                <c:pt idx="16">
                  <c:v>2.7662326938427295E-2</c:v>
                </c:pt>
                <c:pt idx="17">
                  <c:v>2.8761642398005938E-2</c:v>
                </c:pt>
                <c:pt idx="18">
                  <c:v>3.6503751774487947E-2</c:v>
                </c:pt>
                <c:pt idx="19">
                  <c:v>3.9877300613496924E-2</c:v>
                </c:pt>
                <c:pt idx="20">
                  <c:v>-1.278212805158907E-2</c:v>
                </c:pt>
                <c:pt idx="21">
                  <c:v>-2.4687144482366308E-2</c:v>
                </c:pt>
                <c:pt idx="22">
                  <c:v>-7.6397731218890153E-3</c:v>
                </c:pt>
                <c:pt idx="23">
                  <c:v>-2.9826864691884891E-2</c:v>
                </c:pt>
                <c:pt idx="24">
                  <c:v>3.8074287164735487E-4</c:v>
                </c:pt>
                <c:pt idx="25">
                  <c:v>-3.315649867373982E-3</c:v>
                </c:pt>
                <c:pt idx="26">
                  <c:v>-3.7103377686795724E-3</c:v>
                </c:pt>
                <c:pt idx="27">
                  <c:v>-1.4858327574291619E-2</c:v>
                </c:pt>
                <c:pt idx="28">
                  <c:v>-2.9857112390701657E-2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24.765520370369" createdVersion="8" refreshedVersion="8" minRefreshableVersion="3" recordCount="29" xr:uid="{C35D4399-4CEF-409A-AF8E-A02DC4C552E4}">
  <cacheSource type="worksheet">
    <worksheetSource name="Tabelad"/>
  </cacheSource>
  <cacheFields count="34">
    <cacheField name="Ticker" numFmtId="172">
      <sharedItems containsBlank="1" count="174">
        <s v="QQQE"/>
        <s v="RSP"/>
        <s v="QQQ"/>
        <s v="AMZN"/>
        <s v="META"/>
        <s v="LITE"/>
        <s v="RIOT"/>
        <s v="NVDA"/>
        <s v="AVGO"/>
        <s v="TSM"/>
        <s v="MRVL"/>
        <s v="SMH"/>
        <s v="SOXX"/>
        <s v="EWY"/>
        <s v="000660 KS"/>
        <s v="GDX "/>
        <s v="MSFT"/>
        <s v="BIDU"/>
        <s v="BABA"/>
        <s v="WBD"/>
        <s v="NFLX"/>
        <s v="GDX" u="1"/>
        <s v="COHR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China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31500"/>
    </cacheField>
    <cacheField name="Price Today" numFmtId="43">
      <sharedItems containsSemiMixedTypes="0" containsString="0" containsNumber="1" minValue="14.16" maxValue="678000"/>
    </cacheField>
    <cacheField name="% Chg" numFmtId="10">
      <sharedItems containsSemiMixedTypes="0" containsString="0" containsNumber="1" minValue="-2.9857112390701657E-2" maxValue="0.11496062992125999"/>
    </cacheField>
    <cacheField name="Price Yest" numFmtId="43">
      <sharedItems containsSemiMixedTypes="0" containsString="0" containsNumber="1" minValue="12.7" maxValue="652000"/>
    </cacheField>
    <cacheField name="FX" numFmtId="168">
      <sharedItems containsSemiMixedTypes="0" containsString="0" containsNumber="1" minValue="1" maxValue="1444.7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6817176" maxValue="4502184"/>
    </cacheField>
    <cacheField name="D1 Exp %" numFmtId="198">
      <sharedItems containsSemiMixedTypes="0" containsString="0" containsNumber="1" minValue="-3.0234686805348755E-3" maxValue="1.9967523675500278E-3"/>
    </cacheField>
    <cacheField name="D1 P&amp;L bps" numFmtId="170">
      <sharedItems containsSemiMixedTypes="0" containsString="0" containsNumber="1" minValue="-0.21925236738925669" maxValue="0.43829007714881629"/>
    </cacheField>
    <cacheField name="Options Exp USD (delta adj)" numFmtId="166">
      <sharedItems containsString="0" containsBlank="1" containsNumber="1" minValue="-11345071.204711914" maxValue="4904766.0311952224"/>
    </cacheField>
    <cacheField name="Option Exp %" numFmtId="0">
      <sharedItems containsString="0" containsBlank="1" containsNumber="1" minValue="-5.0316241601925113E-3" maxValue="2.1753005174972887E-3"/>
    </cacheField>
    <cacheField name="Options P&amp;L bps" numFmtId="170">
      <sharedItems containsString="0" containsBlank="1" containsNumber="1" minValue="-0.26843291399455338" maxValue="1.3671118668124096"/>
    </cacheField>
    <cacheField name="Exp" numFmtId="166">
      <sharedItems containsSemiMixedTypes="0" containsString="0" containsNumber="1" minValue="-11345071.204711914" maxValue="5623888.5311952224"/>
    </cacheField>
    <cacheField name="Exp %" numFmtId="173">
      <sharedItems containsSemiMixedTypes="0" containsString="0" containsNumber="1" minValue="-5.0316241601925113E-3" maxValue="2.4942367392140146E-3"/>
    </cacheField>
    <cacheField name="P&amp;L bps" numFmtId="170">
      <sharedItems containsSemiMixedTypes="0" containsString="0" containsNumber="1" minValue="-0.48768528138381007" maxValue="1.5669896090916255"/>
    </cacheField>
    <cacheField name="xx" numFmtId="166">
      <sharedItems containsMixedTypes="1" containsNumber="1" minValue="3466.6645731154199" maxValue="159233.9904661017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09.999999999996" maxValue="11025"/>
    </cacheField>
    <cacheField name="Beta Adj" numFmtId="170">
      <sharedItems containsSemiMixedTypes="0" containsString="0" containsNumber="1" minValue="-0.31084456744891564" maxValue="0.44688598649819516"/>
    </cacheField>
    <cacheField name="Expo Beta Adj" numFmtId="10">
      <sharedItems containsSemiMixedTypes="0" containsString="0" containsNumber="1" minValue="-5.0365252595182793E-3" maxValue="4.2231929635402508E-3"/>
    </cacheField>
    <cacheField name="Vol 10d" numFmtId="43">
      <sharedItems containsSemiMixedTypes="0" containsString="0" containsNumber="1" minValue="7.61875273400838" maxValue="92.33607147647605"/>
    </cacheField>
    <cacheField name="Beta Adj2" numFmtId="43">
      <sharedItems containsSemiMixedTypes="0" containsString="0" containsNumber="1" minValue="0.8696519136428833" maxValue="2.0374855995178223"/>
    </cacheField>
    <cacheField name="Daily P&amp;L" numFmtId="166">
      <sharedItems containsSemiMixedTypes="0" containsString="0" containsNumber="1" minValue="-46216.381923875328" maxValue="92387.515994260699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1.7762259999999999E-3" maxValue="3.9189439999999999E-2"/>
    </cacheField>
    <cacheField name="Column4" numFmtId="170">
      <sharedItems containsMixedTypes="1" containsNumber="1" minValue="-0.45867682049415703" maxValue="0.48771270801493199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m/>
    <s v="USD"/>
    <s v="Short"/>
    <m/>
    <n v="-66600"/>
    <n v="102.36"/>
    <n v="-8.6198547215496912E-3"/>
    <n v="103.25"/>
    <n v="1"/>
    <n v="1"/>
    <n v="-6817176"/>
    <n v="-3.0234686805348755E-3"/>
    <n v="0.26288463517741706"/>
    <n v="0"/>
    <n v="0"/>
    <n v="0"/>
    <n v="-6817176"/>
    <n v="-3.0234686805348755E-3"/>
    <n v="0.26288463517741706"/>
    <n v="22027.679806565066"/>
    <m/>
    <n v="-23309.999999999996"/>
    <n v="-0.16065205206073818"/>
    <n v="-3.0179925548895112E-3"/>
    <n v="8.5016023136614098"/>
    <n v="0.99818879365921021"/>
    <n v="55413.662556755888"/>
    <m/>
    <s v="#N/A N/A"/>
    <n v="1.1631339999999999E-2"/>
    <n v="-0.35166992202652514"/>
    <s v="23/12/2025"/>
  </r>
  <r>
    <x v="1"/>
    <x v="0"/>
    <m/>
    <s v="USD"/>
    <s v="Short"/>
    <m/>
    <n v="-11612"/>
    <n v="192.86"/>
    <n v="-1.8115004399358314E-3"/>
    <n v="193.21"/>
    <n v="1"/>
    <n v="1"/>
    <n v="-2239490.3200000003"/>
    <n v="-9.9323075168970668E-4"/>
    <n v="1.8025031789453055E-2"/>
    <n v="0"/>
    <n v="0"/>
    <n v="0"/>
    <n v="-2239490.3200000003"/>
    <n v="-9.9323075168970668E-4"/>
    <n v="1.8025031789453055E-2"/>
    <n v="11691.140231255833"/>
    <m/>
    <n v="-4064.2000000000007"/>
    <n v="-4.7294871905857197E-2"/>
    <n v="-9.8948935639234107E-4"/>
    <n v="7.61875273400838"/>
    <n v="0.99623310565948486"/>
    <n v="3799.5108709242413"/>
    <m/>
    <s v="#N/A N/A"/>
    <e v="#VALUE!"/>
    <e v="#VALUE!"/>
    <s v="22/12/2025"/>
  </r>
  <r>
    <x v="2"/>
    <x v="0"/>
    <m/>
    <s v="USD"/>
    <s v="Long"/>
    <m/>
    <n v="0"/>
    <n v="613.12"/>
    <n v="-1.0186784624574119E-2"/>
    <n v="619.42999999999995"/>
    <n v="1"/>
    <n v="1"/>
    <n v="0"/>
    <n v="0"/>
    <n v="0"/>
    <n v="-11345071.204711914"/>
    <n v="-5.0316241601925113E-3"/>
    <n v="1.2679879407028971E-2"/>
    <n v="-11345071.204711914"/>
    <n v="-5.0316241601925113E-3"/>
    <n v="1.2679879407028971E-2"/>
    <n v="3677.5073476644052"/>
    <m/>
    <n v="-6476.3421869277954"/>
    <n v="-0.31084456744891564"/>
    <n v="-5.0365252595182793E-3"/>
    <n v="9.8845083035620895"/>
    <n v="1.0009740591049194"/>
    <n v="0"/>
    <m/>
    <s v="#N/A N/A"/>
    <n v="9.1158799999999998E-3"/>
    <n v="-0.45867682049415703"/>
    <s v="22/12/2025"/>
  </r>
  <r>
    <x v="2"/>
    <x v="0"/>
    <m/>
    <s v="USD"/>
    <s v="Long"/>
    <m/>
    <n v="3261"/>
    <n v="613.12"/>
    <n v="-1.7937804738843433E-4"/>
    <n v="613.23"/>
    <n v="1"/>
    <n v="1"/>
    <n v="1999384.32"/>
    <n v="8.8674194004563175E-4"/>
    <n v="-1.5909057509954265E-3"/>
    <m/>
    <m/>
    <m/>
    <n v="1999384.32"/>
    <n v="8.8674194004563175E-4"/>
    <n v="-1.5909057509954265E-3"/>
    <n v="3677.5073476644052"/>
    <m/>
    <n v="1141.3499999999997"/>
    <n v="5.4781300434361267E-2"/>
    <n v="8.8760567910604708E-4"/>
    <n v="9.8845083035620895"/>
    <n v="1.0009740591049194"/>
    <n v="-335.34829597692675"/>
    <m/>
    <s v="#N/A N/A"/>
    <n v="9.1158799999999998E-3"/>
    <n v="8.0834331164231735E-2"/>
    <s v="22/12/2025"/>
  </r>
  <r>
    <x v="3"/>
    <x v="1"/>
    <m/>
    <s v="USD"/>
    <s v="Long"/>
    <m/>
    <n v="7500"/>
    <n v="226.5"/>
    <n v="-2.5932137788672427E-2"/>
    <n v="232.53"/>
    <n v="1"/>
    <n v="1"/>
    <n v="1698750"/>
    <n v="7.5340836455720377E-4"/>
    <n v="-0.2005762665907258"/>
    <n v="0"/>
    <n v="0"/>
    <n v="0"/>
    <n v="1698750"/>
    <n v="7.5340836455720377E-4"/>
    <n v="-0.2005762665907258"/>
    <n v="9954.7607284768219"/>
    <m/>
    <n v="2625"/>
    <n v="7.1153317717609854E-2"/>
    <n v="9.5623934371447279E-4"/>
    <n v="15.110704062210059"/>
    <n v="1.269217848777771"/>
    <n v="-42279.63169567236"/>
    <m/>
    <s v="06/02/2026"/>
    <n v="1.7762259999999999E-3"/>
    <n v="1.3382235257439836E-2"/>
    <s v="#N/A Field Not Applicable"/>
  </r>
  <r>
    <x v="4"/>
    <x v="1"/>
    <m/>
    <s v="USD"/>
    <s v="Long"/>
    <m/>
    <n v="2500"/>
    <n v="650.41"/>
    <n v="-2.3335085216607987E-2"/>
    <n v="665.95"/>
    <n v="1"/>
    <n v="1"/>
    <n v="1626025"/>
    <n v="7.2115428166541701E-4"/>
    <n v="-0.17230266350579845"/>
    <n v="1443540.939196646"/>
    <n v="6.4022123218337892E-4"/>
    <n v="-0.16210199102025491"/>
    <n v="3069565.9391966462"/>
    <n v="1.3613755138487962E-3"/>
    <n v="-0.33440465452605339"/>
    <n v="3466.6645731154199"/>
    <m/>
    <n v="1651.8012925982475"/>
    <n v="0.11495284110973059"/>
    <n v="1.6629238137463398E-3"/>
    <n v="13.510199346511595"/>
    <n v="1.2215026617050171"/>
    <n v="-36319.816282518063"/>
    <m/>
    <s v="29/01/2026"/>
    <e v="#VALUE!"/>
    <e v="#VALUE!"/>
    <s v="15/12/2025"/>
  </r>
  <r>
    <x v="5"/>
    <x v="2"/>
    <m/>
    <s v="USD"/>
    <s v="Long"/>
    <m/>
    <n v="133"/>
    <n v="386.11"/>
    <n v="4.0223072363812618E-2"/>
    <n v="371.18"/>
    <n v="1"/>
    <n v="1"/>
    <n v="51352.630000000005"/>
    <n v="2.2775276517445888E-5"/>
    <n v="8.8066840642684E-3"/>
    <n v="1164630.8453674614"/>
    <n v="5.165225139197485E-4"/>
    <n v="0.17862264537184025"/>
    <n v="1215983.4753674613"/>
    <n v="5.3929779043719432E-4"/>
    <n v="0.18742932943610865"/>
    <n v="5839.6656522752583"/>
    <m/>
    <n v="1102.2615741074083"/>
    <n v="0.23022984884203435"/>
    <n v="1.0927649440169217E-3"/>
    <n v="68.305074613531986"/>
    <n v="2.0262737274169922"/>
    <n v="1856.3679792543874"/>
    <m/>
    <s v="06/02/2026"/>
    <e v="#VALUE!"/>
    <e v="#VALUE!"/>
    <s v="#N/A N/A"/>
  </r>
  <r>
    <x v="5"/>
    <x v="2"/>
    <m/>
    <s v="USD"/>
    <s v="Long"/>
    <m/>
    <n v="655"/>
    <n v="386.11"/>
    <n v="1.2083879423328892E-2"/>
    <n v="381.5"/>
    <n v="1"/>
    <n v="1"/>
    <n v="252902.05000000002"/>
    <n v="1.1216395578140643E-4"/>
    <n v="1.3391930697269823E-2"/>
    <m/>
    <m/>
    <m/>
    <n v="252902.05000000002"/>
    <n v="1.1216395578140643E-4"/>
    <n v="1.3391930697269823E-2"/>
    <n v="5839.6656522752583"/>
    <m/>
    <n v="229.25"/>
    <n v="4.7883546053736681E-2"/>
    <n v="2.272748767630251E-4"/>
    <n v="68.305074613531986"/>
    <n v="2.0262737274169922"/>
    <n v="2822.8957852220638"/>
    <m/>
    <s v="06/02/2026"/>
    <e v="#VALUE!"/>
    <e v="#VALUE!"/>
    <s v="#N/A N/A"/>
  </r>
  <r>
    <x v="6"/>
    <x v="3"/>
    <m/>
    <s v="USD"/>
    <s v="Long"/>
    <m/>
    <n v="22000"/>
    <n v="14.16"/>
    <n v="0.11496062992125999"/>
    <n v="12.7"/>
    <n v="1"/>
    <n v="1"/>
    <n v="311520"/>
    <n v="1.3816145620418549E-4"/>
    <n v="0.14245460879810096"/>
    <n v="0"/>
    <n v="0"/>
    <n v="0"/>
    <n v="311520"/>
    <n v="1.3816145620418549E-4"/>
    <n v="0.14245460879810096"/>
    <n v="159233.99046610171"/>
    <m/>
    <n v="7699.9999999999991"/>
    <n v="7.9733038096023043E-2"/>
    <n v="2.8011483021665213E-4"/>
    <n v="92.33607147647605"/>
    <n v="2.0274455547332764"/>
    <n v="30028.12095223874"/>
    <m/>
    <s v="24/02/2026"/>
    <n v="2.288871E-2"/>
    <n v="3.1623375042353026E-2"/>
    <s v="12/10/2017"/>
  </r>
  <r>
    <x v="7"/>
    <x v="4"/>
    <m/>
    <s v="USD"/>
    <s v="Long"/>
    <m/>
    <n v="23840"/>
    <n v="188.85"/>
    <n v="6.9851764956809781E-3"/>
    <n v="187.54"/>
    <n v="1"/>
    <n v="1"/>
    <n v="4502184"/>
    <n v="1.9967523675500278E-3"/>
    <n v="0.13850916608369293"/>
    <n v="525369.06475201237"/>
    <n v="2.3300512015526789E-4"/>
    <n v="-5.5438437421427838E-4"/>
    <n v="5027553.0647520125"/>
    <n v="2.2297574877052956E-3"/>
    <n v="0.13795478170947864"/>
    <n v="11939.387370929309"/>
    <m/>
    <n v="9317.6784361302853"/>
    <n v="0.38291032547579107"/>
    <n v="4.2231929635402508E-3"/>
    <n v="27.476374634434674"/>
    <n v="1.8940144777297974"/>
    <n v="29196.457926114501"/>
    <m/>
    <s v="26/02/2026"/>
    <n v="1.6997310000000002E-2"/>
    <n v="0.378998792433481"/>
    <s v="04/12/2025"/>
  </r>
  <r>
    <x v="7"/>
    <x v="4"/>
    <m/>
    <s v="USD"/>
    <s v="Long"/>
    <m/>
    <n v="1320"/>
    <n v="188.85"/>
    <n v="-2.7986059773998928E-3"/>
    <n v="189.38"/>
    <n v="1"/>
    <n v="1"/>
    <n v="249282"/>
    <n v="1.1055843645830691E-4"/>
    <n v="-3.1027784656024772E-3"/>
    <m/>
    <m/>
    <m/>
    <n v="249282"/>
    <n v="1.1055843645830691E-4"/>
    <n v="-3.1027784656024772E-3"/>
    <n v="11939.387370929309"/>
    <m/>
    <n v="462"/>
    <n v="1.8985906369536135E-2"/>
    <n v="2.0939927928720315E-4"/>
    <n v="27.476374634434674"/>
    <n v="1.8940144777297974"/>
    <n v="-654.0371549871187"/>
    <m/>
    <s v="26/02/2026"/>
    <n v="1.6997310000000002E-2"/>
    <n v="1.8791960175971446E-2"/>
    <s v="04/12/2025"/>
  </r>
  <r>
    <x v="8"/>
    <x v="4"/>
    <m/>
    <s v="USD"/>
    <s v="Long"/>
    <m/>
    <n v="5650"/>
    <n v="347.62"/>
    <n v="-6.374160354437719E-3"/>
    <n v="349.85"/>
    <n v="1"/>
    <n v="1"/>
    <n v="1964053"/>
    <n v="8.710722346629402E-4"/>
    <n v="-5.5879727383302817E-2"/>
    <n v="335475.8650690316"/>
    <n v="1.4878606201623092E-4"/>
    <n v="-7.8722581138427564E-3"/>
    <n v="2299528.8650690317"/>
    <n v="1.0198582966791713E-3"/>
    <n v="-6.3751985497145572E-2"/>
    <n v="6486.258860249698"/>
    <m/>
    <n v="2315.2727195620537"/>
    <n v="0.1376404633690774"/>
    <n v="2.0779465930325864E-3"/>
    <n v="21.59366081617538"/>
    <n v="2.0374855995178223"/>
    <n v="-11778.932438908307"/>
    <m/>
    <s v="06/03/2026"/>
    <n v="1.964747E-2"/>
    <n v="0.20037635288255115"/>
    <s v="22/12/2025"/>
  </r>
  <r>
    <x v="8"/>
    <x v="4"/>
    <m/>
    <s v="USD"/>
    <s v="Long"/>
    <m/>
    <n v="715"/>
    <n v="347.62"/>
    <n v="-3.0686282944736298E-3"/>
    <n v="348.69"/>
    <n v="1"/>
    <n v="1"/>
    <n v="248548.30000000002"/>
    <n v="1.102330350060181E-4"/>
    <n v="-3.3930541239410453E-3"/>
    <m/>
    <m/>
    <m/>
    <n v="248548.30000000002"/>
    <n v="1.102330350060181E-4"/>
    <n v="-3.3930541239410453E-3"/>
    <n v="6486.258860249698"/>
    <m/>
    <n v="250.25"/>
    <n v="1.4877092304109638E-2"/>
    <n v="2.2459822141590588E-4"/>
    <n v="21.59366081617538"/>
    <n v="2.0374855995178223"/>
    <n v="-715.22459322883208"/>
    <m/>
    <s v="06/03/2026"/>
    <n v="1.964747E-2"/>
    <n v="2.1658002482896909E-2"/>
    <s v="22/12/2025"/>
  </r>
  <r>
    <x v="9"/>
    <x v="4"/>
    <m/>
    <s v="USD"/>
    <s v="Long"/>
    <m/>
    <n v="2250"/>
    <n v="319.61"/>
    <n v="6.6860271046131459E-2"/>
    <n v="299.58"/>
    <n v="1"/>
    <n v="1"/>
    <n v="719122.5"/>
    <n v="3.1893622171672568E-4"/>
    <n v="0.19987774227921604"/>
    <n v="4904766.0311952224"/>
    <n v="2.1753005174972887E-3"/>
    <n v="1.3671118668124096"/>
    <n v="5623888.5311952224"/>
    <n v="2.4942367392140146E-3"/>
    <n v="1.5669896090916255"/>
    <n v="7054.7019961828482"/>
    <m/>
    <n v="6158.6339160799962"/>
    <n v="0.44688598649819516"/>
    <n v="3.7526848069915661E-3"/>
    <n v="28.666788807802945"/>
    <n v="1.504542350769043"/>
    <n v="42132.389197229772"/>
    <m/>
    <s v="15/01/2026"/>
    <e v="#VALUE!"/>
    <e v="#VALUE!"/>
    <s v="17/03/2026"/>
  </r>
  <r>
    <x v="9"/>
    <x v="4"/>
    <m/>
    <s v="USD"/>
    <s v="Long"/>
    <m/>
    <n v="2199"/>
    <n v="319.61"/>
    <n v="5.0628930817611106E-3"/>
    <n v="318"/>
    <n v="1"/>
    <n v="1"/>
    <n v="702822.39"/>
    <n v="3.1170700069114656E-4"/>
    <n v="1.5701895156996031E-2"/>
    <m/>
    <m/>
    <m/>
    <n v="702822.39"/>
    <n v="3.1170700069114656E-4"/>
    <n v="1.5701895156996031E-2"/>
    <n v="7054.7019961828482"/>
    <m/>
    <n v="769.64999999999986"/>
    <n v="5.5847742242042406E-2"/>
    <n v="4.6897638357102533E-4"/>
    <n v="28.666788807802945"/>
    <n v="1.504542350769043"/>
    <n v="3309.8150416593189"/>
    <m/>
    <s v="15/01/2026"/>
    <e v="#VALUE!"/>
    <e v="#VALUE!"/>
    <s v="17/03/2026"/>
  </r>
  <r>
    <x v="10"/>
    <x v="4"/>
    <m/>
    <s v="USD"/>
    <s v="Short"/>
    <m/>
    <n v="-1000"/>
    <n v="89.363"/>
    <n v="3.0002305209773983E-2"/>
    <n v="86.76"/>
    <n v="1"/>
    <n v="1"/>
    <n v="-89363"/>
    <n v="-3.9633160666328418E-5"/>
    <n v="-1.1544500208638101E-2"/>
    <n v="-597562.51973524701"/>
    <n v="-2.6502345884586563E-4"/>
    <n v="-0.10089795610699864"/>
    <n v="-686925.51973524701"/>
    <n v="-3.0465661951219403E-4"/>
    <n v="-0.11244245631563675"/>
    <n v="25231.396719000037"/>
    <m/>
    <n v="-2690.4192104935646"/>
    <n v="-7.2354164014899525E-2"/>
    <n v="-6.1567279371207181E-4"/>
    <n v="37.999063538878929"/>
    <n v="2.0208745002746582"/>
    <n v="-2433.4744345789923"/>
    <m/>
    <s v="05/03/2026"/>
    <n v="2.0828389999999999E-2"/>
    <n v="-6.3455068872815865E-2"/>
    <s v="09/01/2026"/>
  </r>
  <r>
    <x v="11"/>
    <x v="4"/>
    <m/>
    <s v="USD"/>
    <s v="Short"/>
    <m/>
    <n v="0"/>
    <n v="373.36"/>
    <n v="2.7662326938427295E-2"/>
    <n v="363.31"/>
    <n v="1"/>
    <n v="1"/>
    <n v="0"/>
    <n v="0"/>
    <n v="0"/>
    <n v="-319235.50302267075"/>
    <n v="-1.4158333965616284E-4"/>
    <n v="-4.6989619558402196E-2"/>
    <n v="-319235.50302267075"/>
    <n v="-1.4158333965616284E-4"/>
    <n v="-4.6989619558402196E-2"/>
    <n v="6039.0864179344335"/>
    <m/>
    <n v="-299.26190823316568"/>
    <n v="-2.197167494586507E-2"/>
    <n v="-1.4123733964484377E-4"/>
    <n v="24.829672755818414"/>
    <n v="0.99755620956420898"/>
    <n v="0"/>
    <m/>
    <s v="#N/A N/A"/>
    <n v="2.446338E-2"/>
    <n v="-3.463607039677781E-2"/>
    <s v="22/12/2025"/>
  </r>
  <r>
    <x v="12"/>
    <x v="4"/>
    <m/>
    <s v="USD"/>
    <s v="Short"/>
    <m/>
    <n v="-4832"/>
    <n v="313.69"/>
    <n v="2.8761642398005938E-2"/>
    <n v="304.92"/>
    <n v="1"/>
    <n v="1"/>
    <n v="-1515750.08"/>
    <n v="-6.7224652765283347E-4"/>
    <n v="-0.18794357638162953"/>
    <n v="0"/>
    <n v="0"/>
    <n v="0"/>
    <n v="-1515750.08"/>
    <n v="-6.7224652765283347E-4"/>
    <n v="-0.18794357638162953"/>
    <n v="7187.8392840065035"/>
    <m/>
    <n v="-1691.2000000000003"/>
    <n v="-0.11978904838019577"/>
    <n v="-6.6930766571228885E-4"/>
    <n v="28.510742640428038"/>
    <n v="0.99562829732894897"/>
    <n v="-39616.776820344792"/>
    <m/>
    <s v="#N/A N/A"/>
    <e v="#VALUE!"/>
    <e v="#VALUE!"/>
    <s v="30/12/2025"/>
  </r>
  <r>
    <x v="13"/>
    <x v="5"/>
    <m/>
    <s v="USD"/>
    <s v="Long"/>
    <m/>
    <n v="27451"/>
    <n v="102.22"/>
    <n v="3.6503751774487947E-2"/>
    <n v="98.62"/>
    <n v="1"/>
    <n v="1"/>
    <n v="2806041.2199999997"/>
    <n v="1.2445003246153352E-3"/>
    <n v="0.43829007714881629"/>
    <n v="0"/>
    <n v="0"/>
    <n v="0"/>
    <n v="2806041.2199999997"/>
    <n v="1.2445003246153352E-3"/>
    <n v="0.43829007714881629"/>
    <n v="22057.848806495796"/>
    <m/>
    <n v="9607.8499999999985"/>
    <n v="0.21986374777880699"/>
    <n v="1.1490147685874004E-3"/>
    <n v="28.266926853138752"/>
    <n v="0.92327398061752319"/>
    <n v="92387.515994260699"/>
    <m/>
    <s v="#N/A N/A"/>
    <n v="3.9189439999999999E-2"/>
    <n v="0.48771270801493199"/>
    <s v="16/12/2025"/>
  </r>
  <r>
    <x v="14"/>
    <x v="5"/>
    <m/>
    <s v="KRW"/>
    <s v="Long"/>
    <m/>
    <n v="1500"/>
    <n v="678000"/>
    <n v="3.9877300613496924E-2"/>
    <n v="652000"/>
    <n v="1444.7"/>
    <n v="1"/>
    <n v="703952.37765626074"/>
    <n v="3.1220815869089535E-4"/>
    <n v="0.11972584256583008"/>
    <n v="0"/>
    <n v="0"/>
    <n v="0"/>
    <n v="703952.37765626074"/>
    <n v="3.1220815869089535E-4"/>
    <n v="0.11972584256583008"/>
    <n v="4804.4868727632747"/>
    <m/>
    <n v="0.36339724510278942"/>
    <n v="7.713676242950164E-2"/>
    <n v="5.1061706795527671E-4"/>
    <n v="39.530940000000001"/>
    <n v="1.635502"/>
    <n v="25237.106135125374"/>
    <m/>
    <s v="22/01/2026"/>
    <e v="#VALUE!"/>
    <e v="#VALUE!"/>
    <s v="27/11/2025"/>
  </r>
  <r>
    <x v="15"/>
    <x v="6"/>
    <m/>
    <s v="USD"/>
    <s v="Long"/>
    <m/>
    <n v="5766"/>
    <n v="85.73"/>
    <n v="-1.278212805158907E-2"/>
    <n v="86.84"/>
    <n v="1"/>
    <m/>
    <n v="494319.18000000005"/>
    <n v="2.1923426341313205E-4"/>
    <n v="-2.8022804282424624E-2"/>
    <m/>
    <m/>
    <m/>
    <n v="494319.18000000005"/>
    <n v="2.1923426341313205E-4"/>
    <n v="-2.8022804282424624E-2"/>
    <e v="#DIV/0!"/>
    <m/>
    <n v="2018.1000000000001"/>
    <n v="5.9459590624837168E-2"/>
    <n v="2.1653638512450469E-4"/>
    <n v="43.394378013104358"/>
    <n v="0.98769408464431763"/>
    <n v="-5906.9493329357128"/>
    <m/>
    <s v="#N/A N/A"/>
    <n v="1.492371E-2"/>
    <n v="3.2717885692411929E-2"/>
    <s v="22/12/2025"/>
  </r>
  <r>
    <x v="15"/>
    <x v="6"/>
    <m/>
    <s v="USD"/>
    <s v="Long"/>
    <m/>
    <n v="2840"/>
    <n v="85.73"/>
    <n v="-2.4687144482366308E-2"/>
    <n v="87.9"/>
    <n v="1"/>
    <m/>
    <n v="243473.2"/>
    <n v="1.0798219009595819E-4"/>
    <n v="-2.6657719284212643E-2"/>
    <m/>
    <m/>
    <m/>
    <n v="243473.2"/>
    <n v="1.0798219009595819E-4"/>
    <n v="-2.6657719284212643E-2"/>
    <e v="#DIV/0!"/>
    <m/>
    <n v="993.99999999999989"/>
    <n v="2.9286374848168144E-2"/>
    <n v="1.0665337040471613E-4"/>
    <n v="43.394378013104358"/>
    <n v="0.98769408464431763"/>
    <n v="-5619.2019740946107"/>
    <m/>
    <s v="#N/A N/A"/>
    <n v="1.492371E-2"/>
    <n v="1.6114948901569524E-2"/>
    <s v="22/12/2025"/>
  </r>
  <r>
    <x v="15"/>
    <x v="6"/>
    <m/>
    <s v="USD"/>
    <s v="Long"/>
    <m/>
    <n v="4056"/>
    <n v="85.73"/>
    <n v="-7.6397731218890153E-3"/>
    <n v="86.39"/>
    <n v="1"/>
    <m/>
    <n v="347720.88"/>
    <n v="1.5421681796803043E-4"/>
    <n v="-1.1781815008554099E-2"/>
    <m/>
    <m/>
    <m/>
    <n v="347720.88"/>
    <n v="1.5421681796803043E-4"/>
    <n v="-1.1781815008554099E-2"/>
    <e v="#DIV/0!"/>
    <m/>
    <n v="1419.5999999999997"/>
    <n v="4.1825893093017603E-2"/>
    <n v="1.5231903885969318E-4"/>
    <n v="43.394378013104358"/>
    <n v="0.98769408464431763"/>
    <n v="-2483.4982111051254"/>
    <m/>
    <s v="#N/A N/A"/>
    <n v="1.492371E-2"/>
    <n v="2.3014870684776752E-2"/>
    <s v="22/12/2025"/>
  </r>
  <r>
    <x v="16"/>
    <x v="7"/>
    <m/>
    <s v="USD"/>
    <s v="Long"/>
    <m/>
    <n v="3400"/>
    <n v="472.94"/>
    <n v="-2.9826864691884891E-2"/>
    <n v="487.48"/>
    <n v="1"/>
    <n v="1"/>
    <n v="1607996"/>
    <n v="7.1315828495924964E-4"/>
    <n v="-0.21925236738925669"/>
    <n v="1916702.168571949"/>
    <n v="8.5007178582312758E-4"/>
    <n v="-0.26843291399455338"/>
    <n v="3524698.168571949"/>
    <n v="1.5632300707823772E-3"/>
    <n v="-0.48768528138381007"/>
    <n v="4767.5250666046441"/>
    <m/>
    <n v="2608.4584915637965"/>
    <n v="0.13820122996306899"/>
    <n v="1.6035207658707299E-3"/>
    <n v="14.145196671545705"/>
    <n v="1.0257740020751953"/>
    <n v="-46216.381923875328"/>
    <m/>
    <s v="29/01/2026"/>
    <e v="#VALUE!"/>
    <e v="#VALUE!"/>
    <s v="19/02/2026"/>
  </r>
  <r>
    <x v="16"/>
    <x v="7"/>
    <m/>
    <s v="USD"/>
    <s v="Long"/>
    <m/>
    <n v="1060"/>
    <n v="472.94"/>
    <n v="3.8074287164735487E-4"/>
    <n v="472.76"/>
    <n v="1"/>
    <n v="1"/>
    <n v="501316.4"/>
    <n v="2.2233758295788373E-4"/>
    <n v="8.4621230880070598E-4"/>
    <m/>
    <m/>
    <m/>
    <n v="501316.4"/>
    <n v="2.2233758295788373E-4"/>
    <n v="8.4621230880070598E-4"/>
    <n v="4767.5250666046441"/>
    <m/>
    <n v="371"/>
    <n v="1.9656305240096088E-2"/>
    <n v="2.2806811228243414E-4"/>
    <n v="14.145196671545705"/>
    <n v="1.0257740020751953"/>
    <n v="178.37376954194784"/>
    <m/>
    <s v="29/01/2026"/>
    <e v="#VALUE!"/>
    <e v="#VALUE!"/>
    <s v="19/02/2026"/>
  </r>
  <r>
    <x v="17"/>
    <x v="8"/>
    <m/>
    <s v="USD"/>
    <s v="Long"/>
    <m/>
    <n v="1990"/>
    <n v="150.30000000000001"/>
    <n v="-3.315649867373982E-3"/>
    <n v="150.80000000000001"/>
    <n v="1"/>
    <m/>
    <n v="299097"/>
    <n v="1.3265176253949432E-4"/>
    <n v="0"/>
    <n v="0"/>
    <n v="0"/>
    <n v="0"/>
    <n v="299097"/>
    <n v="1.3265176253949432E-4"/>
    <n v="0"/>
    <e v="#DIV/0!"/>
    <m/>
    <n v="696.49999999999989"/>
    <n v="6.3114196245493318E-2"/>
    <n v="1.4220187069175887E-4"/>
    <n v="76.126175830286314"/>
    <n v="1.0719938278198242"/>
    <n v="0"/>
    <m/>
    <s v="18/02/2026"/>
    <e v="#VALUE!"/>
    <e v="#VALUE!"/>
    <s v="#N/A Field Not Applicable"/>
  </r>
  <r>
    <x v="18"/>
    <x v="8"/>
    <m/>
    <s v="USD"/>
    <s v="Long"/>
    <m/>
    <n v="1920"/>
    <n v="155.74"/>
    <n v="-3.7103377686795724E-3"/>
    <n v="156.32"/>
    <n v="1"/>
    <m/>
    <n v="299020.80000000005"/>
    <n v="1.3261796726804224E-4"/>
    <n v="0"/>
    <n v="0"/>
    <n v="0"/>
    <n v="0"/>
    <n v="299020.80000000005"/>
    <n v="1.3261796726804224E-4"/>
    <n v="0"/>
    <e v="#DIV/0!"/>
    <m/>
    <n v="672"/>
    <n v="3.3759092900925776E-2"/>
    <n v="1.153314690180822E-4"/>
    <n v="40.729434897994743"/>
    <n v="0.8696519136428833"/>
    <n v="0"/>
    <m/>
    <s v="20/02/2026"/>
    <e v="#VALUE!"/>
    <e v="#VALUE!"/>
    <s v="12/06/2025"/>
  </r>
  <r>
    <x v="19"/>
    <x v="9"/>
    <m/>
    <s v="USD"/>
    <s v="Long"/>
    <m/>
    <n v="31500"/>
    <n v="28.51"/>
    <n v="-1.4858327574291619E-2"/>
    <n v="28.94"/>
    <n v="1"/>
    <n v="1"/>
    <n v="898065"/>
    <n v="3.9829856242299641E-4"/>
    <n v="-6.0073090789859118E-2"/>
    <n v="0"/>
    <n v="0"/>
    <n v="0"/>
    <n v="898065"/>
    <n v="3.9829856242299641E-4"/>
    <n v="-6.0073090789859118E-2"/>
    <n v="79086.401438091896"/>
    <m/>
    <n v="11025"/>
    <n v="5.8448997210143447E-2"/>
    <n v="4.5389089617289764E-4"/>
    <n v="23.479471019760346"/>
    <n v="1.1395745277404785"/>
    <n v="-12662.854866067035"/>
    <m/>
    <s v="25/02/2026"/>
    <e v="#VALUE!"/>
    <e v="#VALUE!"/>
    <s v="#N/A Field Not Applicable"/>
  </r>
  <r>
    <x v="20"/>
    <x v="9"/>
    <m/>
    <s v="USD"/>
    <s v="Short"/>
    <m/>
    <n v="0"/>
    <n v="90.98"/>
    <n v="-2.9857112390701657E-2"/>
    <n v="93.78"/>
    <n v="1"/>
    <n v="1"/>
    <n v="0"/>
    <n v="0"/>
    <n v="0"/>
    <n v="-543507.96713829029"/>
    <n v="-2.4104985939394833E-4"/>
    <n v="9.2737418118564396E-2"/>
    <n v="-543507.96713829029"/>
    <n v="-2.4104985939394833E-4"/>
    <n v="9.2737418118564396E-2"/>
    <n v="24782.955649593318"/>
    <m/>
    <n v="-2090.8747911453238"/>
    <n v="-2.5083844870486847E-2"/>
    <n v="-2.6755270380723531E-4"/>
    <n v="16.649730430743634"/>
    <n v="1.1099475622177124"/>
    <n v="0"/>
    <m/>
    <s v="20/01/2026"/>
    <n v="3.7329189999999999E-3"/>
    <n v="-8.9981960007899809E-3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4" firstHeaderRow="0" firstDataRow="1" firstDataCol="1"/>
  <pivotFields count="34">
    <pivotField axis="axisRow" showAll="0">
      <items count="175">
        <item m="1" x="170"/>
        <item m="1" x="166"/>
        <item m="1" x="146"/>
        <item m="1" x="68"/>
        <item m="1" x="125"/>
        <item m="1" x="173"/>
        <item m="1" x="87"/>
        <item m="1" x="46"/>
        <item m="1" x="89"/>
        <item m="1" x="67"/>
        <item m="1" x="101"/>
        <item m="1" x="21"/>
        <item m="1" x="171"/>
        <item m="1" x="164"/>
        <item m="1" x="169"/>
        <item m="1" x="72"/>
        <item m="1" x="142"/>
        <item m="1" x="32"/>
        <item m="1" x="138"/>
        <item x="4"/>
        <item m="1" x="33"/>
        <item x="16"/>
        <item m="1" x="80"/>
        <item m="1" x="109"/>
        <item x="7"/>
        <item m="1" x="172"/>
        <item x="1"/>
        <item x="12"/>
        <item m="1" x="60"/>
        <item x="9"/>
        <item m="1" x="30"/>
        <item m="1" x="29"/>
        <item m="1" x="136"/>
        <item m="1" x="44"/>
        <item m="1" x="84"/>
        <item m="1" x="168"/>
        <item m="1" x="167"/>
        <item m="1" x="28"/>
        <item m="1" x="48"/>
        <item m="1" x="158"/>
        <item x="11"/>
        <item x="2"/>
        <item m="1" x="38"/>
        <item m="1" x="39"/>
        <item m="1" x="40"/>
        <item m="1" x="52"/>
        <item m="1" x="45"/>
        <item m="1" x="61"/>
        <item m="1" x="165"/>
        <item m="1" x="76"/>
        <item m="1" x="122"/>
        <item m="1" x="106"/>
        <item m="1" x="41"/>
        <item m="1" x="156"/>
        <item m="1" x="104"/>
        <item m="1" x="162"/>
        <item m="1" x="98"/>
        <item m="1" x="163"/>
        <item m="1" x="152"/>
        <item m="1" x="161"/>
        <item m="1" x="157"/>
        <item x="3"/>
        <item m="1" x="159"/>
        <item m="1" x="160"/>
        <item m="1" x="144"/>
        <item m="1" x="155"/>
        <item m="1" x="83"/>
        <item m="1" x="130"/>
        <item x="8"/>
        <item m="1" x="128"/>
        <item m="1" x="139"/>
        <item m="1" x="57"/>
        <item m="1" x="74"/>
        <item m="1" x="145"/>
        <item m="1" x="36"/>
        <item m="1" x="137"/>
        <item m="1" x="154"/>
        <item m="1" x="153"/>
        <item m="1" x="95"/>
        <item m="1" x="96"/>
        <item x="13"/>
        <item m="1" x="49"/>
        <item m="1" x="151"/>
        <item x="14"/>
        <item m="1" x="149"/>
        <item m="1" x="148"/>
        <item m="1" x="112"/>
        <item m="1" x="82"/>
        <item m="1" x="147"/>
        <item m="1" x="150"/>
        <item x="10"/>
        <item m="1" x="140"/>
        <item m="1" x="94"/>
        <item m="1" x="34"/>
        <item m="1" x="77"/>
        <item m="1" x="143"/>
        <item m="1" x="50"/>
        <item m="1" x="105"/>
        <item m="1" x="141"/>
        <item m="1" x="42"/>
        <item m="1" x="123"/>
        <item m="1" x="124"/>
        <item m="1" x="110"/>
        <item m="1" x="51"/>
        <item m="1" x="135"/>
        <item m="1" x="90"/>
        <item m="1" x="134"/>
        <item m="1" x="132"/>
        <item m="1" x="133"/>
        <item m="1" x="131"/>
        <item m="1" x="127"/>
        <item m="1" x="64"/>
        <item m="1" x="100"/>
        <item m="1" x="129"/>
        <item m="1" x="126"/>
        <item m="1" x="108"/>
        <item x="20"/>
        <item m="1" x="115"/>
        <item m="1" x="116"/>
        <item m="1" x="54"/>
        <item m="1" x="119"/>
        <item m="1" x="111"/>
        <item m="1" x="99"/>
        <item m="1" x="113"/>
        <item m="1" x="121"/>
        <item m="1" x="118"/>
        <item m="1" x="120"/>
        <item m="1" x="85"/>
        <item m="1" x="59"/>
        <item m="1" x="117"/>
        <item m="1" x="73"/>
        <item m="1" x="114"/>
        <item m="1" x="91"/>
        <item m="1" x="92"/>
        <item m="1" x="78"/>
        <item m="1" x="55"/>
        <item m="1" x="102"/>
        <item m="1" x="37"/>
        <item m="1" x="86"/>
        <item m="1" x="75"/>
        <item m="1" x="79"/>
        <item m="1" x="81"/>
        <item m="1" x="56"/>
        <item m="1" x="103"/>
        <item m="1" x="107"/>
        <item m="1" x="97"/>
        <item m="1" x="88"/>
        <item x="0"/>
        <item m="1" x="93"/>
        <item m="1" x="65"/>
        <item m="1" x="71"/>
        <item m="1" x="53"/>
        <item m="1" x="47"/>
        <item m="1" x="63"/>
        <item m="1" x="70"/>
        <item m="1" x="69"/>
        <item m="1" x="66"/>
        <item m="1" x="62"/>
        <item m="1" x="58"/>
        <item m="1" x="43"/>
        <item m="1" x="35"/>
        <item m="1" x="31"/>
        <item m="1" x="23"/>
        <item x="5"/>
        <item x="19"/>
        <item m="1" x="24"/>
        <item m="1" x="22"/>
        <item m="1" x="27"/>
        <item m="1" x="25"/>
        <item x="6"/>
        <item m="1" x="26"/>
        <item x="15"/>
        <item x="17"/>
        <item x="18"/>
        <item t="default"/>
      </items>
    </pivotField>
    <pivotField axis="axisRow" showAll="0">
      <items count="25">
        <item x="8"/>
        <item m="1" x="15"/>
        <item x="0"/>
        <item x="1"/>
        <item sd="0" m="1" x="21"/>
        <item x="6"/>
        <item m="1" x="10"/>
        <item m="1" x="19"/>
        <item m="1" x="23"/>
        <item x="7"/>
        <item x="9"/>
        <item m="1" x="22"/>
        <item m="1" x="20"/>
        <item x="4"/>
        <item x="5"/>
        <item m="1" x="14"/>
        <item m="1" x="17"/>
        <item m="1" x="18"/>
        <item m="1" x="13"/>
        <item m="1" x="12"/>
        <item m="1" x="16"/>
        <item x="2"/>
        <item m="1" x="11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2">
    <i>
      <x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52">
      <pivotArea outline="0" collapsedLevelsAreSubtotals="1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outline="0" collapsedLevelsAreSubtotals="1" fieldPosition="0"/>
    </format>
    <format dxfId="1748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7">
      <pivotArea outline="0" collapsedLevelsAreSubtotals="1" fieldPosition="0"/>
    </format>
    <format dxfId="17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/>
    </format>
    <format dxfId="1744">
      <pivotArea type="all" dataOnly="0" outline="0" fieldPosition="0"/>
    </format>
    <format dxfId="1743">
      <pivotArea dataOnly="0" labelOnly="1" grandRow="1" outline="0" fieldPosition="0"/>
    </format>
    <format dxfId="174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7">
      <pivotArea dataOnly="0" labelOnly="1" grandRow="1" outline="0" fieldPosition="0"/>
    </format>
    <format dxfId="1736">
      <pivotArea type="all" dataOnly="0" outline="0" fieldPosition="0"/>
    </format>
    <format dxfId="173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4">
      <pivotArea type="all" dataOnly="0" outline="0" fieldPosition="0"/>
    </format>
    <format dxfId="1733">
      <pivotArea outline="0" collapsedLevelsAreSubtotals="1" fieldPosition="0"/>
    </format>
    <format dxfId="1732">
      <pivotArea dataOnly="0" labelOnly="1" grandRow="1" outline="0" fieldPosition="0"/>
    </format>
    <format dxfId="173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2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2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2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25">
      <pivotArea type="all" dataOnly="0" outline="0" fieldPosition="0"/>
    </format>
    <format dxfId="1724">
      <pivotArea outline="0" collapsedLevelsAreSubtotals="1" fieldPosition="0"/>
    </format>
    <format dxfId="1723">
      <pivotArea dataOnly="0" labelOnly="1" grandRow="1" outline="0" fieldPosition="0"/>
    </format>
    <format dxfId="17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1">
      <pivotArea type="all" dataOnly="0" outline="0" fieldPosition="0"/>
    </format>
    <format dxfId="1720">
      <pivotArea outline="0" collapsedLevelsAreSubtotals="1" fieldPosition="0"/>
    </format>
    <format dxfId="1719">
      <pivotArea dataOnly="0" labelOnly="1" grandRow="1" outline="0" fieldPosition="0"/>
    </format>
    <format dxfId="17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6">
      <pivotArea field="1" type="button" dataOnly="0" labelOnly="1" outline="0" axis="axisRow" fieldPosition="0"/>
    </format>
    <format dxfId="171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4">
      <pivotArea field="1" type="button" dataOnly="0" labelOnly="1" outline="0" axis="axisRow" fieldPosition="0"/>
    </format>
    <format dxfId="17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12">
      <pivotArea field="1" type="button" dataOnly="0" labelOnly="1" outline="0" axis="axisRow" fieldPosition="0"/>
    </format>
    <format dxfId="17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27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0" totalsRowShown="0" headerRowDxfId="1710" dataDxfId="1708" headerRowBorderDxfId="1709" tableBorderDxfId="1707">
  <autoFilter ref="B11:AI40" xr:uid="{488A667B-27C2-4003-A53C-C52DE885F6F5}"/>
  <sortState xmlns:xlrd2="http://schemas.microsoft.com/office/spreadsheetml/2017/richdata2" ref="B12:AI40">
    <sortCondition ref="C11:C40"/>
  </sortState>
  <tableColumns count="34">
    <tableColumn id="1" xr3:uid="{C4869650-AB2A-4E52-A8FD-8FC4A1E9B450}" name="Ticker" dataDxfId="1706" totalsRowDxfId="1705"/>
    <tableColumn id="2" xr3:uid="{3392DCC0-4423-44FF-B70A-0E06289D8EEE}" name="Sector" dataDxfId="1704"/>
    <tableColumn id="29" xr3:uid="{7A835F51-8D98-481A-BCE1-CD91D7445A8F}" name="Diretoria" dataDxfId="1703"/>
    <tableColumn id="3" xr3:uid="{B1589ED3-B8E2-4F6B-B66F-D68F68C1ABA6}" name="Crncy" dataDxfId="1702"/>
    <tableColumn id="4" xr3:uid="{616D46BC-AC49-4393-8BDA-875BFB778D29}" name="Long / Short" dataDxfId="1701" totalsRowDxfId="1700">
      <calculatedColumnFormula>IF(T12&gt;0,"Long","Short")</calculatedColumnFormula>
    </tableColumn>
    <tableColumn id="33" xr3:uid="{F6985B5B-9203-43DA-8157-CAE6E92D0561}" name="Qtdd " dataDxfId="1699"/>
    <tableColumn id="5" xr3:uid="{9A4DCF38-5D0D-4646-8CF9-69904711743E}" name="Qtt Shs" dataDxfId="1698"/>
    <tableColumn id="6" xr3:uid="{BC11B5F3-DE4D-477B-AAED-C5AB103E9DA0}" name="Price Today" dataDxfId="1697" totalsRowDxfId="1696">
      <calculatedColumnFormula array="1">_xll.BDP(B12&amp;" Equity","LAST_PRICE")</calculatedColumnFormula>
    </tableColumn>
    <tableColumn id="7" xr3:uid="{704FFD7D-1208-4AA6-81A9-0E257F085F19}" name="% Chg" dataDxfId="1695" totalsRowDxfId="1694">
      <calculatedColumnFormula>I12/K12-1</calculatedColumnFormula>
    </tableColumn>
    <tableColumn id="8" xr3:uid="{E069BEAC-4A43-4F60-BD21-C3F1FDA777D4}" name="Price Yest" dataDxfId="1693" dataCellStyle="Comma"/>
    <tableColumn id="9" xr3:uid="{A2F51CF4-C965-4A1F-975F-FCDA401F7124}" name="FX" dataDxfId="1692" totalsRowDxfId="1691">
      <calculatedColumnFormula array="1">_xll.BDP(E12&amp;" Curncy","PX_LAST")</calculatedColumnFormula>
    </tableColumn>
    <tableColumn id="10" xr3:uid="{0525E66F-8EF5-4CCF-835F-559F3DAE7E58}" name="Mult" dataDxfId="1690" totalsRowDxfId="1689"/>
    <tableColumn id="11" xr3:uid="{8FC681CE-75F1-4027-AD99-551C42A97619}" name="D1 Exp USD" dataDxfId="1688">
      <calculatedColumnFormula>IFERROR(IF(((I12/L12)*H12*M12)&lt;&gt;0,((I12/L12)*H12*M12),0),"-")</calculatedColumnFormula>
    </tableColumn>
    <tableColumn id="12" xr3:uid="{BE55CED1-1EEB-46EA-A2E5-D244B7925B83}" name="D1 Exp %" dataDxfId="1687">
      <calculatedColumnFormula>IFERROR(IF(Tabelad[[#This Row],[D1 Exp USD]]&lt;&gt;0,N12/$AE$7,0),"-")</calculatedColumnFormula>
    </tableColumn>
    <tableColumn id="13" xr3:uid="{622A85AF-E726-48C1-A6C0-2A26A6E13A5C}" name="D1 P&amp;L bps" dataDxfId="168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85" totalsRowDxfId="1684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1683" totalsRowDxfId="1682" dataCellStyle="Percent">
      <calculatedColumnFormula>Q12/$AE$7</calculatedColumnFormula>
    </tableColumn>
    <tableColumn id="16" xr3:uid="{48C8F341-ED13-4859-B6ED-AB346A494BEF}" name="Options P&amp;L bps" dataDxfId="1681" totalsRowDxfId="1680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1679" totalsRowDxfId="1678">
      <calculatedColumnFormula>N12+Q12</calculatedColumnFormula>
    </tableColumn>
    <tableColumn id="18" xr3:uid="{56683745-C1CE-4341-A873-C851B97E4432}" name="Exp %" dataDxfId="1677" totalsRowDxfId="1676">
      <calculatedColumnFormula>T12/$AE$7</calculatedColumnFormula>
    </tableColumn>
    <tableColumn id="19" xr3:uid="{AD790890-4299-4C9E-A460-9342E2B4BE92}" name="P&amp;L bps" dataDxfId="1675" totalsRowDxfId="1674">
      <calculatedColumnFormula>P12+S12</calculatedColumnFormula>
    </tableColumn>
    <tableColumn id="20" xr3:uid="{A3132FF2-B491-42D2-B6D5-98FB024D0411}" name="xx" dataDxfId="1673" totalsRowDxfId="1672">
      <calculatedColumnFormula>$W$10/(I12/L12*M12)</calculatedColumnFormula>
    </tableColumn>
    <tableColumn id="21" xr3:uid="{68119C5E-24ED-4841-8DFC-985A70CC957B}" name="Ticker2" dataDxfId="1671" totalsRowDxfId="1670"/>
    <tableColumn id="22" xr3:uid="{EAB0ADAA-AF64-4574-AD5E-BAD2211681D1}" name="xx2" dataDxfId="1669" totalsRowDxfId="1668">
      <calculatedColumnFormula>Tabelad[[#This Row],[Exp %]]*$Y$10*$AD$7/Tabelad[[#This Row],[Price Today]]</calculatedColumnFormula>
    </tableColumn>
    <tableColumn id="23" xr3:uid="{160D9866-3FEF-4C23-ADDC-0615A4FD8D8A}" name="Beta Adj" dataDxfId="1667">
      <calculatedColumnFormula>Tabelad[[#This Row],[Vol 10d]]/16*Tabelad[[#This Row],[Exp %]]*100</calculatedColumnFormula>
    </tableColumn>
    <tableColumn id="27" xr3:uid="{5FC9F15D-E683-4C75-83A6-A027ED24C573}" name="Expo Beta Adj" dataDxfId="1666" totalsRowDxfId="1665">
      <calculatedColumnFormula>Tabelad[[#This Row],[Exp %]]*Tabelad[[#This Row],[Beta Adj2]]</calculatedColumnFormula>
    </tableColumn>
    <tableColumn id="24" xr3:uid="{02F0D998-EE72-4509-80A1-181D260811AE}" name="Vol 10d" dataDxfId="1664">
      <calculatedColumnFormula>_xll.BDP($B12&amp;" Equity","volatility_10d")</calculatedColumnFormula>
    </tableColumn>
    <tableColumn id="25" xr3:uid="{06753197-209B-42CE-8324-F5BF4E6BBC8C}" name="Beta Adj2" dataDxfId="1663" totalsRowDxfId="1662">
      <calculatedColumnFormula>_xll.BDP(B12&amp;" EQUITY","eqy_beta")</calculatedColumnFormula>
    </tableColumn>
    <tableColumn id="26" xr3:uid="{E0099784-2515-472D-A708-E950C7C1F961}" name="Daily P&amp;L" dataDxfId="1661" totalsRowDxfId="1660">
      <calculatedColumnFormula>Tabelad[[#This Row],[D1 P&amp;L bps]]*$AD$5/10000</calculatedColumnFormula>
    </tableColumn>
    <tableColumn id="28" xr3:uid="{E8C15306-AE60-46ED-BE32-1873B2B613BE}" name="VALUE" dataDxfId="1659" totalsRowDxfId="1658"/>
    <tableColumn id="30" xr3:uid="{3553EED7-0690-4464-BFF1-737C1D716FE2}" name="Report Date2" dataDxfId="1657" totalsRowDxfId="1656">
      <calculatedColumnFormula>_xll.BDP(B12&amp;" Equity","EXPECTED_REPORT_DT")</calculatedColumnFormula>
    </tableColumn>
    <tableColumn id="31" xr3:uid="{5102101F-2C4E-4C70-B272-6AB453BA1BFE}" name="Column3" dataDxfId="1655" totalsRowDxfId="1654">
      <calculatedColumnFormula>_xll.BDP(B12&amp;" Index","CHG_PCT_1D_PRE_FROM_REGULAR")/100</calculatedColumnFormula>
    </tableColumn>
    <tableColumn id="32" xr3:uid="{78144925-541C-4BB9-B1CE-5128912D0AEA}" name="Column4" dataDxfId="1653">
      <calculatedColumnFormula>(T12*AG12)/$AD$7*10000</calculatedColumnFormula>
    </tableColumn>
    <tableColumn id="34" xr3:uid="{F48AA587-E15F-424C-9278-DC54512DF635}" name="Column5" dataDxfId="165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51" dataDxfId="1650" totalsRowBorderDxfId="1649">
  <autoFilter ref="F3:G136" xr:uid="{50594F44-C7EB-4454-89DA-F08A9C91DB54}"/>
  <tableColumns count="2">
    <tableColumn id="1" xr3:uid="{C2C1762E-B58F-491C-8249-F5F204F351C6}" name="De (Lote)" totalsRowFunction="count" dataDxfId="1648"/>
    <tableColumn id="2" xr3:uid="{2A11C67E-26BC-4BE0-826C-B31A77595F54}" name="Para (Ticker Daniel)" totalsRowFunction="count" dataDxfId="164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2029</v>
      </c>
    </row>
    <row r="3" spans="2:12">
      <c r="B3" t="s">
        <v>2028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2017</v>
      </c>
      <c r="D5" t="s">
        <v>2016</v>
      </c>
    </row>
    <row r="6" spans="2:12">
      <c r="B6" t="s">
        <v>2010</v>
      </c>
      <c r="C6" s="398">
        <v>0.41</v>
      </c>
      <c r="D6" s="395">
        <f>C6^2</f>
        <v>0.16809999999999997</v>
      </c>
    </row>
    <row r="7" spans="2:12">
      <c r="B7" t="s">
        <v>2008</v>
      </c>
      <c r="C7" s="398">
        <v>0.25</v>
      </c>
      <c r="D7" s="395">
        <f>C7^2</f>
        <v>6.25E-2</v>
      </c>
    </row>
    <row r="8" spans="2:12">
      <c r="B8" t="s">
        <v>2006</v>
      </c>
      <c r="C8" s="393">
        <f>SQRT(D6+D7+2*C10)</f>
        <v>0.35791060336346558</v>
      </c>
    </row>
    <row r="9" spans="2:12">
      <c r="B9" t="s">
        <v>2004</v>
      </c>
      <c r="C9" s="397">
        <v>-0.5</v>
      </c>
    </row>
    <row r="10" spans="2:12">
      <c r="B10" t="s">
        <v>2002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2017</v>
      </c>
      <c r="D15" t="s">
        <v>2016</v>
      </c>
      <c r="J15" s="402">
        <f>J14/5.19</f>
        <v>53179190.751445085</v>
      </c>
    </row>
    <row r="16" spans="2:12">
      <c r="B16" t="s">
        <v>2027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2026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2006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2004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2002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2025</v>
      </c>
      <c r="U23">
        <f>0.89-0.24</f>
        <v>0.65</v>
      </c>
    </row>
    <row r="24" spans="1:21">
      <c r="C24" t="s">
        <v>2017</v>
      </c>
      <c r="D24" t="s">
        <v>2016</v>
      </c>
      <c r="U24">
        <f>U23/2</f>
        <v>0.32500000000000001</v>
      </c>
    </row>
    <row r="25" spans="1:21">
      <c r="A25" s="400">
        <v>0.82</v>
      </c>
      <c r="B25" t="s">
        <v>2024</v>
      </c>
      <c r="C25" s="398">
        <v>0.3</v>
      </c>
      <c r="D25" s="395">
        <f>C25^2</f>
        <v>0.09</v>
      </c>
      <c r="I25" t="s">
        <v>2023</v>
      </c>
      <c r="J25">
        <v>21</v>
      </c>
    </row>
    <row r="26" spans="1:21">
      <c r="A26">
        <f>1-A25</f>
        <v>0.18000000000000005</v>
      </c>
      <c r="B26" t="s">
        <v>2022</v>
      </c>
      <c r="C26" s="398">
        <v>0.4</v>
      </c>
      <c r="D26" s="395">
        <f>C26^2</f>
        <v>0.16000000000000003</v>
      </c>
      <c r="I26" t="s">
        <v>2021</v>
      </c>
      <c r="J26">
        <v>1</v>
      </c>
      <c r="R26" s="399"/>
    </row>
    <row r="27" spans="1:21">
      <c r="B27" t="s">
        <v>2020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2019</v>
      </c>
      <c r="C28" s="397">
        <v>0.3</v>
      </c>
    </row>
    <row r="29" spans="1:21">
      <c r="B29" t="s">
        <v>2018</v>
      </c>
      <c r="C29">
        <f>C28*C25*C26</f>
        <v>3.5999999999999997E-2</v>
      </c>
    </row>
    <row r="31" spans="1:21">
      <c r="C31" t="s">
        <v>2017</v>
      </c>
      <c r="D31" t="s">
        <v>2016</v>
      </c>
      <c r="F31" t="s">
        <v>2015</v>
      </c>
      <c r="G31" t="s">
        <v>2014</v>
      </c>
      <c r="H31" t="s">
        <v>2013</v>
      </c>
      <c r="I31" t="s">
        <v>2012</v>
      </c>
      <c r="J31" t="s">
        <v>2011</v>
      </c>
    </row>
    <row r="32" spans="1:21">
      <c r="B32" t="s">
        <v>2010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2009</v>
      </c>
      <c r="Q32" s="43">
        <v>0.36620000000000003</v>
      </c>
    </row>
    <row r="33" spans="2:17">
      <c r="B33" t="s">
        <v>2008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2007</v>
      </c>
    </row>
    <row r="34" spans="2:17">
      <c r="B34" t="s">
        <v>2006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2005</v>
      </c>
    </row>
    <row r="35" spans="2:17">
      <c r="B35" t="s">
        <v>2004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2003</v>
      </c>
      <c r="Q35" s="43">
        <v>0.27179999999999999</v>
      </c>
    </row>
    <row r="36" spans="2:17">
      <c r="B36" t="s">
        <v>2002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2001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2000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1999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1998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1997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1996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1995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6.5493646138807593E-2</v>
      </c>
      <c r="B6" s="145">
        <f>H6-J6</f>
        <v>10.23</v>
      </c>
      <c r="C6" s="145">
        <f>L6-H6</f>
        <v>0.67000000000000171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33.32</v>
      </c>
      <c r="I6" s="153">
        <f>H6/J6-1</f>
        <v>0.44304893893460373</v>
      </c>
      <c r="J6" s="149" cm="1">
        <f t="array" ref="J6">IF(ISTEXT($E6),_xll.BDH($E6,"PX_LAST",J$2,J$2,"Fill=P","CDR=US"),"")</f>
        <v>23.09</v>
      </c>
      <c r="K6" s="153">
        <f t="shared" ref="K6:K20" si="0">H6/L6-1</f>
        <v>-1.9711679905854762E-2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-0.27954566478729248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7791.82</v>
      </c>
      <c r="I7" s="153">
        <f t="shared" ref="I7:I20" si="1">H7/J7-1</f>
        <v>0.49658209783708918</v>
      </c>
      <c r="J7" s="143" cm="1">
        <f t="array" ref="J7">IF(ISTEXT($E7),_xll.BDH($E7,"PX_LAST",J$2,J$2,"Fill=P","CDR=US"),"")</f>
        <v>5206.41</v>
      </c>
      <c r="K7" s="153">
        <f t="shared" si="0"/>
        <v>-6.8902404829032093E-3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10.88101555403709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4629.9399999999996</v>
      </c>
      <c r="I8" s="154">
        <f t="shared" si="1"/>
        <v>0.44110982457450887</v>
      </c>
      <c r="J8" s="140" cm="1">
        <f t="array" ref="J8">IF(ISTEXT($E8),_xll.BDH($E8,"PX_LAST",J$2,J$2,"Fill=P","CDR=US"),"")</f>
        <v>3212.76</v>
      </c>
      <c r="K8" s="154">
        <f t="shared" si="0"/>
        <v>-2.7697334848157174E-2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16.514263994990944</v>
      </c>
      <c r="Q8" s="154">
        <f>P8/T8-1</f>
        <v>0.21468156823305762</v>
      </c>
      <c r="R8" s="154">
        <f>$P8/U8-1</f>
        <v>8.0564418349174716E-2</v>
      </c>
      <c r="S8" s="141" cm="1">
        <f t="array" ref="S8">_xll.BDP($E8,S$2)</f>
        <v>10.820688320413602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>
        <f>C9/B9</f>
        <v>0.17957166392092253</v>
      </c>
      <c r="B9" s="145">
        <f>H9-J9</f>
        <v>12.14</v>
      </c>
      <c r="C9" s="145">
        <f>L9-H9</f>
        <v>2.1799999999999997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39.82</v>
      </c>
      <c r="I9" s="153">
        <f t="shared" si="1"/>
        <v>0.43858381502890187</v>
      </c>
      <c r="J9" s="149" cm="1">
        <f t="array" ref="J9">IF(ISTEXT($E9),_xll.BDH($E9,"PX_LAST",J$2,J$2,"Fill=P","CDR=US"),"")</f>
        <v>27.68</v>
      </c>
      <c r="K9" s="153">
        <f t="shared" si="0"/>
        <v>-5.1904761904761898E-2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37111.29</v>
      </c>
      <c r="I10" s="153">
        <f t="shared" si="1"/>
        <v>0.51631731156602245</v>
      </c>
      <c r="J10" s="143" cm="1">
        <f t="array" ref="J10">IF(ISTEXT($E10),_xll.BDH($E10,"PX_LAST",J$2,J$2,"Fill=P","CDR=US"),"")</f>
        <v>24474.62</v>
      </c>
      <c r="K10" s="153">
        <f t="shared" si="0"/>
        <v>-4.4422386157351945E-2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11.310590615709712</v>
      </c>
      <c r="Q10" s="153">
        <f>P10/T10-1</f>
        <v>0.24624994388418631</v>
      </c>
      <c r="R10" s="153">
        <f>$P10/U10-1</f>
        <v>7.533271316343404E-2</v>
      </c>
      <c r="S10" s="144" cm="1">
        <f t="array" ref="S10">_xll.BDP($E10,S$2)</f>
        <v>11.243283295436727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15308.32</v>
      </c>
      <c r="I11" s="154">
        <f t="shared" si="1"/>
        <v>0.35158482103441568</v>
      </c>
      <c r="J11" s="140" cm="1">
        <f t="array" ref="J11">IF(ISTEXT($E11),_xll.BDH($E11,"PX_LAST",J$2,J$2,"Fill=P","CDR=US"),"")</f>
        <v>11326.2</v>
      </c>
      <c r="K11" s="154">
        <f t="shared" si="0"/>
        <v>-2.8635860912801792E-2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13.745066682781465</v>
      </c>
      <c r="Q11" s="154">
        <f>P11/T11-1</f>
        <v>0.19315850682570734</v>
      </c>
      <c r="R11" s="154">
        <f>$P11/U11-1</f>
        <v>5.566921477310971E-2</v>
      </c>
      <c r="S11" s="141" cm="1">
        <f t="array" ref="S11">_xll.BDP($E11,S$2)</f>
        <v>12.23798032880129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>
        <f>C12/B12</f>
        <v>0.92083333333333306</v>
      </c>
      <c r="B12" s="145">
        <f>H12-J12</f>
        <v>8.4000000000000021</v>
      </c>
      <c r="C12" s="145">
        <f>L12-H12</f>
        <v>7.7349999999999994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35.630000000000003</v>
      </c>
      <c r="I12" s="153">
        <f t="shared" si="1"/>
        <v>0.30848329048843204</v>
      </c>
      <c r="J12" s="149" cm="1">
        <f t="array" ref="J12">IF(ISTEXT($E12),_xll.BDH($E12,"PX_LAST",J$2,J$2,"Fill=P","CDR=US"),"")</f>
        <v>27.23</v>
      </c>
      <c r="K12" s="153">
        <f t="shared" si="0"/>
        <v>-0.17836965294592411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5988.2383</v>
      </c>
      <c r="I13" s="153">
        <f t="shared" si="1"/>
        <v>0.43259255201135116</v>
      </c>
      <c r="J13" s="143" cm="1">
        <f t="array" ref="J13">IF(ISTEXT($E13),_xll.BDH($E13,"PX_LAST",J$2,J$2,"Fill=P","CDR=US"),"")</f>
        <v>4180.0010000000002</v>
      </c>
      <c r="K13" s="153">
        <f t="shared" si="0"/>
        <v>-0.12899631583594184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5736.44</v>
      </c>
      <c r="I14" s="154">
        <f t="shared" si="1"/>
        <v>0.55111443999491638</v>
      </c>
      <c r="J14" s="140" cm="1">
        <f t="array" ref="J14">IF(ISTEXT($E14),_xll.BDH($E14,"PX_LAST",J$2,J$2,"Fill=P","CDR=US"),"")</f>
        <v>3698.27</v>
      </c>
      <c r="K14" s="154">
        <f t="shared" si="0"/>
        <v>-0.14578599232219391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27.489463251732786</v>
      </c>
      <c r="Q14" s="154">
        <f>P14/T14-1</f>
        <v>2.2555555413355854E-2</v>
      </c>
      <c r="R14" s="154">
        <f>$P14/U14-1</f>
        <v>-0.28452796132188662</v>
      </c>
      <c r="S14" s="141" cm="1">
        <f t="array" ref="S14">_xll.BDP($E14,S$2)</f>
        <v>9.4982725423458572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>
        <f>C15/B15</f>
        <v>0.2705697651150859</v>
      </c>
      <c r="B15" s="145">
        <f>H15-J15</f>
        <v>18.96</v>
      </c>
      <c r="C15" s="145">
        <f>L15-H15</f>
        <v>5.1300027465820293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62.24</v>
      </c>
      <c r="I15" s="153">
        <f t="shared" si="1"/>
        <v>0.43807763401109057</v>
      </c>
      <c r="J15" s="149" cm="1">
        <f t="array" ref="J15">IF(ISTEXT($E15),_xll.BDH($E15,"PX_LAST",J$2,J$2,"Fill=P","CDR=US"),"")</f>
        <v>43.28</v>
      </c>
      <c r="K15" s="153">
        <f t="shared" si="0"/>
        <v>-7.6146690477050583E-2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665.63729999999998</v>
      </c>
      <c r="I16" s="153">
        <f t="shared" si="1"/>
        <v>0.47242412109655807</v>
      </c>
      <c r="J16" s="143" cm="1">
        <f t="array" ref="J16">IF(ISTEXT($E16),_xll.BDH($E16,"PX_LAST",J$2,J$2,"Fill=P","CDR=US"),"")</f>
        <v>452.06900000000002</v>
      </c>
      <c r="K16" s="153">
        <f t="shared" si="0"/>
        <v>-8.7108127189871376E-2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13.711392136184582</v>
      </c>
      <c r="Q16" s="153">
        <f>P16/T16-1</f>
        <v>0.11994185520520628</v>
      </c>
      <c r="R16" s="153">
        <f>$P16/U16-1</f>
        <v>-7.3064571009597401E-2</v>
      </c>
      <c r="S16" s="144" cm="1">
        <f t="array" ref="S16">_xll.BDP($E16,S$2)</f>
        <v>11.448918717392125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83.03</v>
      </c>
      <c r="I17" s="154">
        <f t="shared" si="1"/>
        <v>0.43451969592259854</v>
      </c>
      <c r="J17" s="140" cm="1">
        <f t="array" ref="J17">IF(ISTEXT($E17),_xll.BDH($E17,"PX_LAST",J$2,J$2,"Fill=P","CDR=US"),"")</f>
        <v>57.88</v>
      </c>
      <c r="K17" s="154">
        <f t="shared" si="0"/>
        <v>-9.3459984714488464E-2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13.709257901281294</v>
      </c>
      <c r="Q17" s="154">
        <f>P17/T17-1</f>
        <v>0.11972180237443641</v>
      </c>
      <c r="R17" s="154">
        <f>$P17/U17-1</f>
        <v>-7.3244638326328659E-2</v>
      </c>
      <c r="S17" s="141" cm="1">
        <f t="array" ref="S17">_xll.BDP($E17,S$2)</f>
        <v>11.448918717392125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26338.47</v>
      </c>
      <c r="I18" s="153">
        <f t="shared" si="1"/>
        <v>0.44343241203675543</v>
      </c>
      <c r="J18" s="143" cm="1">
        <f t="array" ref="J18">IF(ISTEXT($E18),_xll.BDH($E18,"PX_LAST",J$2,J$2,"Fill=P","CDR=US"),"")</f>
        <v>18247.11</v>
      </c>
      <c r="K18" s="153">
        <f t="shared" si="0"/>
        <v>-3.8104451709600196E-2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12.815413822327127</v>
      </c>
      <c r="Q18" s="153">
        <f>P18/T18-1</f>
        <v>0.17879197935245594</v>
      </c>
      <c r="R18" s="153">
        <f>$P18/U18-1</f>
        <v>2.3332404094720038E-2</v>
      </c>
      <c r="S18" s="144" cm="1">
        <f t="array" ref="S18">_xll.BDP($E18,S$2)</f>
        <v>10.532697760938889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9168.99</v>
      </c>
      <c r="I19" s="153">
        <f t="shared" si="1"/>
        <v>0.43510333256118261</v>
      </c>
      <c r="J19" s="143" cm="1">
        <f t="array" ref="J19">IF(ISTEXT($E19),_xll.BDH($E19,"PX_LAST",J$2,J$2,"Fill=P","CDR=US"),"")</f>
        <v>6389.08</v>
      </c>
      <c r="K19" s="153">
        <f t="shared" si="0"/>
        <v>-6.1536036584679321E-2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11.829029421236175</v>
      </c>
      <c r="Q19" s="153">
        <f>P19/T19-1</f>
        <v>0.33321642833640541</v>
      </c>
      <c r="R19" s="153">
        <f>$P19/U19-1</f>
        <v>0.17307321258260622</v>
      </c>
      <c r="S19" s="144" cm="1">
        <f t="array" ref="S19">_xll.BDP($E19,S$2)</f>
        <v>11.02795356964246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3968.84</v>
      </c>
      <c r="I20" s="153">
        <f t="shared" si="1"/>
        <v>0.44378260828442317</v>
      </c>
      <c r="J20" s="143" cm="1">
        <f t="array" ref="J20">IF(ISTEXT($E20),_xll.BDH($E20,"PX_LAST",J$2,J$2,"Fill=P","CDR=US"),"")</f>
        <v>2748.9180000000001</v>
      </c>
      <c r="K20" s="153">
        <f t="shared" si="0"/>
        <v>-1.6171968868234909E-2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15.401392307246898</v>
      </c>
      <c r="Q20" s="153">
        <f>P20/T20-1</f>
        <v>0.26730703557164759</v>
      </c>
      <c r="R20" s="153">
        <f>$P20/U20-1</f>
        <v>0.13745102944845966</v>
      </c>
      <c r="S20" s="144" cm="1">
        <f t="array" ref="S20">_xll.BDP($E20,S$2)</f>
        <v>9.6296781198230548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6.8117369434113045E-3</v>
      </c>
      <c r="AP1" s="23"/>
    </row>
    <row r="2" spans="1:47" outlineLevel="1">
      <c r="D2" s="7" t="s">
        <v>66</v>
      </c>
      <c r="E2" s="265">
        <f>D4+E4</f>
        <v>3.4807823847262235E-3</v>
      </c>
      <c r="Q2" s="179">
        <f ca="1">WORKDAY(Q3,-126)</f>
        <v>45848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46024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45994</v>
      </c>
      <c r="AN3" s="180">
        <f ca="1">WORKDAY($Q$3,-66)</f>
        <v>45932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5.1462596640687638E-3</v>
      </c>
      <c r="E4" s="265">
        <f>SUM(E8:E24)</f>
        <v>-1.6654772793425403E-3</v>
      </c>
      <c r="Q4" s="181" t="str">
        <f ca="1">YEAR($Q$2)&amp;TEXT(MONTH($Q$2),"00")&amp;TEXT(DAY($Q$2),"00")</f>
        <v>20250710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20260102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472.94</v>
      </c>
      <c r="H8" s="188" cm="1">
        <f t="array" ref="H8">G8/_xll.BDP(B8&amp;" Equity", "PREV_CLOSE_VAL")-1</f>
        <v>-2.2083453951449505E-2</v>
      </c>
      <c r="I8" s="187" cm="1">
        <f t="array" ref="I8">_xll.BDP(C8&amp;" Equity","LAST PRICE")</f>
        <v>102.62</v>
      </c>
      <c r="J8" s="188" cm="1">
        <f t="array" ref="J8">I8/_xll.BDP(C8&amp;" Equity", "PREV_CLOSE_VAL")-1</f>
        <v>-2.9047213549058482E-2</v>
      </c>
      <c r="K8" s="189">
        <f t="shared" ref="K8:K18" si="1">G8/I8</f>
        <v>4.6086532839602414</v>
      </c>
      <c r="L8" s="188" cm="1">
        <f t="array" ref="L8">K8/(_xll.BDP(B8&amp;" Equity", "PREV_CLOSE_VAL")/_xll.BDP(C8&amp;" Equity", "PREV_CLOSE_VAL"))-1</f>
        <v>7.172088792353204E-3</v>
      </c>
      <c r="M8" s="188"/>
      <c r="N8" s="190">
        <f t="shared" ref="N8:N18" si="2">ABS(L8/O8)</f>
        <v>0.52786475588982251</v>
      </c>
      <c r="O8" s="191">
        <f t="shared" ref="O8:O18" si="3">P8/15.87/100</f>
        <v>1.3586981726528041E-2</v>
      </c>
      <c r="P8" s="192" cm="1">
        <f t="array" ref="P8">_xll.BDP($A8&amp;" Index","VOLATILITY_30D")</f>
        <v>21.562539999999998</v>
      </c>
      <c r="Q8" s="192" cm="1">
        <f t="array" aca="1" ref="Q8" ca="1">(_xll.BDP(($B8&amp; " Equity"),"CORR_COEF", "BETA_OVERRIDE_REL_INDEX",($C8&amp; " Equity"),"BETA_OVERRIDE_END_DT",$Q$5,"BETA_OVERRIDE_START_DT",$Q$4))*100</f>
        <v>62.158085395917482</v>
      </c>
      <c r="R8" s="188"/>
      <c r="S8" s="188" cm="1">
        <f t="array" ref="S8">_xll.BDP($A8&amp;" Index","CHG_PCT_2D")/100</f>
        <v>4.2832870000000002E-3</v>
      </c>
      <c r="T8" s="188" cm="1">
        <f t="array" ref="T8">_xll.BDP($A8&amp;" Index","CHG_PCT_5D")/100</f>
        <v>1.4224049999999999E-2</v>
      </c>
      <c r="U8" s="188" cm="1">
        <f t="array" ref="U8">K8/_xll.BDP($A8&amp;" Index","HIGH_52WEEK")-1</f>
        <v>-4.5945993466599999E-2</v>
      </c>
      <c r="V8" s="188" cm="1">
        <f t="array" ref="V8">K8/_xll.BDP($A8&amp;" Index","LOW_52WEEK")-1</f>
        <v>0.21314189851912424</v>
      </c>
      <c r="W8" s="188"/>
      <c r="X8" s="192" cm="1">
        <f t="array" ref="X8">_xll.BDP($A8&amp;" Index","RSI_14D")</f>
        <v>52.270359999999997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5.4611735460009525E-2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3.0349511997307519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1.3574924260079113E-2</v>
      </c>
      <c r="AN8" s="194">
        <f ca="1">IF(ISTEXT(B8),AP8/_xll.BDH(B8 &amp;  " Equity","BEST_EPS",$AN$3,$AN$3,"BEST_FPERIOD_OVERRIDE=1BF","CDR=US","Fill=p")-1,"")</f>
        <v>6.5600882028665763E-2</v>
      </c>
      <c r="AO8" s="196">
        <f t="shared" ref="AO8:AO18" ca="1" si="7">G8/AP8</f>
        <v>27.185146864401911</v>
      </c>
      <c r="AP8" s="196" cm="1">
        <f t="array" aca="1" ref="AP8" ca="1">IF(ISTEXT(B8),_xll.BDH(B8 &amp;  " Equity","BEST_EPS",$Q$3,$Q$3,"BEST_FPERIOD_OVERRIDE=1BF","CDR=US","Fill=p"),"")</f>
        <v>17.396999999999998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472.94</v>
      </c>
      <c r="H9" s="188" cm="1">
        <f t="array" ref="H9">G9/_xll.BDP(B9&amp;" Equity", "PREV_CLOSE_VAL")-1</f>
        <v>-2.2083453951449505E-2</v>
      </c>
      <c r="I9" s="187" cm="1">
        <f t="array" ref="I9">_xll.BDP(C9&amp;" Equity","LAST PRICE")</f>
        <v>77.69</v>
      </c>
      <c r="J9" s="188" cm="1">
        <f t="array" ref="J9">I9/_xll.BDP(C9&amp;" Equity", "PREV_CLOSE_VAL")-1</f>
        <v>1.2873326467555124E-4</v>
      </c>
      <c r="K9" s="189">
        <f t="shared" si="1"/>
        <v>6.0875273522975935</v>
      </c>
      <c r="L9" s="188" cm="1">
        <f t="array" ref="L9">K9/(_xll.BDP(B9&amp;" Equity", "PREV_CLOSE_VAL")/_xll.BDP(C9&amp;" Equity", "PREV_CLOSE_VAL"))-1</f>
        <v>-2.2209328136807649E-2</v>
      </c>
      <c r="M9" s="188"/>
      <c r="N9" s="190">
        <f t="shared" si="2"/>
        <v>1.5470240063903906</v>
      </c>
      <c r="O9" s="191">
        <f t="shared" si="3"/>
        <v>1.4356162570888469E-2</v>
      </c>
      <c r="P9" s="192" cm="1">
        <f t="array" ref="P9">_xll.BDP($A9&amp;" Index","VOLATILITY_30D")</f>
        <v>22.78323</v>
      </c>
      <c r="Q9" s="192" cm="1">
        <f t="array" aca="1" ref="Q9" ca="1">(_xll.BDP(($B9&amp; " Equity"),"CORR_COEF", "BETA_OVERRIDE_REL_INDEX",($C9&amp; " Equity"),"BETA_OVERRIDE_END_DT",$Q$5,"BETA_OVERRIDE_START_DT",$Q$4))*100</f>
        <v>-1.3370658171777829</v>
      </c>
      <c r="R9" s="188"/>
      <c r="S9" s="188" cm="1">
        <f t="array" ref="S9">_xll.BDP($A9&amp;" Index","CHG_PCT_2D")/100</f>
        <v>-1.9154350000000001E-3</v>
      </c>
      <c r="T9" s="188" cm="1">
        <f t="array" ref="T9">_xll.BDP($A9&amp;" Index","CHG_PCT_5D")/100</f>
        <v>-1.3648669999999999E-3</v>
      </c>
      <c r="U9" s="188" cm="1">
        <f t="array" ref="U9">K9/_xll.BDP($A9&amp;" Index","HIGH_52WEEK")-1</f>
        <v>-0.13916937078723857</v>
      </c>
      <c r="V9" s="188" cm="1">
        <f t="array" ref="V9">K9/_xll.BDP($A9&amp;" Index","LOW_52WEEK")-1</f>
        <v>0.3745754590096313</v>
      </c>
      <c r="W9" s="188"/>
      <c r="X9" s="192" cm="1">
        <f t="array" ref="X9">_xll.BDP($A9&amp;" Index","RSI_14D")</f>
        <v>50.837859999999999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9.8831652039276685E-2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3.0349511997307519</v>
      </c>
      <c r="AI9" s="196" cm="1">
        <f t="array" ref="AI9">(_xll.BDP(C9&amp;" Equity","SHORT_INT")/_xll.BDP(C9&amp;" Equity","VOLUME_AVG_90D"))</f>
        <v>3.1934048915700726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1.3574924260079113E-2</v>
      </c>
      <c r="AN9" s="194">
        <f ca="1">IF(ISTEXT(B9),AP9/_xll.BDH(B9 &amp;  " Equity","BEST_EPS",$AN$3,$AN$3,"BEST_FPERIOD_OVERRIDE=1BF","CDR=US","Fill=p")-1,"")</f>
        <v>6.5600882028665763E-2</v>
      </c>
      <c r="AO9" s="196">
        <f t="shared" ca="1" si="7"/>
        <v>27.185146864401911</v>
      </c>
      <c r="AP9" s="196" cm="1">
        <f t="array" aca="1" ref="AP9" ca="1">IF(ISTEXT(B9),_xll.BDH(B9 &amp;  " Equity","BEST_EPS",$Q$3,$Q$3,"BEST_FPERIOD_OVERRIDE=1BF","CDR=US","Fill=p"),"")</f>
        <v>17.396999999999998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650.41</v>
      </c>
      <c r="H10" s="257" cm="1">
        <f t="array" ref="H10">G10/_xll.BDP(B10&amp;" Equity", "PREV_CLOSE_VAL")-1</f>
        <v>-1.4664666939356863E-2</v>
      </c>
      <c r="I10" s="256" cm="1">
        <f t="array" ref="I10">_xll.BDP(C10&amp;" Equity","LAST PRICE")</f>
        <v>683.17</v>
      </c>
      <c r="J10" s="257" cm="1">
        <f t="array" ref="J10">I10/_xll.BDP(C10&amp;" Equity", "PREV_CLOSE_VAL")-1</f>
        <v>1.8330595964335394E-3</v>
      </c>
      <c r="K10" s="258">
        <f t="shared" si="1"/>
        <v>0.95204707466662764</v>
      </c>
      <c r="L10" s="257" cm="1">
        <f t="array" ref="L10">K10/(_xll.BDP(B10&amp;" Equity", "PREV_CLOSE_VAL")/_xll.BDP(C10&amp;" Equity", "PREV_CLOSE_VAL"))-1</f>
        <v>-1.6467540552550952E-2</v>
      </c>
      <c r="M10" s="257"/>
      <c r="N10" s="190">
        <f t="shared" si="2"/>
        <v>1.2177778156360792</v>
      </c>
      <c r="O10" s="191">
        <f t="shared" si="3"/>
        <v>1.3522614996849402E-2</v>
      </c>
      <c r="P10" s="259" cm="1">
        <f t="array" ref="P10">_xll.BDP($A10&amp;" Index","VOLATILITY_30D")</f>
        <v>21.46039</v>
      </c>
      <c r="Q10" s="259" cm="1">
        <f t="array" aca="1" ref="Q10" ca="1">(_xll.BDP(($B10&amp; " Equity"),"CORR_COEF", "BETA_OVERRIDE_REL_INDEX",($C10&amp; " Equity"),"BETA_OVERRIDE_END_DT",$Q$5,"BETA_OVERRIDE_START_DT",$Q$4))*100</f>
        <v>34.023912853850966</v>
      </c>
      <c r="R10" s="257"/>
      <c r="S10" s="257" cm="1">
        <f t="array" ref="S10">_xll.BDP($A10&amp;" Index","CHG_PCT_2D")/100</f>
        <v>-1.3982629999999998E-3</v>
      </c>
      <c r="T10" s="257" cm="1">
        <f t="array" ref="T10">_xll.BDP($A10&amp;" Index","CHG_PCT_5D")/100</f>
        <v>7.4223229999999998E-3</v>
      </c>
      <c r="U10" s="257" cm="1">
        <f t="array" ref="U10">K10/_xll.BDP($A10&amp;" Index","HIGH_52WEEK")-1</f>
        <v>-0.2260094511063554</v>
      </c>
      <c r="V10" s="257" cm="1">
        <f t="array" ref="V10">K10/_xll.BDP($A10&amp;" Index","LOW_52WEEK")-1</f>
        <v>6.8671158156215384E-2</v>
      </c>
      <c r="W10" s="257"/>
      <c r="X10" s="259" cm="1">
        <f t="array" ref="X10">_xll.BDP($A10&amp;" Index","RSI_14D")</f>
        <v>53.318860000000001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-0.13450265939397499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2.0011832532651095</v>
      </c>
      <c r="AI10" s="262" cm="1">
        <f t="array" ref="AI10">(_xll.BDP(C10&amp;" Equity","SHORT_INT")/_xll.BDP(C10&amp;" Equity","VOLUME_AVG_90D"))</f>
        <v>1.459927436678836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7.3886426008022976E-3</v>
      </c>
      <c r="AN10" s="260">
        <f ca="1">IF(ISTEXT(B10),AP10/_xll.BDH(B10 &amp;  " Equity","BEST_EPS",$AN$3,$AN$3,"BEST_FPERIOD_OVERRIDE=1BF","CDR=US","Fill=p")-1,"")</f>
        <v>-4.4726607183710798E-2</v>
      </c>
      <c r="AO10" s="262">
        <f t="shared" ca="1" si="7"/>
        <v>19.471021434558732</v>
      </c>
      <c r="AP10" s="262" cm="1">
        <f t="array" aca="1" ref="AP10" ca="1">IF(ISTEXT(B10),_xll.BDH(B10 &amp;  " Equity","BEST_EPS",$Q$3,$Q$3,"BEST_FPERIOD_OVERRIDE=1BF","CDR=US","Fill=p"),"")</f>
        <v>33.404000000000003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650.41</v>
      </c>
      <c r="H11" s="257" cm="1">
        <f t="array" ref="H11">G11/_xll.BDP(B11&amp;" Equity", "PREV_CLOSE_VAL")-1</f>
        <v>-1.4664666939356863E-2</v>
      </c>
      <c r="I11" s="256" cm="1">
        <f t="array" ref="I11">_xll.BDP(C11&amp;" Equity","LAST PRICE")</f>
        <v>271.01</v>
      </c>
      <c r="J11" s="257" cm="1">
        <f t="array" ref="J11">I11/_xll.BDP(C11&amp;" Equity", "PREV_CLOSE_VAL")-1</f>
        <v>-3.1266092841905069E-3</v>
      </c>
      <c r="K11" s="258">
        <f t="shared" si="1"/>
        <v>2.3999483413896168</v>
      </c>
      <c r="L11" s="257" cm="1">
        <f t="array" ref="L11">K11/(_xll.BDP(B11&amp;" Equity", "PREV_CLOSE_VAL")/_xll.BDP(C11&amp;" Equity", "PREV_CLOSE_VAL"))-1</f>
        <v>-1.1574245799540694E-2</v>
      </c>
      <c r="M11" s="257"/>
      <c r="N11" s="190">
        <f t="shared" si="2"/>
        <v>0.68551685225715231</v>
      </c>
      <c r="O11" s="191">
        <f t="shared" si="3"/>
        <v>1.6883969754253311E-2</v>
      </c>
      <c r="P11" s="259" cm="1">
        <f t="array" ref="P11">_xll.BDP($A11&amp;" Index","VOLATILITY_30D")</f>
        <v>26.79486</v>
      </c>
      <c r="Q11" s="259" cm="1">
        <f t="array" aca="1" ref="Q11" ca="1">(_xll.BDP(($B11&amp; " Equity"),"CORR_COEF", "BETA_OVERRIDE_REL_INDEX",($C11&amp; " Equity"),"BETA_OVERRIDE_END_DT",$Q$5,"BETA_OVERRIDE_START_DT",$Q$4))*100</f>
        <v>7.3798664675821053</v>
      </c>
      <c r="R11" s="257"/>
      <c r="S11" s="257" cm="1">
        <f t="array" ref="S11">_xll.BDP($A11&amp;" Index","CHG_PCT_2D")/100</f>
        <v>-4.3519750000000001E-3</v>
      </c>
      <c r="T11" s="257" cm="1">
        <f t="array" ref="T11">_xll.BDP($A11&amp;" Index","CHG_PCT_5D")/100</f>
        <v>8.1242200000000004E-4</v>
      </c>
      <c r="U11" s="257" cm="1">
        <f t="array" ref="U11">K11/_xll.BDP($A11&amp;" Index","HIGH_52WEEK")-1</f>
        <v>-0.37139570408087774</v>
      </c>
      <c r="V11" s="257" cm="1">
        <f t="array" ref="V11">K11/_xll.BDP($A11&amp;" Index","LOW_52WEEK")-1</f>
        <v>9.6442580071552042E-2</v>
      </c>
      <c r="W11" s="257"/>
      <c r="X11" s="259" cm="1">
        <f t="array" ref="X11">_xll.BDP($A11&amp;" Index","RSI_14D")</f>
        <v>55.583500000000001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-0.21054330875341554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2.0011832532651095</v>
      </c>
      <c r="AI11" s="262" cm="1">
        <f t="array" ref="AI11">(_xll.BDP(C11&amp;" Equity","SHORT_INT")/_xll.BDP(C11&amp;" Equity","VOLUME_AVG_90D"))</f>
        <v>2.5196076293854874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7.3886426008022976E-3</v>
      </c>
      <c r="AN11" s="260">
        <f ca="1">IF(ISTEXT(B11),AP11/_xll.BDH(B11 &amp;  " Equity","BEST_EPS",$AN$3,$AN$3,"BEST_FPERIOD_OVERRIDE=1BF","CDR=US","Fill=p")-1,"")</f>
        <v>-4.4726607183710798E-2</v>
      </c>
      <c r="AO11" s="262">
        <f t="shared" ca="1" si="7"/>
        <v>19.471021434558732</v>
      </c>
      <c r="AP11" s="262" cm="1">
        <f t="array" aca="1" ref="AP11" ca="1">IF(ISTEXT(B11),_xll.BDH(B11 &amp;  " Equity","BEST_EPS",$Q$3,$Q$3,"BEST_FPERIOD_OVERRIDE=1BF","CDR=US","Fill=p"),"")</f>
        <v>33.404000000000003</v>
      </c>
      <c r="AR11" s="260">
        <f ca="1">IF(ISTEXT(C11),AU11/_xll.BDH(C11 &amp;  " Equity","BEST_EPS",$AM$3,$AM$3,"BEST_FPERIOD_OVERRIDE=1BF","CDR=US","Fill=p")-1,"")</f>
        <v>7.2455160945479324E-3</v>
      </c>
      <c r="AS11" s="260">
        <f ca="1">IF(ISTEXT(C11),AU11/_xll.BDH(C11 &amp;  " Equity","BEST_EPS",$AN$3,$AN$3,"BEST_FPERIOD_OVERRIDE=1BF","CDR=US","Fill=p")-1,"")</f>
        <v>6.6130248931355329E-2</v>
      </c>
      <c r="AT11" s="262">
        <f t="shared" ca="1" si="8"/>
        <v>31.958726415094336</v>
      </c>
      <c r="AU11" s="262" cm="1">
        <f t="array" aca="1" ref="AU11" ca="1">IF(ISTEXT(C11),_xll.BDH(C11 &amp;  " Equity","BEST_EPS",$Q$3,$Q$3,"BEST_FPERIOD_OVERRIDE=1BF","CDR=US","Fill=p"),"")</f>
        <v>8.48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5323.2</v>
      </c>
      <c r="H12" s="188" cm="1">
        <f t="array" ref="H12">G12/_xll.BDP(B12&amp;" Equity", "PREV_CLOSE_VAL")-1</f>
        <v>-5.9996302748850372E-3</v>
      </c>
      <c r="I12" s="187" cm="1">
        <f t="array" ref="I12">_xll.BDP(C12&amp;" Equity","LAST PRICE")</f>
        <v>133.01</v>
      </c>
      <c r="J12" s="188" cm="1">
        <f t="array" ref="J12">I12/_xll.BDP(C12&amp;" Equity", "PREV_CLOSE_VAL")-1</f>
        <v>-1.9967580312407973E-2</v>
      </c>
      <c r="K12" s="189">
        <f t="shared" si="1"/>
        <v>40.021051048793325</v>
      </c>
      <c r="L12" s="188" cm="1">
        <f t="array" ref="L12">K12/(_xll.BDP(B12&amp;" Equity", "PREV_CLOSE_VAL")/_xll.BDP(C12&amp;" Equity", "PREV_CLOSE_VAL"))-1</f>
        <v>1.4252538749662369E-2</v>
      </c>
      <c r="M12" s="188"/>
      <c r="N12" s="190">
        <f t="shared" si="2"/>
        <v>0.83098953696520272</v>
      </c>
      <c r="O12" s="191">
        <f t="shared" si="3"/>
        <v>1.7151285444234405E-2</v>
      </c>
      <c r="P12" s="192" cm="1">
        <f t="array" ref="P12">_xll.BDP($A12&amp;" Index","VOLATILITY_30D")</f>
        <v>27.219090000000001</v>
      </c>
      <c r="Q12" s="192" cm="1">
        <f t="array" aca="1" ref="Q12" ca="1">(_xll.BDP(($B12&amp; " Equity"),"CORR_COEF", "BETA_OVERRIDE_REL_INDEX",($C12&amp; " Equity"),"BETA_OVERRIDE_END_DT",$Q$5,"BETA_OVERRIDE_START_DT",$Q$4))*100</f>
        <v>65.503604221437513</v>
      </c>
      <c r="R12" s="188"/>
      <c r="S12" s="188" cm="1">
        <f t="array" ref="S12">_xll.BDP($A12&amp;" Index","CHG_PCT_2D")/100</f>
        <v>-4.5814519999999997E-3</v>
      </c>
      <c r="T12" s="188" cm="1">
        <f t="array" ref="T12">_xll.BDP($A12&amp;" Index","CHG_PCT_5D")/100</f>
        <v>-7.6111720000000002E-3</v>
      </c>
      <c r="U12" s="188" cm="1">
        <f t="array" ref="U12">K12/_xll.BDP($A12&amp;" Index","HIGH_52WEEK")-1</f>
        <v>-0.13354656255656971</v>
      </c>
      <c r="V12" s="188" cm="1">
        <f t="array" ref="V12">K12/_xll.BDP($A12&amp;" Index","LOW_52WEEK")-1</f>
        <v>0.28066748635745187</v>
      </c>
      <c r="W12" s="188"/>
      <c r="X12" s="192" cm="1">
        <f t="array" ref="X12">_xll.BDP($A12&amp;" Index","RSI_14D")</f>
        <v>39.27008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3.386853652268984E-2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2.9525233502247596</v>
      </c>
      <c r="AI12" s="196" cm="1">
        <f t="array" ref="AI12">(_xll.BDP(C12&amp;" Equity","SHORT_INT")/_xll.BDP(C12&amp;" Equity","VOLUME_AVG_90D"))</f>
        <v>3.5433060988707377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3.1426684528902742</v>
      </c>
      <c r="AM12" s="194">
        <f ca="1">IF(ISTEXT(B12),AP12/_xll.BDH(B12 &amp;  " Equity","BEST_EPS",$AM$3,$AM$3,"BEST_FPERIOD_OVERRIDE=1BF","CDR=US","Fill=p")-1,"")</f>
        <v>1.1938445602958314E-2</v>
      </c>
      <c r="AN12" s="194">
        <f ca="1">IF(ISTEXT(B12),AP12/_xll.BDH(B12 &amp;  " Equity","BEST_EPS",$AN$3,$AN$3,"BEST_FPERIOD_OVERRIDE=1BF","CDR=US","Fill=p")-1,"")</f>
        <v>6.7591238529898678E-2</v>
      </c>
      <c r="AO12" s="196">
        <f t="shared" ca="1" si="7"/>
        <v>20.032212906236357</v>
      </c>
      <c r="AP12" s="196" cm="1">
        <f t="array" aca="1" ref="AP12" ca="1">IF(ISTEXT(B12),_xll.BDH(B12 &amp;  " Equity","BEST_EPS",$Q$3,$Q$3,"BEST_FPERIOD_OVERRIDE=1BF","CDR=US","Fill=p"),"")</f>
        <v>265.73200000000003</v>
      </c>
      <c r="AR12" s="194">
        <f ca="1">IF(ISTEXT(C12),AU12/_xll.BDH(C12 &amp;  " Equity","BEST_EPS",$AM$3,$AM$3,"BEST_FPERIOD_OVERRIDE=1BF","CDR=US","Fill=p")-1,"")</f>
        <v>1.2383900928792491E-2</v>
      </c>
      <c r="AS12" s="194">
        <f ca="1">IF(ISTEXT(C12),AU12/_xll.BDH(C12 &amp;  " Equity","BEST_EPS",$AN$3,$AN$3,"BEST_FPERIOD_OVERRIDE=1BF","CDR=US","Fill=p")-1,"")</f>
        <v>0.12274678111587978</v>
      </c>
      <c r="AT12" s="196">
        <f t="shared" ca="1" si="8"/>
        <v>25.422400611620791</v>
      </c>
      <c r="AU12" s="196" cm="1">
        <f t="array" aca="1" ref="AU12" ca="1">IF(ISTEXT(C12),_xll.BDH(C12 &amp;  " Equity","BEST_EPS",$Q$3,$Q$3,"BEST_FPERIOD_OVERRIDE=1BF","CDR=US","Fill=p"),"")</f>
        <v>5.2320000000000002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2.805943739905161E-3</v>
      </c>
      <c r="E13" s="255">
        <f>SUMIF(Tabelad[Ticker],PAIR_Monitor!C13,Tabelad[Exp %])</f>
        <v>-6.7224652765283347E-4</v>
      </c>
      <c r="F13" s="254"/>
      <c r="G13" s="256" cm="1">
        <f t="array" ref="G13">_xll.BDP(B13&amp;" Equity","LAST PRICE")</f>
        <v>319.61</v>
      </c>
      <c r="H13" s="257" cm="1">
        <f t="array" ref="H13">G13/_xll.BDP(B13&amp;" Equity", "PREV_CLOSE_VAL")-1</f>
        <v>5.1729244134390839E-2</v>
      </c>
      <c r="I13" s="256" cm="1">
        <f t="array" ref="I13">_xll.BDP(C13&amp;" Equity","LAST PRICE")</f>
        <v>313.69</v>
      </c>
      <c r="J13" s="257" cm="1">
        <f t="array" ref="J13">I13/_xll.BDP(C13&amp;" Equity", "PREV_CLOSE_VAL")-1</f>
        <v>4.1640378548895907E-2</v>
      </c>
      <c r="K13" s="258">
        <f t="shared" si="1"/>
        <v>1.0188721349102619</v>
      </c>
      <c r="L13" s="257" cm="1">
        <f t="array" ref="L13">K13/(_xll.BDP(B13&amp;" Equity", "PREV_CLOSE_VAL")/_xll.BDP(C13&amp;" Equity", "PREV_CLOSE_VAL"))-1</f>
        <v>9.6855553924950488E-3</v>
      </c>
      <c r="M13" s="257"/>
      <c r="N13" s="190">
        <f t="shared" si="2"/>
        <v>0.8225077995696497</v>
      </c>
      <c r="O13" s="191">
        <f t="shared" si="3"/>
        <v>1.177563957151859E-2</v>
      </c>
      <c r="P13" s="259" cm="1">
        <f t="array" ref="P13">_xll.BDP($A13&amp;" Index","VOLATILITY_30D")</f>
        <v>18.687940000000001</v>
      </c>
      <c r="Q13" s="259" cm="1">
        <f t="array" aca="1" ref="Q13" ca="1">(_xll.BDP(($B13&amp; " Equity"),"CORR_COEF", "BETA_OVERRIDE_REL_INDEX",($C13&amp; " Equity"),"BETA_OVERRIDE_END_DT",$Q$5,"BETA_OVERRIDE_START_DT",$Q$4))*100</f>
        <v>71.533321228681075</v>
      </c>
      <c r="R13" s="257"/>
      <c r="S13" s="257" cm="1">
        <f t="array" ref="S13">_xll.BDP($A13&amp;" Index","CHG_PCT_2D")/100</f>
        <v>2.7087170000000001E-2</v>
      </c>
      <c r="T13" s="257" cm="1">
        <f t="array" ref="T13">_xll.BDP($A13&amp;" Index","CHG_PCT_5D")/100</f>
        <v>1.9762740000000001E-2</v>
      </c>
      <c r="U13" s="257" cm="1">
        <f t="array" ref="U13">K13/_xll.BDP($A13&amp;" Index","HIGH_52WEEK")-1</f>
        <v>-4.1746952852301678E-2</v>
      </c>
      <c r="V13" s="257" cm="1">
        <f t="array" ref="V13">K13/_xll.BDP($A13&amp;" Index","LOW_52WEEK")-1</f>
        <v>0.19096684384601037</v>
      </c>
      <c r="W13" s="257"/>
      <c r="X13" s="259" cm="1">
        <f t="array" ref="X13">_xll.BDP($A13&amp;" Index","RSI_14D")</f>
        <v>52.128010000000003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0.13208014990029082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2.0595344988295996</v>
      </c>
      <c r="AI13" s="262" cm="1">
        <f t="array" ref="AI13">(_xll.BDP(C13&amp;" Equity","SHORT_INT")/_xll.BDP(C13&amp;" Equity","VOLUME_AVG_90D"))</f>
        <v>1.0943836477385296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2.2412914644283966E-2</v>
      </c>
      <c r="AN13" s="260">
        <f ca="1">IF(ISTEXT(B13),AP13/_xll.BDH(B13 &amp;  " Equity","BEST_EPS",$AN$3,$AN$3,"BEST_FPERIOD_OVERRIDE=1BF","CDR=US","Fill=p")-1,"")</f>
        <v>0.14170896405096634</v>
      </c>
      <c r="AO13" s="262">
        <f t="shared" ca="1" si="7"/>
        <v>0.83828173358372593</v>
      </c>
      <c r="AP13" s="262" cm="1">
        <f t="array" aca="1" ref="AP13" ca="1">IF(ISTEXT(B13),_xll.BDH(B13 &amp;  " Equity","BEST_EPS",$Q$3,$Q$3,"BEST_FPERIOD_OVERRIDE=1BF","CDR=US","Fill=p"),"")</f>
        <v>381.26799999999997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2.3403159241636023E-3</v>
      </c>
      <c r="E14" s="263"/>
      <c r="F14" s="254"/>
      <c r="G14" s="256" cm="1">
        <f t="array" ref="G14">_xll.BDP(B14&amp;" Equity","LAST PRICE")</f>
        <v>188.85</v>
      </c>
      <c r="H14" s="257" cm="1">
        <f t="array" ref="H14">G14/_xll.BDP(B14&amp;" Equity", "PREV_CLOSE_VAL")-1</f>
        <v>1.2600536193029477E-2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1.4155603711605811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3.689320388349504E-2</v>
      </c>
      <c r="AN14" s="260">
        <f ca="1">IF(ISTEXT(B14),AP14/_xll.BDH(B14 &amp;  " Equity","BEST_EPS",$AN$3,$AN$3,"BEST_FPERIOD_OVERRIDE=1BF","CDR=US","Fill=p")-1,"")</f>
        <v>0.29476965708347769</v>
      </c>
      <c r="AO14" s="262">
        <f t="shared" ca="1" si="7"/>
        <v>25.26083467094703</v>
      </c>
      <c r="AP14" s="262" cm="1">
        <f t="array" aca="1" ref="AP14" ca="1">IF(ISTEXT(B14),_xll.BDH(B14 &amp;  " Equity","BEST_EPS",$Q$3,$Q$3,"BEST_FPERIOD_OVERRIDE=1BF","CDR=US","Fill=p"),"")</f>
        <v>7.476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346.48</v>
      </c>
      <c r="H15" s="188" cm="1">
        <f t="array" ref="H15">G15/_xll.BDP(B15&amp;" Equity", "PREV_CLOSE_VAL")-1</f>
        <v>-1.2061247184283252E-2</v>
      </c>
      <c r="I15" s="187" cm="1">
        <f t="array" ref="I15">_xll.BDP(C15&amp;" Equity","LAST PRICE")</f>
        <v>192.86</v>
      </c>
      <c r="J15" s="188" cm="1">
        <f t="array" ref="J15">I15/_xll.BDP(C15&amp;" Equity", "PREV_CLOSE_VAL")-1</f>
        <v>6.7863854666945223E-3</v>
      </c>
      <c r="K15" s="189">
        <f t="shared" si="1"/>
        <v>1.796536347609665</v>
      </c>
      <c r="L15" s="188" cm="1">
        <f t="array" ref="L15">K15/(_xll.BDP(B15&amp;" Equity", "PREV_CLOSE_VAL")/_xll.BDP(C15&amp;" Equity", "PREV_CLOSE_VAL"))-1</f>
        <v>-1.8720587527850774E-2</v>
      </c>
      <c r="M15" s="188"/>
      <c r="N15" s="190">
        <f t="shared" si="2"/>
        <v>1.5783989675549166</v>
      </c>
      <c r="O15" s="191">
        <f t="shared" si="3"/>
        <v>1.1860491493383744E-2</v>
      </c>
      <c r="P15" s="192" cm="1">
        <f t="array" ref="P15">_xll.BDP($A15&amp;" Index","VOLATILITY_30D")</f>
        <v>18.822600000000001</v>
      </c>
      <c r="Q15" s="192" cm="1">
        <f t="array" aca="1" ref="Q15" ca="1">(_xll.BDP(($B15&amp; " Equity"),"CORR_COEF", "BETA_OVERRIDE_REL_INDEX",($C15&amp; " Equity"),"BETA_OVERRIDE_END_DT",$Q$5,"BETA_OVERRIDE_START_DT",$Q$4))*100</f>
        <v>71.007633483152134</v>
      </c>
      <c r="R15" s="188"/>
      <c r="S15" s="188" cm="1">
        <f t="array" ref="S15">_xll.BDP($A15&amp;" Index","CHG_PCT_2D")/100</f>
        <v>3.1307420000000001E-4</v>
      </c>
      <c r="T15" s="188" cm="1">
        <f t="array" ref="T15">_xll.BDP($A15&amp;" Index","CHG_PCT_5D")/100</f>
        <v>-3.2597889999999997E-4</v>
      </c>
      <c r="U15" s="188" cm="1">
        <f t="array" ref="U15">K15/_xll.BDP($A15&amp;" Index","HIGH_52WEEK")-1</f>
        <v>-0.13809143884739028</v>
      </c>
      <c r="V15" s="188" cm="1">
        <f t="array" ref="V15">K15/_xll.BDP($A15&amp;" Index","LOW_52WEEK")-1</f>
        <v>6.5415956073409331E-2</v>
      </c>
      <c r="W15" s="188"/>
      <c r="X15" s="192" cm="1">
        <f t="array" ref="X15">_xll.BDP($A15&amp;" Index","RSI_14D")</f>
        <v>63.85087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-0.10173182619516752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4.0779182314331974</v>
      </c>
      <c r="AI15" s="196" cm="1">
        <f t="array" ref="AI15">(_xll.BDP(C15&amp;" Equity","SHORT_INT")/_xll.BDP(C15&amp;" Equity","VOLUME_AVG_90D"))</f>
        <v>1.934779741742443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1.0243082097538547E-2</v>
      </c>
      <c r="AN15" s="194">
        <f ca="1">IF(ISTEXT(B15),AP15/_xll.BDH(B15 &amp;  " Equity","BEST_EPS",$AN$3,$AN$3,"BEST_FPERIOD_OVERRIDE=1BF","CDR=US","Fill=p")-1,"")</f>
        <v>2.8002489110143136E-2</v>
      </c>
      <c r="AO15" s="196">
        <f t="shared" ca="1" si="7"/>
        <v>26.21670702179177</v>
      </c>
      <c r="AP15" s="196" cm="1">
        <f t="array" aca="1" ref="AP15" ca="1">IF(ISTEXT(B15),_xll.BDH(B15 &amp;  " Equity","BEST_EPS",$Q$3,$Q$3,"BEST_FPERIOD_OVERRIDE=1BF","CDR=US","Fill=p"),"")</f>
        <v>13.215999999999999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563.13</v>
      </c>
      <c r="H16" s="188" cm="1">
        <f t="array" ref="H16">G16/_xll.BDP(B16&amp;" Equity", "PREV_CLOSE_VAL")-1</f>
        <v>-1.3575532511210797E-2</v>
      </c>
      <c r="I16" s="187" cm="1">
        <f t="array" ref="I16">_xll.BDP(C16&amp;" Equity","LAST PRICE")</f>
        <v>192.86</v>
      </c>
      <c r="J16" s="188" cm="1">
        <f t="array" ref="J16">I16/_xll.BDP(C16&amp;" Equity", "PREV_CLOSE_VAL")-1</f>
        <v>6.7863854666945223E-3</v>
      </c>
      <c r="K16" s="189">
        <f t="shared" si="1"/>
        <v>2.9198900757025821</v>
      </c>
      <c r="L16" s="188" cm="1">
        <f t="array" ref="L16">K16/(_xll.BDP(B16&amp;" Equity", "PREV_CLOSE_VAL")/_xll.BDP(C16&amp;" Equity", "PREV_CLOSE_VAL"))-1</f>
        <v>-2.0224665601200509E-2</v>
      </c>
      <c r="M16" s="188"/>
      <c r="N16" s="190">
        <f t="shared" si="2"/>
        <v>1.9513190336164694</v>
      </c>
      <c r="O16" s="191">
        <f t="shared" si="3"/>
        <v>1.0364612476370511E-2</v>
      </c>
      <c r="P16" s="192" cm="1">
        <f t="array" ref="P16">_xll.BDP($A16&amp;" Index","VOLATILITY_30D")</f>
        <v>16.448640000000001</v>
      </c>
      <c r="Q16" s="192" cm="1">
        <f t="array" aca="1" ref="Q16" ca="1">(_xll.BDP(($B16&amp; " Equity"),"CORR_COEF", "BETA_OVERRIDE_REL_INDEX",($C16&amp; " Equity"),"BETA_OVERRIDE_END_DT",$Q$5,"BETA_OVERRIDE_START_DT",$Q$4))*100</f>
        <v>75.044112590825591</v>
      </c>
      <c r="R16" s="188"/>
      <c r="S16" s="188" cm="1">
        <f t="array" ref="S16">_xll.BDP($A16&amp;" Index","CHG_PCT_2D")/100</f>
        <v>-2.8113860000000004E-3</v>
      </c>
      <c r="T16" s="188" cm="1">
        <f t="array" ref="T16">_xll.BDP($A16&amp;" Index","CHG_PCT_5D")/100</f>
        <v>-3.3226369999999998E-3</v>
      </c>
      <c r="U16" s="188" cm="1">
        <f t="array" ref="U16">K16/_xll.BDP($A16&amp;" Index","HIGH_52WEEK")-1</f>
        <v>-0.12029246083268597</v>
      </c>
      <c r="V16" s="188" cm="1">
        <f t="array" ref="V16">K16/_xll.BDP($A16&amp;" Index","LOW_52WEEK")-1</f>
        <v>4.6720656914560843E-2</v>
      </c>
      <c r="W16" s="188"/>
      <c r="X16" s="192" cm="1">
        <f t="array" ref="X16">_xll.BDP($A16&amp;" Index","RSI_14D")</f>
        <v>61.704270000000001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-0.10432819763724466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2.547723336154756</v>
      </c>
      <c r="AI16" s="196" cm="1">
        <f t="array" ref="AI16">(_xll.BDP(C16&amp;" Equity","SHORT_INT")/_xll.BDP(C16&amp;" Equity","VOLUME_AVG_90D"))</f>
        <v>1.934779741742443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1.1897837237586417E-2</v>
      </c>
      <c r="AN16" s="194">
        <f ca="1">IF(ISTEXT(B16),AP16/_xll.BDH(B16 &amp;  " Equity","BEST_EPS",$AN$3,$AN$3,"BEST_FPERIOD_OVERRIDE=1BF","CDR=US","Fill=p")-1,"")</f>
        <v>4.4085552160628483E-2</v>
      </c>
      <c r="AO16" s="196">
        <f t="shared" ca="1" si="7"/>
        <v>29.427780100334449</v>
      </c>
      <c r="AP16" s="196" cm="1">
        <f t="array" aca="1" ref="AP16" ca="1">IF(ISTEXT(B16),_xll.BDH(B16 &amp;  " Equity","BEST_EPS",$Q$3,$Q$3,"BEST_FPERIOD_OVERRIDE=1BF","CDR=US","Fill=p"),"")</f>
        <v>19.135999999999999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9.9323075168970668E-4</v>
      </c>
      <c r="E17" s="255">
        <f>SUMIF(Tabelad[Ticker],PAIR_Monitor!C17,Tabelad[Exp %])-E16-E15</f>
        <v>-9.9323075168970668E-4</v>
      </c>
      <c r="F17" s="254"/>
      <c r="G17" s="187" cm="1">
        <f t="array" ref="G17">_xll.BDP(B17&amp;" Equity","LAST PRICE")</f>
        <v>54.93</v>
      </c>
      <c r="H17" s="188" cm="1">
        <f t="array" ref="H17">G17/_xll.BDP(B17&amp;" Equity", "PREV_CLOSE_VAL")-1</f>
        <v>2.9213072850100552E-3</v>
      </c>
      <c r="I17" s="187" cm="1">
        <f t="array" ref="I17">_xll.BDP(C17&amp;" Equity","LAST PRICE")</f>
        <v>192.86</v>
      </c>
      <c r="J17" s="188" cm="1">
        <f t="array" ref="J17">I17/_xll.BDP(C17&amp;" Equity", "PREV_CLOSE_VAL")-1</f>
        <v>6.7863854666945223E-3</v>
      </c>
      <c r="K17" s="189">
        <f t="shared" si="1"/>
        <v>0.28481800269625634</v>
      </c>
      <c r="L17" s="188" cm="1">
        <f t="array" ref="L17">K17/(_xll.BDP(B17&amp;" Equity", "PREV_CLOSE_VAL")/_xll.BDP(C17&amp;" Equity", "PREV_CLOSE_VAL"))-1</f>
        <v>-3.8390250776910717E-3</v>
      </c>
      <c r="M17" s="188"/>
      <c r="N17" s="190">
        <f t="shared" si="2"/>
        <v>0.96536368200096911</v>
      </c>
      <c r="O17" s="191">
        <f t="shared" si="3"/>
        <v>3.9767655954631382E-3</v>
      </c>
      <c r="P17" s="192" cm="1">
        <f t="array" ref="P17">_xll.BDP($A17&amp;" Index","VOLATILITY_30D")</f>
        <v>6.3111269999999999</v>
      </c>
      <c r="Q17" s="192" cm="1">
        <f t="array" aca="1" ref="Q17" ca="1">(_xll.BDP(($B17&amp; " Equity"),"CORR_COEF", "BETA_OVERRIDE_REL_INDEX",($C17&amp; " Equity"),"BETA_OVERRIDE_END_DT",$Q$5,"BETA_OVERRIDE_START_DT",$Q$4))*100</f>
        <v>85.225872776166284</v>
      </c>
      <c r="R17" s="188"/>
      <c r="S17" s="188" cm="1">
        <f t="array" ref="S17">_xll.BDP($A17&amp;" Index","CHG_PCT_2D")/100</f>
        <v>1.1344700000000001E-3</v>
      </c>
      <c r="T17" s="188" cm="1">
        <f t="array" ref="T17">_xll.BDP($A17&amp;" Index","CHG_PCT_5D")/100</f>
        <v>-3.5467630000000001E-3</v>
      </c>
      <c r="U17" s="188" cm="1">
        <f t="array" ref="U17">K17/_xll.BDP($A17&amp;" Index","HIGH_52WEEK")-1</f>
        <v>-1.8714891658031529E-2</v>
      </c>
      <c r="V17" s="188" cm="1">
        <f t="array" ref="V17">K17/_xll.BDP($A17&amp;" Index","LOW_52WEEK")-1</f>
        <v>4.3824681874427673E-2</v>
      </c>
      <c r="W17" s="188"/>
      <c r="X17" s="192" cm="1">
        <f t="array" ref="X17">_xll.BDP($A17&amp;" Index","RSI_14D")</f>
        <v>60.866869999999999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-1.7868956219805665E-2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1.42801050778088</v>
      </c>
      <c r="AI17" s="196" cm="1">
        <f t="array" ref="AI17">(_xll.BDP(C17&amp;" Equity","SHORT_INT")/_xll.BDP(C17&amp;" Equity","VOLUME_AVG_90D"))</f>
        <v>1.934779741742443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54.93</v>
      </c>
      <c r="H18" s="188" cm="1">
        <f t="array" ref="H18">G18/_xll.BDP(B18&amp;" Equity", "PREV_CLOSE_VAL")-1</f>
        <v>2.9213072850100552E-3</v>
      </c>
      <c r="I18" s="187" cm="1">
        <f t="array" ref="I18">_xll.BDP(C18&amp;" Equity","LAST PRICE")</f>
        <v>496.85</v>
      </c>
      <c r="J18" s="188" cm="1">
        <f t="array" ref="J18">I18/_xll.BDP(C18&amp;" Equity", "PREV_CLOSE_VAL")-1</f>
        <v>-1.1538844126131376E-2</v>
      </c>
      <c r="K18" s="189">
        <f t="shared" si="1"/>
        <v>0.11055650598772265</v>
      </c>
      <c r="L18" s="188" cm="1">
        <f t="array" ref="L18">K18/(_xll.BDP(B18&amp;" Equity", "PREV_CLOSE_VAL")/_xll.BDP(C18&amp;" Equity", "PREV_CLOSE_VAL"))-1</f>
        <v>1.4628952615095558E-2</v>
      </c>
      <c r="M18" s="188"/>
      <c r="N18" s="190">
        <f t="shared" si="2"/>
        <v>1.6651519398549921</v>
      </c>
      <c r="O18" s="191">
        <f t="shared" si="3"/>
        <v>8.7853560176433532E-3</v>
      </c>
      <c r="P18" s="192" cm="1">
        <f t="array" ref="P18">_xll.BDP($A18&amp;" Index","VOLATILITY_30D")</f>
        <v>13.942360000000001</v>
      </c>
      <c r="Q18" s="192" cm="1">
        <f t="array" aca="1" ref="Q18" ca="1">(_xll.BDP(($B18&amp; " Equity"),"CORR_COEF", "BETA_OVERRIDE_REL_INDEX",($C18&amp; " Equity"),"BETA_OVERRIDE_END_DT",$Q$5,"BETA_OVERRIDE_START_DT",$Q$4))*100</f>
        <v>48.358726115193399</v>
      </c>
      <c r="R18" s="188"/>
      <c r="S18" s="188" cm="1">
        <f t="array" ref="S18">_xll.BDP($A18&amp;" Index","CHG_PCT_2D")/100</f>
        <v>-5.3602470000000003E-3</v>
      </c>
      <c r="T18" s="188" cm="1">
        <f t="array" ref="T18">_xll.BDP($A18&amp;" Index","CHG_PCT_5D")/100</f>
        <v>-2.3826480000000001E-2</v>
      </c>
      <c r="U18" s="188" cm="1">
        <f t="array" ref="U18">K18/_xll.BDP($A18&amp;" Index","HIGH_52WEEK")-1</f>
        <v>-2.2229539332071724E-2</v>
      </c>
      <c r="V18" s="188" cm="1">
        <f t="array" ref="V18">K18/_xll.BDP($A18&amp;" Index","LOW_52WEEK")-1</f>
        <v>0.24206837420202953</v>
      </c>
      <c r="W18" s="188"/>
      <c r="X18" s="192" cm="1">
        <f t="array" ref="X18">_xll.BDP($A18&amp;" Index","RSI_14D")</f>
        <v>55.151110000000003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0.10556505987722642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1.42801050778088</v>
      </c>
      <c r="AI18" s="196" cm="1">
        <f t="array" ref="AI18">(_xll.BDP(C18&amp;" Equity","SHORT_INT")/_xll.BDP(C18&amp;" Equity","VOLUME_AVG_90D"))</f>
        <v>2.7031551555514284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-4.7200981780459728E-5</v>
      </c>
      <c r="AS18" s="194">
        <f ca="1">IF(ISTEXT(C18),AU18/_xll.BDH(C18 &amp;  " Equity","BEST_EPS",$AN$3,$AN$3,"BEST_FPERIOD_OVERRIDE=1BF","CDR=US","Fill=p")-1,"")</f>
        <v>-1.1017226086550647E-2</v>
      </c>
      <c r="AT18" s="196">
        <f t="shared" ca="1" si="8"/>
        <v>23.45291479820628</v>
      </c>
      <c r="AU18" s="196" cm="1">
        <f t="array" aca="1" ref="AU18" ca="1">IF(ISTEXT(C18),_xll.BDH(C18 &amp;  " Equity","BEST_EPS",$Q$3,$Q$3,"BEST_FPERIOD_OVERRIDE=1BF","CDR=US","Fill=p"),"")</f>
        <v>21.184999999999999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-9.9323075168970668E-4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1679</v>
      </c>
      <c r="C29" s="186" t="s">
        <v>1681</v>
      </c>
      <c r="D29" s="186"/>
      <c r="E29" s="186"/>
      <c r="F29" s="186"/>
      <c r="G29" s="187" cm="1">
        <f t="array" ref="G29">_xll.BDP(B29&amp;" Equity","LAST PRICE")</f>
        <v>35.83</v>
      </c>
      <c r="H29" s="188" cm="1">
        <f t="array" ref="H29">G29/_xll.BDP(B29&amp;" Equity", "PREV_CLOSE_VAL")-1</f>
        <v>3.1672905269219731E-2</v>
      </c>
      <c r="I29" s="187" cm="1">
        <f t="array" ref="I29">_xll.BDP(C29&amp;" Equity","LAST PRICE")</f>
        <v>66.510000000000005</v>
      </c>
      <c r="J29" s="188" cm="1">
        <f t="array" ref="J29">I29/_xll.BDP(C29&amp;" Equity", "PREV_CLOSE_VAL")-1</f>
        <v>1.6661571384897655E-2</v>
      </c>
      <c r="K29" s="189">
        <f t="shared" ref="K29:K41" si="9">G29/I29</f>
        <v>0.53871598255901365</v>
      </c>
      <c r="L29" s="188" cm="1">
        <f t="array" ref="L29">K29/(_xll.BDP(B29&amp;" Equity", "PREV_CLOSE_VAL")/_xll.BDP(C29&amp;" Equity", "PREV_CLOSE_VAL"))-1</f>
        <v>1.4765320443728136E-2</v>
      </c>
      <c r="M29" s="188"/>
      <c r="N29" s="190">
        <f t="shared" ref="N29:N41" si="10">ABS(L29/O29)</f>
        <v>1.1418409717790279</v>
      </c>
      <c r="O29" s="191">
        <f>P29/15.87/100</f>
        <v>1.2931153119092629E-2</v>
      </c>
      <c r="P29" s="192" cm="1">
        <f t="array" ref="P29">_xll.BDP($A29&amp;" Index","VOLATILITY_30D")</f>
        <v>20.521740000000001</v>
      </c>
      <c r="Q29" s="192" cm="1">
        <f t="array" aca="1" ref="Q29" ca="1">(_xll.BDP(($B29&amp; " Equity"),"CORR_COEF", "BETA_OVERRIDE_REL_INDEX",($C29&amp; " Equity"),"BETA_OVERRIDE_END_DT",$Q$5,"BETA_OVERRIDE_START_DT",$Q$4))*100</f>
        <v>49.089893954576475</v>
      </c>
      <c r="R29" s="188"/>
      <c r="S29" s="188" cm="1">
        <f t="array" ref="S29">_xll.BDP($A29&amp;" Index","CHG_PCT_2D")/100</f>
        <v>7.0679519999999997E-3</v>
      </c>
      <c r="T29" s="188" cm="1">
        <f t="array" ref="T29">_xll.BDP($A29&amp;" Index","CHG_PCT_5D")/100</f>
        <v>1.5131749999999999E-2</v>
      </c>
      <c r="U29" s="188" cm="1">
        <f t="array" ref="U29">K29/_xll.BDP($A29&amp;" Index","HIGH_52WEEK")-1</f>
        <v>-9.1556664206314253E-2</v>
      </c>
      <c r="V29" s="188" cm="1">
        <f t="array" ref="V29">K29/_xll.BDP($A29&amp;" Index","LOW_52WEEK")-1</f>
        <v>0.14190385687732077</v>
      </c>
      <c r="W29" s="188"/>
      <c r="X29" s="192" cm="1">
        <f t="array" ref="X29">_xll.BDP($A29&amp;" Index","RSI_14D")</f>
        <v>42.403179999999999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0.96162526074160493</v>
      </c>
      <c r="AI29" s="196" cm="1">
        <f t="array" ref="AI29">(_xll.BDP(C29&amp;" Equity","SHORT_INT")/_xll.BDP(C29&amp;" Equity","VOLUME_AVG_90D"))</f>
        <v>26.803919612081483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-2.3897677549646668E-2</v>
      </c>
      <c r="AN29" s="194">
        <f ca="1">IF(ISTEXT(B29),AP29/_xll.BDH(B29 &amp;  " Equity","BEST_EPS",$AN$3,$AN$3,"BEST_FPERIOD_OVERRIDE=1BF","CDR=US","Fill=p")-1,"")</f>
        <v>1.9332161687170446E-2</v>
      </c>
      <c r="AO29" s="196">
        <f t="shared" ref="AO29:AO41" ca="1" si="14">G29/AP29</f>
        <v>12.355172413793102</v>
      </c>
      <c r="AP29" s="196" cm="1">
        <f t="array" aca="1" ref="AP29" ca="1">IF(ISTEXT(B29),_xll.BDH(B29 &amp;  " Equity","BEST_EPS",$Q$3,$Q$3,"BEST_FPERIOD_OVERRIDE=1BF","CDR=US","Fill=p"),"")</f>
        <v>2.9</v>
      </c>
      <c r="AR29" s="194">
        <f ca="1">IF(ISTEXT(C29),AU29/_xll.BDH(C29 &amp;  " Equity","BEST_EPS",$AM$3,$AM$3,"BEST_FPERIOD_OVERRIDE=1BF","CDR=US","Fill=p")-1,"")</f>
        <v>-2.6871676965081082E-2</v>
      </c>
      <c r="AS29" s="194">
        <f ca="1">IF(ISTEXT(C29),AU29/_xll.BDH(C29 &amp;  " Equity","BEST_EPS",$AN$3,$AN$3,"BEST_FPERIOD_OVERRIDE=1BF","CDR=US","Fill=p")-1,"")</f>
        <v>-2.4348076646016348E-2</v>
      </c>
      <c r="AT29" s="196">
        <f t="shared" ref="AT29:AT41" ca="1" si="15">I29/AU29</f>
        <v>9.8213230950974602</v>
      </c>
      <c r="AU29" s="196" cm="1">
        <f t="array" aca="1" ref="AU29" ca="1">IF(ISTEXT(C29),_xll.BDH(C29 &amp;  " Equity","BEST_EPS",$Q$3,$Q$3,"BEST_FPERIOD_OVERRIDE=1BF","CDR=US","Fill=p"),"")</f>
        <v>6.7720000000000002</v>
      </c>
    </row>
    <row r="30" spans="1:47">
      <c r="A30" t="str">
        <f>"."&amp;B30&amp;C30</f>
        <v>.BPSHEL</v>
      </c>
      <c r="B30" s="186" t="s">
        <v>1679</v>
      </c>
      <c r="C30" s="186" t="s">
        <v>1680</v>
      </c>
      <c r="D30" s="186"/>
      <c r="E30" s="186"/>
      <c r="F30" s="186"/>
      <c r="G30" s="187" cm="1">
        <f t="array" ref="G30">_xll.BDP(B30&amp;" Equity","LAST PRICE")</f>
        <v>35.83</v>
      </c>
      <c r="H30" s="188" cm="1">
        <f t="array" ref="H30">G30/_xll.BDP(B30&amp;" Equity", "PREV_CLOSE_VAL")-1</f>
        <v>3.1672905269219731E-2</v>
      </c>
      <c r="I30" s="187" cm="1">
        <f t="array" ref="I30">_xll.BDP(C30&amp;" Equity","LAST PRICE")</f>
        <v>75.44</v>
      </c>
      <c r="J30" s="188" cm="1">
        <f t="array" ref="J30">I30/_xll.BDP(C30&amp;" Equity", "PREV_CLOSE_VAL")-1</f>
        <v>2.667392487751763E-2</v>
      </c>
      <c r="K30" s="189">
        <f t="shared" si="9"/>
        <v>0.47494697773064687</v>
      </c>
      <c r="L30" s="188" cm="1">
        <f t="array" ref="L30">K30/(_xll.BDP(B30&amp;" Equity", "PREV_CLOSE_VAL")/_xll.BDP(C30&amp;" Equity", "PREV_CLOSE_VAL"))-1</f>
        <v>4.8691023221403285E-3</v>
      </c>
      <c r="M30" s="188"/>
      <c r="N30" s="190">
        <f>ABS(L30/O30)</f>
        <v>0.55090238698844918</v>
      </c>
      <c r="O30" s="191">
        <f>P30/15.87/100</f>
        <v>8.8384120982986768E-3</v>
      </c>
      <c r="P30" s="192" cm="1">
        <f t="array" ref="P30">_xll.BDP($A30&amp;" Index","VOLATILITY_30D")</f>
        <v>14.02656</v>
      </c>
      <c r="Q30" s="192" cm="1">
        <f t="array" aca="1" ref="Q30" ca="1">(_xll.BDP(($B30&amp; " Equity"),"CORR_COEF", "BETA_OVERRIDE_REL_INDEX",($C30&amp; " Equity"),"BETA_OVERRIDE_END_DT",$Q$5,"BETA_OVERRIDE_START_DT",$Q$4))*100</f>
        <v>59.483048483338798</v>
      </c>
      <c r="R30" s="188"/>
      <c r="S30" s="188" cm="1">
        <f t="array" ref="S30">_xll.BDP($A30&amp;" Index","CHG_PCT_2D")/100</f>
        <v>4.194181E-3</v>
      </c>
      <c r="T30" s="188" cm="1">
        <f t="array" ref="T30">_xll.BDP($A30&amp;" Index","CHG_PCT_5D")/100</f>
        <v>4.1916209999999995E-3</v>
      </c>
      <c r="U30" s="188" cm="1">
        <f t="array" ref="U30">K30/_xll.BDP($A30&amp;" Index","HIGH_52WEEK")-1</f>
        <v>-8.9057927556394745E-2</v>
      </c>
      <c r="V30" s="188" cm="1">
        <f t="array" ref="V30">K30/_xll.BDP($A30&amp;" Index","LOW_52WEEK")-1</f>
        <v>0.12554678704800537</v>
      </c>
      <c r="W30" s="188"/>
      <c r="X30" s="192" cm="1">
        <f t="array" ref="X30">_xll.BDP($A30&amp;" Index","RSI_14D")</f>
        <v>38.205719999999999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0.96162526074160493</v>
      </c>
      <c r="AI30" s="196" cm="1">
        <f t="array" ref="AI30">(_xll.BDP(C30&amp;" Equity","SHORT_INT")/_xll.BDP(C30&amp;" Equity","VOLUME_AVG_90D"))</f>
        <v>2.8005362346549183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-2.3897677549646668E-2</v>
      </c>
      <c r="AN30" s="194">
        <f ca="1">IF(ISTEXT(B30),AP30/_xll.BDH(B30 &amp;  " Equity","BEST_EPS",$AN$3,$AN$3,"BEST_FPERIOD_OVERRIDE=1BF","CDR=US","Fill=p")-1,"")</f>
        <v>1.9332161687170446E-2</v>
      </c>
      <c r="AO30" s="196">
        <f t="shared" ca="1" si="14"/>
        <v>12.355172413793102</v>
      </c>
      <c r="AP30" s="196" cm="1">
        <f t="array" aca="1" ref="AP30" ca="1">IF(ISTEXT(B30),_xll.BDH(B30 &amp;  " Equity","BEST_EPS",$Q$3,$Q$3,"BEST_FPERIOD_OVERRIDE=1BF","CDR=US","Fill=p"),"")</f>
        <v>2.9</v>
      </c>
      <c r="AR30" s="194">
        <f ca="1">IF(ISTEXT(C30),AU30/_xll.BDH(C30 &amp;  " Equity","BEST_EPS",$AM$3,$AM$3,"BEST_FPERIOD_OVERRIDE=1BF","CDR=US","Fill=p")-1,"")</f>
        <v>-2.5112385676639315E-2</v>
      </c>
      <c r="AS30" s="194">
        <f ca="1">IF(ISTEXT(C30),AU30/_xll.BDH(C30 &amp;  " Equity","BEST_EPS",$AN$3,$AN$3,"BEST_FPERIOD_OVERRIDE=1BF","CDR=US","Fill=p")-1,"")</f>
        <v>-3.9594551789674526E-3</v>
      </c>
      <c r="AT30" s="196">
        <f t="shared" ca="1" si="15"/>
        <v>11.99554778184131</v>
      </c>
      <c r="AU30" s="196" cm="1">
        <f t="array" aca="1" ref="AU30" ca="1">IF(ISTEXT(C30),_xll.BDH(C30 &amp;  " Equity","BEST_EPS",$Q$3,$Q$3,"BEST_FPERIOD_OVERRIDE=1BF","CDR=US","Fill=p"),"")</f>
        <v>6.2889999999999997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253.62</v>
      </c>
      <c r="H31" s="188" cm="1">
        <f t="array" ref="H31">G31/_xll.BDP(B31&amp;" Equity", "PREV_CLOSE_VAL")-1</f>
        <v>-4.2618247706768364E-2</v>
      </c>
      <c r="I31" s="187" cm="1">
        <f t="array" ref="I31">_xll.BDP(C31&amp;" Equity","LAST PRICE")</f>
        <v>613.12</v>
      </c>
      <c r="J31" s="188" cm="1">
        <f t="array" ref="J31">I31/_xll.BDP(C31&amp;" Equity", "PREV_CLOSE_VAL")-1</f>
        <v>-1.9371327180087716E-3</v>
      </c>
      <c r="K31" s="189">
        <f t="shared" si="9"/>
        <v>0.41365474947807934</v>
      </c>
      <c r="L31" s="188" cm="1">
        <f t="array" ref="L31">K31/(_xll.BDP(B31&amp;" Equity", "PREV_CLOSE_VAL")/_xll.BDP(C31&amp;" Equity", "PREV_CLOSE_VAL"))-1</f>
        <v>-4.0760072659096092E-2</v>
      </c>
      <c r="M31" s="188"/>
      <c r="N31" s="190">
        <f t="shared" si="10"/>
        <v>2.1214555727766706</v>
      </c>
      <c r="O31" s="191">
        <f>P31/15.87/100</f>
        <v>1.9213257718966606E-2</v>
      </c>
      <c r="P31" s="192" cm="1">
        <f t="array" ref="P31">_xll.BDP($A31&amp;" Index","VOLATILITY_30D")</f>
        <v>30.491440000000001</v>
      </c>
      <c r="Q31" s="192" cm="1">
        <f t="array" aca="1" ref="Q31" ca="1">(_xll.BDP(($B31&amp; " Equity"),"CORR_COEF", "BETA_OVERRIDE_REL_INDEX",($C31&amp; " Equity"),"BETA_OVERRIDE_END_DT",$Q$5,"BETA_OVERRIDE_START_DT",$Q$4))*100</f>
        <v>40.299580017406825</v>
      </c>
      <c r="R31" s="188"/>
      <c r="S31" s="188" cm="1">
        <f t="array" ref="S31">_xll.BDP($A31&amp;" Index","CHG_PCT_2D")/100</f>
        <v>4.5006040000000001E-3</v>
      </c>
      <c r="T31" s="188" cm="1">
        <f t="array" ref="T31">_xll.BDP($A31&amp;" Index","CHG_PCT_5D")/100</f>
        <v>1.1124879999999998E-2</v>
      </c>
      <c r="U31" s="188" cm="1">
        <f t="array" ref="U31">K31/_xll.BDP($A31&amp;" Index","HIGH_52WEEK")-1</f>
        <v>-0.40033523799585491</v>
      </c>
      <c r="V31" s="188" cm="1">
        <f t="array" ref="V31">K31/_xll.BDP($A31&amp;" Index","LOW_52WEEK")-1</f>
        <v>0.11371156501556023</v>
      </c>
      <c r="W31" s="188"/>
      <c r="X31" s="192" cm="1">
        <f t="array" ref="X31">_xll.BDP($A31&amp;" Index","RSI_14D")</f>
        <v>61.840780000000002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1.8459788732873164</v>
      </c>
      <c r="AI31" s="196" cm="1">
        <f t="array" ref="AI31">(_xll.BDP(C31&amp;" Equity","SHORT_INT")/_xll.BDP(C31&amp;" Equity","VOLUME_AVG_90D"))</f>
        <v>0.90335929935313675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3.6288725140638523E-2</v>
      </c>
      <c r="AN31" s="194">
        <f ca="1">IF(ISTEXT(B31),AP31/_xll.BDH(B31 &amp;  " Equity","BEST_EPS",$AN$3,$AN$3,"BEST_FPERIOD_OVERRIDE=1BF","CDR=US","Fill=p")-1,"")</f>
        <v>6.5238638214693001E-2</v>
      </c>
      <c r="AO31" s="196">
        <f t="shared" ca="1" si="14"/>
        <v>19.391390779111553</v>
      </c>
      <c r="AP31" s="196" cm="1">
        <f t="array" aca="1" ref="AP31" ca="1">IF(ISTEXT(B31),_xll.BDH(B31 &amp;  " Equity","BEST_EPS",$Q$3,$Q$3,"BEST_FPERIOD_OVERRIDE=1BF","CDR=US","Fill=p"),"")</f>
        <v>13.079000000000001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253.62</v>
      </c>
      <c r="H32" s="188" cm="1">
        <f t="array" ref="H32">G32/_xll.BDP(B32&amp;" Equity", "PREV_CLOSE_VAL")-1</f>
        <v>-4.2618247706768364E-2</v>
      </c>
      <c r="I32" s="187" cm="1">
        <f t="array" ref="I32">_xll.BDP(C32&amp;" Equity","LAST PRICE")</f>
        <v>102.62</v>
      </c>
      <c r="J32" s="188" cm="1">
        <f t="array" ref="J32">I32/_xll.BDP(C32&amp;" Equity", "PREV_CLOSE_VAL")-1</f>
        <v>-2.9047213549058482E-2</v>
      </c>
      <c r="K32" s="189">
        <f t="shared" si="9"/>
        <v>2.4714480608068601</v>
      </c>
      <c r="L32" s="188" cm="1">
        <f t="array" ref="L32">K32/(_xll.BDP(B32&amp;" Equity", "PREV_CLOSE_VAL")/_xll.BDP(C32&amp;" Equity", "PREV_CLOSE_VAL"))-1</f>
        <v>-1.3977027871061809E-2</v>
      </c>
      <c r="M32" s="188"/>
      <c r="N32" s="190">
        <f t="shared" si="10"/>
        <v>0.98080936485626435</v>
      </c>
      <c r="O32" s="191">
        <f t="shared" ref="O32:O55" si="17">P32/15.87/100</f>
        <v>1.4250504095778199E-2</v>
      </c>
      <c r="P32" s="192" cm="1">
        <f t="array" ref="P32">_xll.BDP($A32&amp;" Index","VOLATILITY_30D")</f>
        <v>22.615549999999999</v>
      </c>
      <c r="Q32" s="192" cm="1">
        <f t="array" aca="1" ref="Q32" ca="1">(_xll.BDP(($B32&amp; " Equity"),"CORR_COEF", "BETA_OVERRIDE_REL_INDEX",($C32&amp; " Equity"),"BETA_OVERRIDE_END_DT",$Q$5,"BETA_OVERRIDE_START_DT",$Q$4))*100</f>
        <v>69.675924357982424</v>
      </c>
      <c r="R32" s="188"/>
      <c r="S32" s="188" cm="1">
        <f t="array" ref="S32">_xll.BDP($A32&amp;" Index","CHG_PCT_2D")/100</f>
        <v>8.4547530000000006E-3</v>
      </c>
      <c r="T32" s="188" cm="1">
        <f t="array" ref="T32">_xll.BDP($A32&amp;" Index","CHG_PCT_5D")/100</f>
        <v>1.8304439999999998E-2</v>
      </c>
      <c r="U32" s="188" cm="1">
        <f t="array" ref="U32">K32/_xll.BDP($A32&amp;" Index","HIGH_52WEEK")-1</f>
        <v>-0.27912914380185039</v>
      </c>
      <c r="V32" s="188" cm="1">
        <f t="array" ref="V32">K32/_xll.BDP($A32&amp;" Index","LOW_52WEEK")-1</f>
        <v>0.20662623865818763</v>
      </c>
      <c r="W32" s="188"/>
      <c r="X32" s="192" cm="1">
        <f t="array" ref="X32">_xll.BDP($A32&amp;" Index","RSI_14D")</f>
        <v>68.607889999999998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1.8459788732873164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3.6288725140638523E-2</v>
      </c>
      <c r="AN32" s="194">
        <f ca="1">IF(ISTEXT(B32),AP32/_xll.BDH(B32 &amp;  " Equity","BEST_EPS",$AN$3,$AN$3,"BEST_FPERIOD_OVERRIDE=1BF","CDR=US","Fill=p")-1,"")</f>
        <v>6.5238638214693001E-2</v>
      </c>
      <c r="AO32" s="196">
        <f t="shared" ca="1" si="14"/>
        <v>19.391390779111553</v>
      </c>
      <c r="AP32" s="196" cm="1">
        <f t="array" aca="1" ref="AP32" ca="1">IF(ISTEXT(B32),_xll.BDH(B32 &amp;  " Equity","BEST_EPS",$Q$3,$Q$3,"BEST_FPERIOD_OVERRIDE=1BF","CDR=US","Fill=p"),"")</f>
        <v>13.079000000000001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650.41</v>
      </c>
      <c r="H33" s="188" cm="1">
        <f t="array" ref="H33">G33/_xll.BDP(B33&amp;" Equity", "PREV_CLOSE_VAL")-1</f>
        <v>-1.4664666939356863E-2</v>
      </c>
      <c r="I33" s="187" cm="1">
        <f t="array" ref="I33">_xll.BDP(C33&amp;" Equity","LAST PRICE")</f>
        <v>613.12</v>
      </c>
      <c r="J33" s="188" cm="1">
        <f t="array" ref="J33">I33/_xll.BDP(C33&amp;" Equity", "PREV_CLOSE_VAL")-1</f>
        <v>-1.9371327180087716E-3</v>
      </c>
      <c r="K33" s="189">
        <f t="shared" si="9"/>
        <v>1.0608200678496869</v>
      </c>
      <c r="L33" s="188" cm="1">
        <f t="array" ref="L33">K33/(_xll.BDP(B33&amp;" Equity", "PREV_CLOSE_VAL")/_xll.BDP(C33&amp;" Equity", "PREV_CLOSE_VAL"))-1</f>
        <v>-1.2752236996862454E-2</v>
      </c>
      <c r="M33" s="188"/>
      <c r="N33" s="190">
        <f t="shared" si="10"/>
        <v>0.90677566395921894</v>
      </c>
      <c r="O33" s="191">
        <f t="shared" si="17"/>
        <v>1.4063276622558287E-2</v>
      </c>
      <c r="P33" s="192" cm="1">
        <f t="array" ref="P33">_xll.BDP($A33&amp;" Index","VOLATILITY_30D")</f>
        <v>22.31842</v>
      </c>
      <c r="Q33" s="192" cm="1">
        <f t="array" aca="1" ref="Q33" ca="1">(_xll.BDP(($B33&amp; " Equity"),"CORR_COEF", "BETA_OVERRIDE_REL_INDEX",($C33&amp; " Equity"),"BETA_OVERRIDE_END_DT",$Q$5,"BETA_OVERRIDE_START_DT",$Q$4))*100</f>
        <v>39.982840328253317</v>
      </c>
      <c r="R33" s="188"/>
      <c r="S33" s="188" cm="1">
        <f t="array" ref="S33">_xll.BDP($A33&amp;" Index","CHG_PCT_2D")/100</f>
        <v>-5.4041430000000001E-4</v>
      </c>
      <c r="T33" s="188" cm="1">
        <f t="array" ref="T33">_xll.BDP($A33&amp;" Index","CHG_PCT_5D")/100</f>
        <v>1.0692729999999999E-2</v>
      </c>
      <c r="U33" s="188" cm="1">
        <f t="array" ref="U33">K33/_xll.BDP($A33&amp;" Index","HIGH_52WEEK")-1</f>
        <v>-0.22922323050956417</v>
      </c>
      <c r="V33" s="188" cm="1">
        <f t="array" ref="V33">K33/_xll.BDP($A33&amp;" Index","LOW_52WEEK")-1</f>
        <v>8.1840223390157618E-2</v>
      </c>
      <c r="W33" s="188"/>
      <c r="X33" s="192" cm="1">
        <f t="array" ref="X33">_xll.BDP($A33&amp;" Index","RSI_14D")</f>
        <v>54.659280000000003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2.0011832532651095</v>
      </c>
      <c r="AI33" s="196" cm="1">
        <f t="array" ref="AI33">(_xll.BDP(C33&amp;" Equity","SHORT_INT")/_xll.BDP(C33&amp;" Equity","VOLUME_AVG_90D"))</f>
        <v>0.90335929935313675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7.3886426008022976E-3</v>
      </c>
      <c r="AN33" s="194">
        <f ca="1">IF(ISTEXT(B33),AP33/_xll.BDH(B33 &amp;  " Equity","BEST_EPS",$AN$3,$AN$3,"BEST_FPERIOD_OVERRIDE=1BF","CDR=US","Fill=p")-1,"")</f>
        <v>-4.4726607183710798E-2</v>
      </c>
      <c r="AO33" s="196">
        <f t="shared" ca="1" si="14"/>
        <v>19.471021434558732</v>
      </c>
      <c r="AP33" s="196" cm="1">
        <f t="array" aca="1" ref="AP33" ca="1">IF(ISTEXT(B33),_xll.BDH(B33 &amp;  " Equity","BEST_EPS",$Q$3,$Q$3,"BEST_FPERIOD_OVERRIDE=1BF","CDR=US","Fill=p"),"")</f>
        <v>33.404000000000003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319.61</v>
      </c>
      <c r="H34" s="188" cm="1">
        <f t="array" ref="H34">G34/_xll.BDP(B34&amp;" Equity", "PREV_CLOSE_VAL")-1</f>
        <v>5.1729244134390839E-2</v>
      </c>
      <c r="I34" s="187" cm="1">
        <f t="array" ref="I34">_xll.BDP(C34&amp;" Equity","LAST PRICE")</f>
        <v>373.36</v>
      </c>
      <c r="J34" s="188" cm="1">
        <f t="array" ref="J34">I34/_xll.BDP(C34&amp;" Equity", "PREV_CLOSE_VAL")-1</f>
        <v>3.6736733957182244E-2</v>
      </c>
      <c r="K34" s="189">
        <f t="shared" si="9"/>
        <v>0.85603706878080132</v>
      </c>
      <c r="L34" s="188" cm="1">
        <f t="array" ref="L34">K34/(_xll.BDP(B34&amp;" Equity", "PREV_CLOSE_VAL")/_xll.BDP(C34&amp;" Equity", "PREV_CLOSE_VAL"))-1</f>
        <v>1.4461251044884715E-2</v>
      </c>
      <c r="M34" s="188"/>
      <c r="N34" s="190">
        <f t="shared" si="10"/>
        <v>1.532196508878195</v>
      </c>
      <c r="O34" s="191">
        <f t="shared" si="17"/>
        <v>9.4382482671707627E-3</v>
      </c>
      <c r="P34" s="192" cm="1">
        <f t="array" ref="P34">_xll.BDP($A34&amp;" Index","VOLATILITY_30D")</f>
        <v>14.9785</v>
      </c>
      <c r="Q34" s="192" cm="1">
        <f t="array" aca="1" ref="Q34" ca="1">(_xll.BDP(($B34&amp; " Equity"),"CORR_COEF", "BETA_OVERRIDE_REL_INDEX",($C34&amp; " Equity"),"BETA_OVERRIDE_END_DT",$Q$5,"BETA_OVERRIDE_START_DT",$Q$4))*100</f>
        <v>79.584029177453431</v>
      </c>
      <c r="R34" s="188"/>
      <c r="S34" s="188" cm="1">
        <f t="array" ref="S34">_xll.BDP($A34&amp;" Index","CHG_PCT_2D")/100</f>
        <v>2.3338890000000001E-2</v>
      </c>
      <c r="T34" s="188" cm="1">
        <f t="array" ref="T34">_xll.BDP($A34&amp;" Index","CHG_PCT_5D")/100</f>
        <v>1.9428250000000001E-2</v>
      </c>
      <c r="U34" s="188" cm="1">
        <f t="array" ref="U34">K34/_xll.BDP($A34&amp;" Index","HIGH_52WEEK")-1</f>
        <v>-3.9822028421830358E-2</v>
      </c>
      <c r="V34" s="188" cm="1">
        <f t="array" ref="V34">K34/_xll.BDP($A34&amp;" Index","LOW_52WEEK")-1</f>
        <v>0.13686561234136541</v>
      </c>
      <c r="W34" s="188"/>
      <c r="X34" s="192" cm="1">
        <f t="array" ref="X34">_xll.BDP($A34&amp;" Index","RSI_14D")</f>
        <v>51.27561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2.0595344988295996</v>
      </c>
      <c r="AI34" s="196" cm="1">
        <f t="array" ref="AI34">(_xll.BDP(C34&amp;" Equity","SHORT_INT")/_xll.BDP(C34&amp;" Equity","VOLUME_AVG_90D"))</f>
        <v>1.0671224665243639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2.2412914644283966E-2</v>
      </c>
      <c r="AN34" s="194">
        <f ca="1">IF(ISTEXT(B34),AP34/_xll.BDH(B34 &amp;  " Equity","BEST_EPS",$AN$3,$AN$3,"BEST_FPERIOD_OVERRIDE=1BF","CDR=US","Fill=p")-1,"")</f>
        <v>0.14170896405096634</v>
      </c>
      <c r="AO34" s="196">
        <f t="shared" ca="1" si="14"/>
        <v>0.83828173358372593</v>
      </c>
      <c r="AP34" s="196" cm="1">
        <f t="array" aca="1" ref="AP34" ca="1">IF(ISTEXT(B34),_xll.BDH(B34 &amp;  " Equity","BEST_EPS",$Q$3,$Q$3,"BEST_FPERIOD_OVERRIDE=1BF","CDR=US","Fill=p"),"")</f>
        <v>381.26799999999997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188.85</v>
      </c>
      <c r="H35" s="188" cm="1">
        <f t="array" ref="H35">G35/_xll.BDP(B35&amp;" Equity", "PREV_CLOSE_VAL")-1</f>
        <v>1.2600536193029477E-2</v>
      </c>
      <c r="I35" s="187" cm="1">
        <f t="array" ref="I35">_xll.BDP(C35&amp;" Equity","LAST PRICE")</f>
        <v>373.36</v>
      </c>
      <c r="J35" s="188" cm="1">
        <f t="array" ref="J35">I35/_xll.BDP(C35&amp;" Equity", "PREV_CLOSE_VAL")-1</f>
        <v>3.6736733957182244E-2</v>
      </c>
      <c r="K35" s="189">
        <f t="shared" si="9"/>
        <v>0.50581208485108198</v>
      </c>
      <c r="L35" s="188" cm="1">
        <f t="array" ref="L35">K35/(_xll.BDP(B35&amp;" Equity", "PREV_CLOSE_VAL")/_xll.BDP(C35&amp;" Equity", "PREV_CLOSE_VAL"))-1</f>
        <v>-2.3280932346272709E-2</v>
      </c>
      <c r="M35" s="188"/>
      <c r="N35" s="190">
        <f t="shared" si="10"/>
        <v>1.5551142436882968</v>
      </c>
      <c r="O35" s="191">
        <f t="shared" si="17"/>
        <v>1.4970560806553245E-2</v>
      </c>
      <c r="P35" s="192" cm="1">
        <f t="array" ref="P35">_xll.BDP($A35&amp;" Index","VOLATILITY_30D")</f>
        <v>23.758279999999999</v>
      </c>
      <c r="Q35" s="192" cm="1">
        <f t="array" aca="1" ref="Q35" ca="1">(_xll.BDP(($B35&amp; " Equity"),"CORR_COEF", "BETA_OVERRIDE_REL_INDEX",($C35&amp; " Equity"),"BETA_OVERRIDE_END_DT",$Q$5,"BETA_OVERRIDE_START_DT",$Q$4))*100</f>
        <v>60.193370364957865</v>
      </c>
      <c r="R35" s="188"/>
      <c r="S35" s="188" cm="1">
        <f t="array" ref="S35">_xll.BDP($A35&amp;" Index","CHG_PCT_2D")/100</f>
        <v>3.2384839999999998E-3</v>
      </c>
      <c r="T35" s="188" cm="1">
        <f t="array" ref="T35">_xll.BDP($A35&amp;" Index","CHG_PCT_5D")/100</f>
        <v>-5.5744059999999996E-3</v>
      </c>
      <c r="U35" s="188" cm="1">
        <f t="array" ref="U35">K35/_xll.BDP($A35&amp;" Index","HIGH_52WEEK")-1</f>
        <v>-0.19198056702010902</v>
      </c>
      <c r="V35" s="188" cm="1">
        <f t="array" ref="V35">K35/_xll.BDP($A35&amp;" Index","LOW_52WEEK")-1</f>
        <v>3.6861375583875589E-2</v>
      </c>
      <c r="W35" s="188"/>
      <c r="X35" s="192" cm="1">
        <f t="array" ref="X35">_xll.BDP($A35&amp;" Index","RSI_14D")</f>
        <v>50.62594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1.4155603711605811</v>
      </c>
      <c r="AI35" s="196" cm="1">
        <f t="array" ref="AI35">(_xll.BDP(C35&amp;" Equity","SHORT_INT")/_xll.BDP(C35&amp;" Equity","VOLUME_AVG_90D"))</f>
        <v>1.0671224665243639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3.689320388349504E-2</v>
      </c>
      <c r="AN35" s="194">
        <f ca="1">IF(ISTEXT(B35),AP35/_xll.BDH(B35 &amp;  " Equity","BEST_EPS",$AN$3,$AN$3,"BEST_FPERIOD_OVERRIDE=1BF","CDR=US","Fill=p")-1,"")</f>
        <v>0.29476965708347769</v>
      </c>
      <c r="AO35" s="196">
        <f t="shared" ca="1" si="14"/>
        <v>25.26083467094703</v>
      </c>
      <c r="AP35" s="196" cm="1">
        <f t="array" aca="1" ref="AP35" ca="1">IF(ISTEXT(B35),_xll.BDH(B35 &amp;  " Equity","BEST_EPS",$Q$3,$Q$3,"BEST_FPERIOD_OVERRIDE=1BF","CDR=US","Fill=p"),"")</f>
        <v>7.476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347.62</v>
      </c>
      <c r="H36" s="188" cm="1">
        <f t="array" ref="H36">G36/_xll.BDP(B36&amp;" Equity", "PREV_CLOSE_VAL")-1</f>
        <v>4.3917942791100728E-3</v>
      </c>
      <c r="I36" s="187" cm="1">
        <f t="array" ref="I36">_xll.BDP(C36&amp;" Equity","LAST PRICE")</f>
        <v>373.36</v>
      </c>
      <c r="J36" s="188" cm="1">
        <f t="array" ref="J36">I36/_xll.BDP(C36&amp;" Equity", "PREV_CLOSE_VAL")-1</f>
        <v>3.6736733957182244E-2</v>
      </c>
      <c r="K36" s="189">
        <f t="shared" si="9"/>
        <v>0.93105849582172695</v>
      </c>
      <c r="L36" s="188" cm="1">
        <f t="array" ref="L36">K36/(_xll.BDP(B36&amp;" Equity", "PREV_CLOSE_VAL")/_xll.BDP(C36&amp;" Equity", "PREV_CLOSE_VAL"))-1</f>
        <v>-3.1198797745511375E-2</v>
      </c>
      <c r="M36" s="188"/>
      <c r="N36" s="190">
        <f t="shared" si="10"/>
        <v>1.1757196087177573</v>
      </c>
      <c r="O36" s="191">
        <f t="shared" si="17"/>
        <v>2.6535916824196596E-2</v>
      </c>
      <c r="P36" s="192" cm="1">
        <f t="array" ref="P36">_xll.BDP($A36&amp;" Index","VOLATILITY_30D")</f>
        <v>42.112499999999997</v>
      </c>
      <c r="Q36" s="192" cm="1">
        <f t="array" aca="1" ref="Q36" ca="1">(_xll.BDP(($B36&amp; " Equity"),"CORR_COEF", "BETA_OVERRIDE_REL_INDEX",($C36&amp; " Equity"),"BETA_OVERRIDE_END_DT",$Q$5,"BETA_OVERRIDE_START_DT",$Q$4))*100</f>
        <v>61.250520794371688</v>
      </c>
      <c r="R36" s="188"/>
      <c r="S36" s="188" cm="1">
        <f t="array" ref="S36">_xll.BDP($A36&amp;" Index","CHG_PCT_2D")/100</f>
        <v>-1.98525E-3</v>
      </c>
      <c r="T36" s="188" cm="1">
        <f t="array" ref="T36">_xll.BDP($A36&amp;" Index","CHG_PCT_5D")/100</f>
        <v>-1.4878350000000001E-3</v>
      </c>
      <c r="U36" s="188" cm="1">
        <f t="array" ref="U36">K36/_xll.BDP($A36&amp;" Index","HIGH_52WEEK")-1</f>
        <v>-0.24211762651874069</v>
      </c>
      <c r="V36" s="188" cm="1">
        <f t="array" ref="V36">K36/_xll.BDP($A36&amp;" Index","LOW_52WEEK")-1</f>
        <v>0.18231151611033392</v>
      </c>
      <c r="W36" s="188"/>
      <c r="X36" s="192" cm="1">
        <f t="array" ref="X36">_xll.BDP($A36&amp;" Index","RSI_14D")</f>
        <v>38.418259999999997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2.4878117745294857</v>
      </c>
      <c r="AI36" s="196" cm="1">
        <f t="array" ref="AI36">(_xll.BDP(C36&amp;" Equity","SHORT_INT")/_xll.BDP(C36&amp;" Equity","VOLUME_AVG_90D"))</f>
        <v>1.0671224665243639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8.996075191076236E-2</v>
      </c>
      <c r="AN36" s="194">
        <f ca="1">IF(ISTEXT(B36),AP36/_xll.BDH(B36 &amp;  " Equity","BEST_EPS",$AN$3,$AN$3,"BEST_FPERIOD_OVERRIDE=1BF","CDR=US","Fill=p")-1,"")</f>
        <v>0.1559864169131342</v>
      </c>
      <c r="AO36" s="196">
        <f t="shared" ca="1" si="14"/>
        <v>32.940396095896901</v>
      </c>
      <c r="AP36" s="196" cm="1">
        <f t="array" aca="1" ref="AP36" ca="1">IF(ISTEXT(B36),_xll.BDH(B36 &amp;  " Equity","BEST_EPS",$Q$3,$Q$3,"BEST_FPERIOD_OVERRIDE=1BF","CDR=US","Fill=p"),"")</f>
        <v>10.553000000000001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89.363</v>
      </c>
      <c r="H37" s="188" cm="1">
        <f t="array" ref="H37">G37/_xll.BDP(B37&amp;" Equity", "PREV_CLOSE_VAL")-1</f>
        <v>5.1576841609790591E-2</v>
      </c>
      <c r="I37" s="187" cm="1">
        <f t="array" ref="I37">_xll.BDP(C37&amp;" Equity","LAST PRICE")</f>
        <v>373.36</v>
      </c>
      <c r="J37" s="188" cm="1">
        <f t="array" ref="J37">I37/_xll.BDP(C37&amp;" Equity", "PREV_CLOSE_VAL")-1</f>
        <v>3.6736733957182244E-2</v>
      </c>
      <c r="K37" s="189">
        <f t="shared" si="9"/>
        <v>0.23934808227983714</v>
      </c>
      <c r="L37" s="188" cm="1">
        <f t="array" ref="L37">K37/(_xll.BDP(B37&amp;" Equity", "PREV_CLOSE_VAL")/_xll.BDP(C37&amp;" Equity", "PREV_CLOSE_VAL"))-1</f>
        <v>1.4314248899008453E-2</v>
      </c>
      <c r="M37" s="188"/>
      <c r="N37" s="190">
        <f t="shared" si="10"/>
        <v>0.53806465296029105</v>
      </c>
      <c r="O37" s="191">
        <f t="shared" si="17"/>
        <v>2.6603213610586009E-2</v>
      </c>
      <c r="P37" s="192" cm="1">
        <f t="array" ref="P37">_xll.BDP($A37&amp;" Index","VOLATILITY_30D")</f>
        <v>42.219299999999997</v>
      </c>
      <c r="Q37" s="192" cm="1">
        <f t="array" aca="1" ref="Q37" ca="1">(_xll.BDP(($B37&amp; " Equity"),"CORR_COEF", "BETA_OVERRIDE_REL_INDEX",($C37&amp; " Equity"),"BETA_OVERRIDE_END_DT",$Q$5,"BETA_OVERRIDE_START_DT",$Q$4))*100</f>
        <v>75.939955771225925</v>
      </c>
      <c r="R37" s="188"/>
      <c r="S37" s="188" cm="1">
        <f t="array" ref="S37">_xll.BDP($A37&amp;" Index","CHG_PCT_2D")/100</f>
        <v>-1.1868709999999999E-2</v>
      </c>
      <c r="T37" s="188" cm="1">
        <f t="array" ref="T37">_xll.BDP($A37&amp;" Index","CHG_PCT_5D")/100</f>
        <v>-9.2799800000000006E-5</v>
      </c>
      <c r="U37" s="188" cm="1">
        <f t="array" ref="U37">K37/_xll.BDP($A37&amp;" Index","HIGH_52WEEK")-1</f>
        <v>-0.50455789219656977</v>
      </c>
      <c r="V37" s="188" cm="1">
        <f t="array" ref="V37">K37/_xll.BDP($A37&amp;" Index","LOW_52WEEK")-1</f>
        <v>0.10840086264627735</v>
      </c>
      <c r="W37" s="188"/>
      <c r="X37" s="192" cm="1">
        <f t="array" ref="X37">_xll.BDP($A37&amp;" Index","RSI_14D")</f>
        <v>45.221679999999999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1.8088141932324433</v>
      </c>
      <c r="AI37" s="196" cm="1">
        <f t="array" ref="AI37">(_xll.BDP(C37&amp;" Equity","SHORT_INT")/_xll.BDP(C37&amp;" Equity","VOLUME_AVG_90D"))</f>
        <v>1.0671224665243639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2.6530612244897833E-2</v>
      </c>
      <c r="AN37" s="194">
        <f ca="1">IF(ISTEXT(B37),AP37/_xll.BDH(B37 &amp;  " Equity","BEST_EPS",$AN$3,$AN$3,"BEST_FPERIOD_OVERRIDE=1BF","CDR=US","Fill=p")-1,"")</f>
        <v>0.10307017543859631</v>
      </c>
      <c r="AO37" s="196">
        <f t="shared" ca="1" si="14"/>
        <v>25.380005680204487</v>
      </c>
      <c r="AP37" s="196" cm="1">
        <f t="array" aca="1" ref="AP37" ca="1">IF(ISTEXT(B37),_xll.BDH(B37 &amp;  " Equity","BEST_EPS",$Q$3,$Q$3,"BEST_FPERIOD_OVERRIDE=1BF","CDR=US","Fill=p"),"")</f>
        <v>3.5209999999999999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563.13</v>
      </c>
      <c r="H38" s="188" cm="1">
        <f t="array" ref="H38">G38/_xll.BDP(B38&amp;" Equity", "PREV_CLOSE_VAL")-1</f>
        <v>-1.3575532511210797E-2</v>
      </c>
      <c r="I38" s="187" cm="1">
        <f t="array" ref="I38">_xll.BDP(C38&amp;" Equity","LAST PRICE")</f>
        <v>192.86</v>
      </c>
      <c r="J38" s="188" cm="1">
        <f t="array" ref="J38">I38/_xll.BDP(C38&amp;" Equity", "PREV_CLOSE_VAL")-1</f>
        <v>6.7863854666945223E-3</v>
      </c>
      <c r="K38" s="189">
        <f t="shared" si="9"/>
        <v>2.9198900757025821</v>
      </c>
      <c r="L38" s="188" cm="1">
        <f t="array" ref="L38">K38/(_xll.BDP(B38&amp;" Equity", "PREV_CLOSE_VAL")/_xll.BDP(C38&amp;" Equity", "PREV_CLOSE_VAL"))-1</f>
        <v>-2.0224665601200509E-2</v>
      </c>
      <c r="M38" s="188"/>
      <c r="N38" s="190">
        <f t="shared" si="10"/>
        <v>1.9513190336164694</v>
      </c>
      <c r="O38" s="191">
        <f t="shared" si="17"/>
        <v>1.0364612476370511E-2</v>
      </c>
      <c r="P38" s="192" cm="1">
        <f t="array" ref="P38">_xll.BDP($A38&amp;" Index","VOLATILITY_30D")</f>
        <v>16.448640000000001</v>
      </c>
      <c r="Q38" s="192" cm="1">
        <f t="array" aca="1" ref="Q38" ca="1">(_xll.BDP(($B38&amp; " Equity"),"CORR_COEF", "BETA_OVERRIDE_REL_INDEX",($C38&amp; " Equity"),"BETA_OVERRIDE_END_DT",$Q$5,"BETA_OVERRIDE_START_DT",$Q$4))*100</f>
        <v>75.044112590825591</v>
      </c>
      <c r="R38" s="188"/>
      <c r="S38" s="188" cm="1">
        <f t="array" ref="S38">_xll.BDP($A38&amp;" Index","CHG_PCT_2D")/100</f>
        <v>-2.8113860000000004E-3</v>
      </c>
      <c r="T38" s="188" cm="1">
        <f t="array" ref="T38">_xll.BDP($A38&amp;" Index","CHG_PCT_5D")/100</f>
        <v>-3.3226369999999998E-3</v>
      </c>
      <c r="U38" s="188" cm="1">
        <f t="array" ref="U38">K38/_xll.BDP($A38&amp;" Index","HIGH_52WEEK")-1</f>
        <v>-0.12029246083268597</v>
      </c>
      <c r="V38" s="188" cm="1">
        <f t="array" ref="V38">K38/_xll.BDP($A38&amp;" Index","LOW_52WEEK")-1</f>
        <v>4.6720656914560843E-2</v>
      </c>
      <c r="W38" s="188"/>
      <c r="X38" s="192" cm="1">
        <f t="array" ref="X38">_xll.BDP($A38&amp;" Index","RSI_14D")</f>
        <v>61.704270000000001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2.547723336154756</v>
      </c>
      <c r="AI38" s="196" cm="1">
        <f t="array" ref="AI38">(_xll.BDP(C38&amp;" Equity","SHORT_INT")/_xll.BDP(C38&amp;" Equity","VOLUME_AVG_90D"))</f>
        <v>1.934779741742443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1.1897837237586417E-2</v>
      </c>
      <c r="AN38" s="194">
        <f ca="1">IF(ISTEXT(B38),AP38/_xll.BDH(B38 &amp;  " Equity","BEST_EPS",$AN$3,$AN$3,"BEST_FPERIOD_OVERRIDE=1BF","CDR=US","Fill=p")-1,"")</f>
        <v>4.4085552160628483E-2</v>
      </c>
      <c r="AO38" s="196">
        <f t="shared" ca="1" si="14"/>
        <v>29.427780100334449</v>
      </c>
      <c r="AP38" s="196" cm="1">
        <f t="array" aca="1" ref="AP38" ca="1">IF(ISTEXT(B38),_xll.BDH(B38 &amp;  " Equity","BEST_EPS",$Q$3,$Q$3,"BEST_FPERIOD_OVERRIDE=1BF","CDR=US","Fill=p"),"")</f>
        <v>19.135999999999999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346.48</v>
      </c>
      <c r="H39" s="188" cm="1">
        <f t="array" ref="H39">G39/_xll.BDP(B39&amp;" Equity", "PREV_CLOSE_VAL")-1</f>
        <v>-1.2061247184283252E-2</v>
      </c>
      <c r="I39" s="187" cm="1">
        <f t="array" ref="I39">_xll.BDP(C39&amp;" Equity","LAST PRICE")</f>
        <v>192.86</v>
      </c>
      <c r="J39" s="188" cm="1">
        <f t="array" ref="J39">I39/_xll.BDP(C39&amp;" Equity", "PREV_CLOSE_VAL")-1</f>
        <v>6.7863854666945223E-3</v>
      </c>
      <c r="K39" s="189">
        <f t="shared" si="9"/>
        <v>1.796536347609665</v>
      </c>
      <c r="L39" s="188" cm="1">
        <f t="array" ref="L39">K39/(_xll.BDP(B39&amp;" Equity", "PREV_CLOSE_VAL")/_xll.BDP(C39&amp;" Equity", "PREV_CLOSE_VAL"))-1</f>
        <v>-1.8720587527850774E-2</v>
      </c>
      <c r="M39" s="188"/>
      <c r="N39" s="190">
        <f t="shared" si="10"/>
        <v>1.5783989675549166</v>
      </c>
      <c r="O39" s="191">
        <f>P39/15.87/100</f>
        <v>1.1860491493383744E-2</v>
      </c>
      <c r="P39" s="192" cm="1">
        <f t="array" ref="P39">_xll.BDP($A39&amp;" Index","VOLATILITY_30D")</f>
        <v>18.822600000000001</v>
      </c>
      <c r="Q39" s="192" cm="1">
        <f t="array" aca="1" ref="Q39" ca="1">(_xll.BDP(($B39&amp; " Equity"),"CORR_COEF", "BETA_OVERRIDE_REL_INDEX",($C39&amp; " Equity"),"BETA_OVERRIDE_END_DT",$Q$5,"BETA_OVERRIDE_START_DT",$Q$4))*100</f>
        <v>71.007633483152134</v>
      </c>
      <c r="R39" s="188"/>
      <c r="S39" s="188" cm="1">
        <f t="array" ref="S39">_xll.BDP($A39&amp;" Index","CHG_PCT_2D")/100</f>
        <v>3.1307420000000001E-4</v>
      </c>
      <c r="T39" s="188" cm="1">
        <f t="array" ref="T39">_xll.BDP($A39&amp;" Index","CHG_PCT_5D")/100</f>
        <v>-3.2597889999999997E-4</v>
      </c>
      <c r="U39" s="188" cm="1">
        <f t="array" ref="U39">K39/_xll.BDP($A39&amp;" Index","HIGH_52WEEK")-1</f>
        <v>-0.13809143884739028</v>
      </c>
      <c r="V39" s="188" cm="1">
        <f t="array" ref="V39">K39/_xll.BDP($A39&amp;" Index","LOW_52WEEK")-1</f>
        <v>6.5415956073409331E-2</v>
      </c>
      <c r="W39" s="188"/>
      <c r="X39" s="192" cm="1">
        <f t="array" ref="X39">_xll.BDP($A39&amp;" Index","RSI_14D")</f>
        <v>63.85087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4.0779182314331974</v>
      </c>
      <c r="AI39" s="196" cm="1">
        <f t="array" ref="AI39">(_xll.BDP(C39&amp;" Equity","SHORT_INT")/_xll.BDP(C39&amp;" Equity","VOLUME_AVG_90D"))</f>
        <v>1.934779741742443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1.0243082097538547E-2</v>
      </c>
      <c r="AN39" s="194">
        <f ca="1">IF(ISTEXT(B39),AP39/_xll.BDH(B39 &amp;  " Equity","BEST_EPS",$AN$3,$AN$3,"BEST_FPERIOD_OVERRIDE=1BF","CDR=US","Fill=p")-1,"")</f>
        <v>2.8002489110143136E-2</v>
      </c>
      <c r="AO39" s="196">
        <f t="shared" ca="1" si="14"/>
        <v>26.21670702179177</v>
      </c>
      <c r="AP39" s="196" cm="1">
        <f t="array" aca="1" ref="AP39" ca="1">IF(ISTEXT(B39),_xll.BDH(B39 &amp;  " Equity","BEST_EPS",$Q$3,$Q$3,"BEST_FPERIOD_OVERRIDE=1BF","CDR=US","Fill=p"),"")</f>
        <v>13.215999999999999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563.13</v>
      </c>
      <c r="H40" s="188" cm="1">
        <f t="array" ref="H40">G40/_xll.BDP(B40&amp;" Equity", "PREV_CLOSE_VAL")-1</f>
        <v>-1.3575532511210797E-2</v>
      </c>
      <c r="I40" s="187" cm="1">
        <f t="array" ref="I40">_xll.BDP(C40&amp;" Equity","LAST PRICE")</f>
        <v>346.48</v>
      </c>
      <c r="J40" s="188" cm="1">
        <f t="array" ref="J40">I40/_xll.BDP(C40&amp;" Equity", "PREV_CLOSE_VAL")-1</f>
        <v>-1.2061247184283252E-2</v>
      </c>
      <c r="K40" s="189">
        <f t="shared" si="9"/>
        <v>1.6252886169475871</v>
      </c>
      <c r="L40" s="188" cm="1">
        <f t="array" ref="L40">K40/(_xll.BDP(B40&amp;" Equity", "PREV_CLOSE_VAL")/_xll.BDP(C40&amp;" Equity", "PREV_CLOSE_VAL"))-1</f>
        <v>-1.5327724746211357E-3</v>
      </c>
      <c r="M40" s="188"/>
      <c r="N40" s="190">
        <f t="shared" si="10"/>
        <v>0.23659003585296973</v>
      </c>
      <c r="O40" s="191">
        <f>P40/15.87/100</f>
        <v>6.4786011342155012E-3</v>
      </c>
      <c r="P40" s="192" cm="1">
        <f t="array" ref="P40">_xll.BDP($A40&amp;" Index","VOLATILITY_30D")</f>
        <v>10.28154</v>
      </c>
      <c r="Q40" s="192" cm="1">
        <f t="array" aca="1" ref="Q40" ca="1">(_xll.BDP(($B40&amp; " Equity"),"CORR_COEF", "BETA_OVERRIDE_REL_INDEX",($C40&amp; " Equity"),"BETA_OVERRIDE_END_DT",$Q$5,"BETA_OVERRIDE_START_DT",$Q$4))*100</f>
        <v>80.948219254573345</v>
      </c>
      <c r="R40" s="188"/>
      <c r="S40" s="188" cm="1">
        <f t="array" ref="S40">_xll.BDP($A40&amp;" Index","CHG_PCT_2D")/100</f>
        <v>-3.125147E-3</v>
      </c>
      <c r="T40" s="188" cm="1">
        <f t="array" ref="T40">_xll.BDP($A40&amp;" Index","CHG_PCT_5D")/100</f>
        <v>-2.9987580000000002E-3</v>
      </c>
      <c r="U40" s="188" cm="1">
        <f t="array" ref="U40">K40/_xll.BDP($A40&amp;" Index","HIGH_52WEEK")-1</f>
        <v>-6.2126075797001024E-2</v>
      </c>
      <c r="V40" s="188" cm="1">
        <f t="array" ref="V40">K40/_xll.BDP($A40&amp;" Index","LOW_52WEEK")-1</f>
        <v>6.3037469143106595E-2</v>
      </c>
      <c r="W40" s="188"/>
      <c r="X40" s="192" cm="1">
        <f t="array" ref="X40">_xll.BDP($A40&amp;" Index","RSI_14D")</f>
        <v>45.588329999999999</v>
      </c>
      <c r="Y40" s="193">
        <v>1.67</v>
      </c>
      <c r="Z40" s="188">
        <f t="shared" si="11"/>
        <v>2.7509811233640491E-2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2.547723336154756</v>
      </c>
      <c r="AI40" s="196" cm="1">
        <f t="array" ref="AI40">(_xll.BDP(C40&amp;" Equity","SHORT_INT")/_xll.BDP(C40&amp;" Equity","VOLUME_AVG_90D"))</f>
        <v>4.0779182314331974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1.1897837237586417E-2</v>
      </c>
      <c r="AN40" s="194">
        <f ca="1">IF(ISTEXT(B40),AP40/_xll.BDH(B40 &amp;  " Equity","BEST_EPS",$AN$3,$AN$3,"BEST_FPERIOD_OVERRIDE=1BF","CDR=US","Fill=p")-1,"")</f>
        <v>4.4085552160628483E-2</v>
      </c>
      <c r="AO40" s="196">
        <f t="shared" ca="1" si="14"/>
        <v>29.427780100334449</v>
      </c>
      <c r="AP40" s="196" cm="1">
        <f t="array" aca="1" ref="AP40" ca="1">IF(ISTEXT(B40),_xll.BDH(B40 &amp;  " Equity","BEST_EPS",$Q$3,$Q$3,"BEST_FPERIOD_OVERRIDE=1BF","CDR=US","Fill=p"),"")</f>
        <v>19.135999999999999</v>
      </c>
      <c r="AR40" s="194">
        <f ca="1">IF(ISTEXT(C40),AU40/_xll.BDH(C40 &amp;  " Equity","BEST_EPS",$AM$3,$AM$3,"BEST_FPERIOD_OVERRIDE=1BF","CDR=US","Fill=p")-1,"")</f>
        <v>1.0243082097538547E-2</v>
      </c>
      <c r="AS40" s="194">
        <f ca="1">IF(ISTEXT(C40),AU40/_xll.BDH(C40 &amp;  " Equity","BEST_EPS",$AN$3,$AN$3,"BEST_FPERIOD_OVERRIDE=1BF","CDR=US","Fill=p")-1,"")</f>
        <v>2.8002489110143136E-2</v>
      </c>
      <c r="AT40" s="196">
        <f t="shared" ca="1" si="15"/>
        <v>26.21670702179177</v>
      </c>
      <c r="AU40" s="196" cm="1">
        <f t="array" aca="1" ref="AU40" ca="1">IF(ISTEXT(C40),_xll.BDH(C40 &amp;  " Equity","BEST_EPS",$Q$3,$Q$3,"BEST_FPERIOD_OVERRIDE=1BF","CDR=US","Fill=p"),"")</f>
        <v>13.215999999999999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211.79</v>
      </c>
      <c r="H41" s="188" cm="1">
        <f t="array" ref="H41">G41/_xll.BDP(B41&amp;" Equity", "PREV_CLOSE_VAL")-1</f>
        <v>3.7372648902821215E-2</v>
      </c>
      <c r="I41" s="187" cm="1">
        <f t="array" ref="I41">_xll.BDP(C41&amp;" Equity","LAST PRICE")</f>
        <v>613.12</v>
      </c>
      <c r="J41" s="188" cm="1">
        <f t="array" ref="J41">I41/_xll.BDP(C41&amp;" Equity", "PREV_CLOSE_VAL")-1</f>
        <v>-1.9371327180087716E-3</v>
      </c>
      <c r="K41" s="189">
        <f t="shared" si="9"/>
        <v>0.34542993215031315</v>
      </c>
      <c r="L41" s="188" cm="1">
        <f t="array" ref="L41">K41/(_xll.BDP(B41&amp;" Equity", "PREV_CLOSE_VAL")/_xll.BDP(C41&amp;" Equity", "PREV_CLOSE_VAL"))-1</f>
        <v>3.9386077680539033E-2</v>
      </c>
      <c r="M41" s="188"/>
      <c r="N41" s="190">
        <f t="shared" si="10"/>
        <v>3.5100183784080823</v>
      </c>
      <c r="O41" s="191">
        <f t="shared" si="17"/>
        <v>1.122104599873976E-2</v>
      </c>
      <c r="P41" s="192" cm="1">
        <f t="array" ref="P41">_xll.BDP($A41&amp;" Index","VOLATILITY_30D")</f>
        <v>17.8078</v>
      </c>
      <c r="Q41" s="192" cm="1">
        <f t="array" aca="1" ref="Q41" ca="1">(_xll.BDP(($B41&amp; " Equity"),"CORR_COEF", "BETA_OVERRIDE_REL_INDEX",($C41&amp; " Equity"),"BETA_OVERRIDE_END_DT",$Q$5,"BETA_OVERRIDE_START_DT",$Q$4))*100</f>
        <v>58.002339999999997</v>
      </c>
      <c r="R41" s="188"/>
      <c r="S41" s="188" cm="1">
        <f t="array" ref="S41">_xll.BDP($A41&amp;" Index","CHG_PCT_2D")/100</f>
        <v>-9.026892012588168E-7</v>
      </c>
      <c r="T41" s="188" cm="1">
        <f t="array" ref="T41">_xll.BDP($A41&amp;" Index","CHG_PCT_5D")/100</f>
        <v>2.10371E-4</v>
      </c>
      <c r="U41" s="188" cm="1">
        <f t="array" ref="U41">K41/_xll.BDP($A41&amp;" Index","HIGH_52WEEK")-1</f>
        <v>-7.6834859825984481E-2</v>
      </c>
      <c r="V41" s="188" cm="1">
        <f t="array" ref="V41">K41/_xll.BDP($A41&amp;" Index","LOW_52WEEK")-1</f>
        <v>0.27932273675165065</v>
      </c>
      <c r="W41" s="188"/>
      <c r="X41" s="192" cm="1">
        <f t="array" ref="X41">_xll.BDP($A41&amp;" Index","RSI_14D")</f>
        <v>42.498469999999998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0.90335929935313675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2.6562482202453497E-2</v>
      </c>
      <c r="AN41" s="194">
        <f ca="1">IF(ISTEXT(B41),AP41/_xll.BDH(B41 &amp;  " Equity","BEST_EPS",$AN$3,$AN$3,"BEST_FPERIOD_OVERRIDE=1BF","CDR=US","Fill=p")-1,"")</f>
        <v>6.5294736468835879E-2</v>
      </c>
      <c r="AO41" s="196">
        <f t="shared" ca="1" si="14"/>
        <v>23.499583911234399</v>
      </c>
      <c r="AP41" s="196" cm="1">
        <f t="array" aca="1" ref="AP41" ca="1">IF(ISTEXT(B41),_xll.BDH(B41 &amp;  " Equity","BEST_EPS",$Q$3,$Q$3,"BEST_FPERIOD_OVERRIDE=1BF","CDR=US","Fill=p"),"")</f>
        <v>9.0124999999999993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211.79</v>
      </c>
      <c r="H42" s="188" cm="1">
        <f t="array" ref="H42">G42/_xll.BDP(B42&amp;" Equity", "PREV_CLOSE_VAL")-1</f>
        <v>3.7372648902821215E-2</v>
      </c>
      <c r="I42" s="187" cm="1">
        <f t="array" ref="I42">_xll.BDP(C42&amp;" Equity","LAST PRICE")</f>
        <v>43.18</v>
      </c>
      <c r="J42" s="188" cm="1">
        <f t="array" ref="J42">I42/_xll.BDP(C42&amp;" Equity", "PREV_CLOSE_VAL")-1</f>
        <v>1.1478097915202712E-2</v>
      </c>
      <c r="K42" s="189">
        <f t="shared" ref="K42:K55" si="18">G42/I42</f>
        <v>4.9048170449282074</v>
      </c>
      <c r="L42" s="188" cm="1">
        <f t="array" ref="L42">K42/(_xll.BDP(B42&amp;" Equity", "PREV_CLOSE_VAL")/_xll.BDP(C42&amp;" Equity", "PREV_CLOSE_VAL"))-1</f>
        <v>2.5600703604943043E-2</v>
      </c>
      <c r="M42" s="188"/>
      <c r="N42" s="190">
        <f t="shared" ref="N42:N55" si="19">ABS(L42/O42)</f>
        <v>1.8611878664142503</v>
      </c>
      <c r="O42" s="191">
        <f t="shared" si="17"/>
        <v>1.3755034656584751E-2</v>
      </c>
      <c r="P42" s="192" cm="1">
        <f t="array" ref="P42">_xll.BDP($A42&amp;" Index","VOLATILITY_30D")</f>
        <v>21.829239999999999</v>
      </c>
      <c r="Q42" s="192" cm="1">
        <f t="array" aca="1" ref="Q42" ca="1">(_xll.BDP(($B42&amp; " Equity"),"CORR_COEF", "BETA_OVERRIDE_REL_INDEX",($C42&amp; " Equity"),"BETA_OVERRIDE_END_DT",$Q$5,"BETA_OVERRIDE_START_DT",$Q$4))*100</f>
        <v>58.532710000000002</v>
      </c>
      <c r="R42" s="188"/>
      <c r="S42" s="188" cm="1">
        <f t="array" ref="S42">_xll.BDP($A42&amp;" Index","CHG_PCT_2D")/100</f>
        <v>-1.0455030000000001E-6</v>
      </c>
      <c r="T42" s="188" cm="1">
        <f t="array" ref="T42">_xll.BDP($A42&amp;" Index","CHG_PCT_5D")/100</f>
        <v>-1.307174E-2</v>
      </c>
      <c r="U42" s="188" cm="1">
        <f t="array" ref="U42">K42/_xll.BDP($A42&amp;" Index","HIGH_52WEEK")-1</f>
        <v>-2.3121895248429558E-2</v>
      </c>
      <c r="V42" s="188" cm="1">
        <f t="array" ref="V42">K42/_xll.BDP($A42&amp;" Index","LOW_52WEEK")-1</f>
        <v>0.498669951823284</v>
      </c>
      <c r="W42" s="188"/>
      <c r="X42" s="192" cm="1">
        <f t="array" ref="X42">_xll.BDP($A42&amp;" Index","RSI_14D")</f>
        <v>47.737450000000003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1.2105736063015524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2.6562482202453497E-2</v>
      </c>
      <c r="AN42" s="194">
        <f ca="1">IF(ISTEXT(B42),AP42/_xll.BDH(B42 &amp;  " Equity","BEST_EPS",$AN$3,$AN$3,"BEST_FPERIOD_OVERRIDE=1BF","CDR=US","Fill=p")-1,"")</f>
        <v>6.5294736468835879E-2</v>
      </c>
      <c r="AO42" s="196">
        <f t="shared" ref="AO42:AO55" ca="1" si="23">G42/AP42</f>
        <v>23.499583911234399</v>
      </c>
      <c r="AP42" s="196" cm="1">
        <f t="array" aca="1" ref="AP42" ca="1">IF(ISTEXT(B42),_xll.BDH(B42 &amp;  " Equity","BEST_EPS",$Q$3,$Q$3,"BEST_FPERIOD_OVERRIDE=1BF","CDR=US","Fill=p"),"")</f>
        <v>9.0124999999999993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683.17</v>
      </c>
      <c r="H44" s="188" cm="1">
        <f t="array" ref="H44">G44/_xll.BDP(B44&amp;" Equity", "PREV_CLOSE_VAL")-1</f>
        <v>1.8330595964335394E-3</v>
      </c>
      <c r="I44" s="187" cm="1">
        <f t="array" ref="I44">_xll.BDP(C44&amp;" Equity","LAST PRICE")</f>
        <v>192.86</v>
      </c>
      <c r="J44" s="188" cm="1">
        <f t="array" ref="J44">I44/_xll.BDP(C44&amp;" Equity", "PREV_CLOSE_VAL")-1</f>
        <v>6.7863854666945223E-3</v>
      </c>
      <c r="K44" s="189">
        <f t="shared" si="18"/>
        <v>3.5423104842891213</v>
      </c>
      <c r="L44" s="188" cm="1">
        <f t="array" ref="L44">K44/(_xll.BDP(B44&amp;" Equity", "PREV_CLOSE_VAL")/_xll.BDP(C44&amp;" Equity", "PREV_CLOSE_VAL"))-1</f>
        <v>-4.9199372794108687E-3</v>
      </c>
      <c r="M44" s="188"/>
      <c r="N44" s="190">
        <f t="shared" si="19"/>
        <v>1.0330028213873235</v>
      </c>
      <c r="O44" s="191">
        <f t="shared" si="17"/>
        <v>4.7627529930686831E-3</v>
      </c>
      <c r="P44" s="192" cm="1">
        <f t="array" ref="P44">_xll.BDP($A44&amp;" Index","VOLATILITY_30D")</f>
        <v>7.5584889999999998</v>
      </c>
      <c r="Q44" s="192" cm="1">
        <f t="array" aca="1" ref="Q44" ca="1">(_xll.BDP(($B44&amp; " Equity"),"CORR_COEF", "BETA_OVERRIDE_REL_INDEX",($C44&amp; " Equity"),"BETA_OVERRIDE_END_DT",$Q$5,"BETA_OVERRIDE_START_DT",$Q$4))*100</f>
        <v>79.040080889610891</v>
      </c>
      <c r="R44" s="188"/>
      <c r="S44" s="188" cm="1">
        <f t="array" ref="S44">_xll.BDP($A44&amp;" Index","CHG_PCT_2D")/100</f>
        <v>1.1423690000000001E-3</v>
      </c>
      <c r="T44" s="188" cm="1">
        <f t="array" ref="T44">_xll.BDP($A44&amp;" Index","CHG_PCT_5D")/100</f>
        <v>-3.9480670000000001E-4</v>
      </c>
      <c r="U44" s="188" cm="1">
        <f t="array" ref="U44">K44/_xll.BDP($A44&amp;" Index","HIGH_52WEEK")-1</f>
        <v>-2.948270529515129E-2</v>
      </c>
      <c r="V44" s="188" cm="1">
        <f t="array" ref="V44">K44/_xll.BDP($A44&amp;" Index","LOW_52WEEK")-1</f>
        <v>0.10192383775861869</v>
      </c>
      <c r="W44" s="188"/>
      <c r="X44" s="192" cm="1">
        <f t="array" ref="X44">_xll.BDP($A44&amp;" Index","RSI_14D")</f>
        <v>50.414729999999999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1.459927436678836</v>
      </c>
      <c r="AI44" s="196" cm="1">
        <f t="array" ref="AI44">(_xll.BDP(C44&amp;" Equity","SHORT_INT")/_xll.BDP(C44&amp;" Equity","VOLUME_AVG_90D"))</f>
        <v>1.934779741742443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613.12</v>
      </c>
      <c r="H45" s="188" cm="1">
        <f t="array" ref="H45">G45/_xll.BDP(B45&amp;" Equity", "PREV_CLOSE_VAL")-1</f>
        <v>-1.9371327180087716E-3</v>
      </c>
      <c r="I45" s="187" cm="1">
        <f t="array" ref="I45">_xll.BDP(C45&amp;" Equity","LAST PRICE")</f>
        <v>102.36</v>
      </c>
      <c r="J45" s="188" cm="1">
        <f t="array" ref="J45">I45/_xll.BDP(C45&amp;" Equity", "PREV_CLOSE_VAL")-1</f>
        <v>4.8871078095968912E-4</v>
      </c>
      <c r="K45" s="189">
        <f t="shared" si="18"/>
        <v>5.9898397811645179</v>
      </c>
      <c r="L45" s="188" cm="1">
        <f t="array" ref="L45">K45/(_xll.BDP(B45&amp;" Equity", "PREV_CLOSE_VAL")/_xll.BDP(C45&amp;" Equity", "PREV_CLOSE_VAL"))-1</f>
        <v>-2.4246585421987543E-3</v>
      </c>
      <c r="M45" s="188"/>
      <c r="N45" s="190">
        <f t="shared" si="19"/>
        <v>0.47296849634204169</v>
      </c>
      <c r="O45" s="191">
        <f t="shared" si="17"/>
        <v>5.1264694391934471E-3</v>
      </c>
      <c r="P45" s="192" cm="1">
        <f t="array" ref="P45">_xll.BDP($A45&amp;" Index","VOLATILITY_30D")</f>
        <v>8.135707</v>
      </c>
      <c r="Q45" s="192" cm="1">
        <f t="array" aca="1" ref="Q45" ca="1">(_xll.BDP(($B45&amp; " Equity"),"CORR_COEF", "BETA_OVERRIDE_REL_INDEX",($C45&amp; " Equity"),"BETA_OVERRIDE_END_DT",$Q$5,"BETA_OVERRIDE_START_DT",$Q$4))*100</f>
        <v>86.670321592033659</v>
      </c>
      <c r="R45" s="188"/>
      <c r="S45" s="188" cm="1">
        <f t="array" ref="S45">_xll.BDP($A45&amp;" Index","CHG_PCT_2D")/100</f>
        <v>8.4642899999999989E-4</v>
      </c>
      <c r="T45" s="188" cm="1">
        <f t="array" ref="T45">_xll.BDP($A45&amp;" Index","CHG_PCT_5D")/100</f>
        <v>-8.225525E-4</v>
      </c>
      <c r="U45" s="188" cm="1">
        <f t="array" ref="U45">K45/_xll.BDP($A45&amp;" Index","HIGH_52WEEK")-1</f>
        <v>-2.0174511560365982E-2</v>
      </c>
      <c r="V45" s="188" cm="1">
        <f t="array" ref="V45">K45/_xll.BDP($A45&amp;" Index","LOW_52WEEK")-1</f>
        <v>0.1189771231551362</v>
      </c>
      <c r="W45" s="188"/>
      <c r="X45" s="192" cm="1">
        <f t="array" ref="X45">_xll.BDP($A45&amp;" Index","RSI_14D")</f>
        <v>50.41422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0.90335929935313675</v>
      </c>
      <c r="AI45" s="196" cm="1">
        <f t="array" ref="AI45">(_xll.BDP(C45&amp;" Equity","SHORT_INT")/_xll.BDP(C45&amp;" Equity","VOLUME_AVG_90D"))</f>
        <v>5.1399496212577072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613.12</v>
      </c>
      <c r="H46" s="188" cm="1">
        <f t="array" ref="H46">G46/_xll.BDP(B46&amp;" Equity", "PREV_CLOSE_VAL")-1</f>
        <v>-1.9371327180087716E-3</v>
      </c>
      <c r="I46" s="187" cm="1">
        <f t="array" ref="I46">_xll.BDP(C46&amp;" Equity","LAST PRICE")</f>
        <v>102.62</v>
      </c>
      <c r="J46" s="188" cm="1">
        <f t="array" ref="J46">I46/_xll.BDP(C46&amp;" Equity", "PREV_CLOSE_VAL")-1</f>
        <v>-2.9047213549058482E-2</v>
      </c>
      <c r="K46" s="189">
        <f>G46/I46</f>
        <v>5.9746638082245171</v>
      </c>
      <c r="L46" s="188" cm="1">
        <f t="array" ref="L46">K46/(_xll.BDP(B46&amp;" Equity", "PREV_CLOSE_VAL")/_xll.BDP(C46&amp;" Equity", "PREV_CLOSE_VAL"))-1</f>
        <v>2.792111131391195E-2</v>
      </c>
      <c r="M46" s="188"/>
      <c r="N46" s="190">
        <f>ABS(L46/O46)</f>
        <v>3.6485142026958051</v>
      </c>
      <c r="O46" s="191">
        <f>P46/15.87/100</f>
        <v>7.6527347195967247E-3</v>
      </c>
      <c r="P46" s="192" cm="1">
        <f t="array" ref="P46">_xll.BDP($A46&amp;" Index","VOLATILITY_30D")</f>
        <v>12.14489</v>
      </c>
      <c r="Q46" s="192" cm="1">
        <f t="array" aca="1" ref="Q46" ca="1">(_xll.BDP(($B46&amp; " Equity"),"CORR_COEF", "BETA_OVERRIDE_REL_INDEX",($C46&amp; " Equity"),"BETA_OVERRIDE_END_DT",$Q$5,"BETA_OVERRIDE_START_DT",$Q$4))*100</f>
        <v>79.315836285117712</v>
      </c>
      <c r="R46" s="188"/>
      <c r="S46" s="188" cm="1">
        <f t="array" ref="S46">_xll.BDP($A46&amp;" Index","CHG_PCT_2D")/100</f>
        <v>3.9334280000000001E-3</v>
      </c>
      <c r="T46" s="188" cm="1">
        <f t="array" ref="T46">_xll.BDP($A46&amp;" Index","CHG_PCT_5D")/100</f>
        <v>7.097913E-3</v>
      </c>
      <c r="U46" s="188" cm="1">
        <f t="array" ref="U46">K46/_xll.BDP($A46&amp;" Index","HIGH_52WEEK")-1</f>
        <v>1.5327763924213311E-3</v>
      </c>
      <c r="V46" s="188" cm="1">
        <f t="array" ref="V46">K46/_xll.BDP($A46&amp;" Index","LOW_52WEEK")-1</f>
        <v>0.22860640602113058</v>
      </c>
      <c r="W46" s="188"/>
      <c r="X46" s="192" cm="1">
        <f t="array" ref="X46">_xll.BDP($A46&amp;" Index","RSI_14D")</f>
        <v>57.351700000000001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0.90335929935313675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683.17</v>
      </c>
      <c r="H47" s="188" cm="1">
        <f t="array" ref="H47">G47/_xll.BDP(B47&amp;" Equity", "PREV_CLOSE_VAL")-1</f>
        <v>1.8330595964335394E-3</v>
      </c>
      <c r="I47" s="187" cm="1">
        <f t="array" ref="I47">_xll.BDP(C47&amp;" Equity","LAST PRICE")</f>
        <v>613.12</v>
      </c>
      <c r="J47" s="188" cm="1">
        <f t="array" ref="J47">I47/_xll.BDP(C47&amp;" Equity", "PREV_CLOSE_VAL")-1</f>
        <v>-1.9371327180087716E-3</v>
      </c>
      <c r="K47" s="189">
        <f t="shared" si="18"/>
        <v>1.1142516962421711</v>
      </c>
      <c r="L47" s="188" cm="1">
        <f t="array" ref="L47">K47/(_xll.BDP(B47&amp;" Equity", "PREV_CLOSE_VAL")/_xll.BDP(C47&amp;" Equity", "PREV_CLOSE_VAL"))-1</f>
        <v>3.7775098523700201E-3</v>
      </c>
      <c r="M47" s="188"/>
      <c r="N47" s="190">
        <f t="shared" si="19"/>
        <v>9.4240017450959807E-2</v>
      </c>
      <c r="O47" s="191">
        <f t="shared" si="17"/>
        <v>4.0083925645872716E-2</v>
      </c>
      <c r="P47" s="192" cm="1">
        <f t="array" ref="P47">_xll.BDP($A47&amp;" Index","VOLATILITY_30D")</f>
        <v>63.613190000000003</v>
      </c>
      <c r="Q47" s="192" cm="1">
        <f t="array" aca="1" ref="Q47" ca="1">(_xll.BDP(($B47&amp; " Equity"),"CORR_COEF", "BETA_OVERRIDE_REL_INDEX",($C47&amp; " Equity"),"BETA_OVERRIDE_END_DT",$Q$5,"BETA_OVERRIDE_START_DT",$Q$4))*100</f>
        <v>93.702407305208496</v>
      </c>
      <c r="R47" s="188"/>
      <c r="S47" s="188" cm="1">
        <f t="array" ref="S47">_xll.BDP($A47&amp;" Index","CHG_PCT_2D")/100</f>
        <v>4.4444440000000003E-4</v>
      </c>
      <c r="T47" s="188" cm="1">
        <f t="array" ref="T47">_xll.BDP($A47&amp;" Index","CHG_PCT_5D")/100</f>
        <v>1.671183E-2</v>
      </c>
      <c r="U47" s="188" cm="1">
        <f t="array" ref="U47">K47/_xll.BDP($A47&amp;" Index","HIGH_52WEEK")-1</f>
        <v>-0.98765782347981645</v>
      </c>
      <c r="V47" s="188" cm="1">
        <f t="array" ref="V47">K47/_xll.BDP($A47&amp;" Index","LOW_52WEEK")-1</f>
        <v>-0.97820747709285794</v>
      </c>
      <c r="W47" s="188"/>
      <c r="X47" s="192" cm="1">
        <f t="array" ref="X47">_xll.BDP($A47&amp;" Index","RSI_14D")</f>
        <v>55.672580000000004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1.459927436678836</v>
      </c>
      <c r="AI47" s="196" cm="1">
        <f t="array" ref="AI47">(_xll.BDP(C47&amp;" Equity","SHORT_INT")/_xll.BDP(C47&amp;" Equity","VOLUME_AVG_90D"))</f>
        <v>0.90335929935313675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683.17</v>
      </c>
      <c r="H48" s="188" cm="1">
        <f t="array" ref="H48">G48/_xll.BDP(B48&amp;" Equity", "PREV_CLOSE_VAL")-1</f>
        <v>1.8330595964335394E-3</v>
      </c>
      <c r="I48" s="187" cm="1">
        <f t="array" ref="I48">_xll.BDP(C48&amp;" Equity","LAST PRICE")</f>
        <v>248.78</v>
      </c>
      <c r="J48" s="188" cm="1">
        <f t="array" ref="J48">I48/_xll.BDP(C48&amp;" Equity", "PREV_CLOSE_VAL")-1</f>
        <v>1.0643483912902152E-2</v>
      </c>
      <c r="K48" s="189">
        <f t="shared" si="18"/>
        <v>2.7460808746683814</v>
      </c>
      <c r="L48" s="188" cm="1">
        <f t="array" ref="L48">K48/(_xll.BDP(B48&amp;" Equity", "PREV_CLOSE_VAL")/_xll.BDP(C48&amp;" Equity", "PREV_CLOSE_VAL"))-1</f>
        <v>-8.7176382737434999E-3</v>
      </c>
      <c r="M48" s="188"/>
      <c r="N48" s="190">
        <f t="shared" si="19"/>
        <v>1.2357083598695715</v>
      </c>
      <c r="O48" s="191">
        <f t="shared" si="17"/>
        <v>7.0547700063011975E-3</v>
      </c>
      <c r="P48" s="192" cm="1">
        <f t="array" ref="P48">_xll.BDP($A48&amp;" Index","VOLATILITY_30D")</f>
        <v>11.195919999999999</v>
      </c>
      <c r="Q48" s="192" cm="1">
        <f t="array" aca="1" ref="Q48" ca="1">(_xll.BDP(($B48&amp; " Equity"),"CORR_COEF", "BETA_OVERRIDE_REL_INDEX",($C48&amp; " Equity"),"BETA_OVERRIDE_END_DT",$Q$5,"BETA_OVERRIDE_START_DT",$Q$4))*100</f>
        <v>81.475808593981142</v>
      </c>
      <c r="R48" s="188"/>
      <c r="S48" s="188" cm="1">
        <f t="array" ref="S48">_xll.BDP($A48&amp;" Index","CHG_PCT_2D")/100</f>
        <v>1.3105319999999999E-4</v>
      </c>
      <c r="T48" s="188" cm="1">
        <f t="array" ref="T48">_xll.BDP($A48&amp;" Index","CHG_PCT_5D")/100</f>
        <v>8.9541800000000008E-3</v>
      </c>
      <c r="U48" s="188" cm="1">
        <f t="array" ref="U48">K48/_xll.BDP($A48&amp;" Index","HIGH_52WEEK")-1</f>
        <v>-5.1826587205083485E-2</v>
      </c>
      <c r="V48" s="188" cm="1">
        <f t="array" ref="V48">K48/_xll.BDP($A48&amp;" Index","LOW_52WEEK")-1</f>
        <v>4.6385152387593553E-2</v>
      </c>
      <c r="W48" s="188"/>
      <c r="X48" s="192" cm="1">
        <f t="array" ref="X48">_xll.BDP($A48&amp;" Index","RSI_14D")</f>
        <v>58.240749999999998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1.459927436678836</v>
      </c>
      <c r="AI48" s="196" cm="1">
        <f t="array" ref="AI48">(_xll.BDP(C48&amp;" Equity","SHORT_INT")/_xll.BDP(C48&amp;" Equity","VOLUME_AVG_90D"))</f>
        <v>2.2827004509619373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613.12</v>
      </c>
      <c r="H49" s="188" cm="1">
        <f t="array" ref="H49">G49/_xll.BDP(B49&amp;" Equity", "PREV_CLOSE_VAL")-1</f>
        <v>-1.9371327180087716E-3</v>
      </c>
      <c r="I49" s="187" cm="1">
        <f t="array" ref="I49">_xll.BDP(C49&amp;" Equity","LAST PRICE")</f>
        <v>248.78</v>
      </c>
      <c r="J49" s="188" cm="1">
        <f t="array" ref="J49">I49/_xll.BDP(C49&amp;" Equity", "PREV_CLOSE_VAL")-1</f>
        <v>1.0643483912902152E-2</v>
      </c>
      <c r="K49" s="189">
        <f t="shared" si="18"/>
        <v>2.4645067931505746</v>
      </c>
      <c r="L49" s="188" cm="1">
        <f t="array" ref="L49">K49/(_xll.BDP(B49&amp;" Equity", "PREV_CLOSE_VAL")/_xll.BDP(C49&amp;" Equity", "PREV_CLOSE_VAL"))-1</f>
        <v>-1.2448125210487437E-2</v>
      </c>
      <c r="M49" s="188"/>
      <c r="N49" s="190">
        <f t="shared" si="19"/>
        <v>1.3937830775589548</v>
      </c>
      <c r="O49" s="191">
        <f t="shared" si="17"/>
        <v>8.9311783238815376E-3</v>
      </c>
      <c r="P49" s="192" cm="1">
        <f t="array" ref="P49">_xll.BDP($A49&amp;" Index","VOLATILITY_30D")</f>
        <v>14.173780000000001</v>
      </c>
      <c r="Q49" s="192" cm="1">
        <f t="array" aca="1" ref="Q49" ca="1">(_xll.BDP(($B49&amp; " Equity"),"CORR_COEF", "BETA_OVERRIDE_REL_INDEX",($C49&amp; " Equity"),"BETA_OVERRIDE_END_DT",$Q$5,"BETA_OVERRIDE_START_DT",$Q$4))*100</f>
        <v>67.828050965765229</v>
      </c>
      <c r="R49" s="188"/>
      <c r="S49" s="188" cm="1">
        <f t="array" ref="S49">_xll.BDP($A49&amp;" Index","CHG_PCT_2D")/100</f>
        <v>-7.327620999999999E-4</v>
      </c>
      <c r="T49" s="188" cm="1">
        <f t="array" ref="T49">_xll.BDP($A49&amp;" Index","CHG_PCT_5D")/100</f>
        <v>5.6841419999999997E-3</v>
      </c>
      <c r="U49" s="188" cm="1">
        <f t="array" ref="U49">K49/_xll.BDP($A49&amp;" Index","HIGH_52WEEK")-1</f>
        <v>-5.494792808092086E-2</v>
      </c>
      <c r="V49" s="188" cm="1">
        <f t="array" ref="V49">K49/_xll.BDP($A49&amp;" Index","LOW_52WEEK")-1</f>
        <v>8.557103793016374E-2</v>
      </c>
      <c r="W49" s="188"/>
      <c r="X49" s="192" cm="1">
        <f t="array" ref="X49">_xll.BDP($A49&amp;" Index","RSI_14D")</f>
        <v>54.441209999999998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0.90335929935313675</v>
      </c>
      <c r="AI49" s="196" cm="1">
        <f t="array" ref="AI49">(_xll.BDP(C49&amp;" Equity","SHORT_INT")/_xll.BDP(C49&amp;" Equity","VOLUME_AVG_90D"))</f>
        <v>2.2827004509619373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373.36</v>
      </c>
      <c r="H50" s="188" cm="1">
        <f t="array" ref="H50">G50/_xll.BDP(B50&amp;" Equity", "PREV_CLOSE_VAL")-1</f>
        <v>3.6736733957182244E-2</v>
      </c>
      <c r="I50" s="187" cm="1">
        <f t="array" ref="I50">_xll.BDP(C50&amp;" Equity","LAST PRICE")</f>
        <v>102.62</v>
      </c>
      <c r="J50" s="188" cm="1">
        <f t="array" ref="J50">I50/_xll.BDP(C50&amp;" Equity", "PREV_CLOSE_VAL")-1</f>
        <v>-2.9047213549058482E-2</v>
      </c>
      <c r="K50" s="189">
        <f>G50/I50</f>
        <v>3.6382771389592672</v>
      </c>
      <c r="L50" s="188" cm="1">
        <f t="array" ref="L50">K50/(_xll.BDP(B50&amp;" Equity", "PREV_CLOSE_VAL")/_xll.BDP(C50&amp;" Equity", "PREV_CLOSE_VAL"))-1</f>
        <v>6.7751952952003203E-2</v>
      </c>
      <c r="M50" s="188"/>
      <c r="N50" s="190">
        <f>ABS(L50/O50)</f>
        <v>4.896553876619242</v>
      </c>
      <c r="O50" s="191">
        <f>P50/15.87/100</f>
        <v>1.383666036546944E-2</v>
      </c>
      <c r="P50" s="192" cm="1">
        <f t="array" ref="P50">_xll.BDP($A50&amp;" Index","VOLATILITY_30D")</f>
        <v>21.958780000000001</v>
      </c>
      <c r="Q50" s="192" cm="1">
        <f t="array" aca="1" ref="Q50" ca="1">(_xll.BDP(($B50&amp; " Equity"),"CORR_COEF", "BETA_OVERRIDE_REL_INDEX",($C50&amp; " Equity"),"BETA_OVERRIDE_END_DT",$Q$5,"BETA_OVERRIDE_START_DT",$Q$4))*100</f>
        <v>65.746958493124794</v>
      </c>
      <c r="R50" s="188"/>
      <c r="S50" s="188" cm="1">
        <f t="array" ref="S50">_xll.BDP($A50&amp;" Index","CHG_PCT_2D")/100</f>
        <v>3.4401949999999996E-3</v>
      </c>
      <c r="T50" s="188" cm="1">
        <f t="array" ref="T50">_xll.BDP($A50&amp;" Index","CHG_PCT_5D")/100</f>
        <v>6.7842449999999995E-3</v>
      </c>
      <c r="U50" s="188" cm="1">
        <f t="array" ref="U50">K50/_xll.BDP($A50&amp;" Index","HIGH_52WEEK")-1</f>
        <v>6.5072537963889676E-2</v>
      </c>
      <c r="V50" s="188" cm="1">
        <f t="array" ref="V50">K50/_xll.BDP($A50&amp;" Index","LOW_52WEEK")-1</f>
        <v>0.66264995565352391</v>
      </c>
      <c r="W50" s="188"/>
      <c r="X50" s="192" cm="1">
        <f t="array" ref="X50">_xll.BDP($A50&amp;" Index","RSI_14D")</f>
        <v>59.794589999999999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1.0671224665243639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373.36</v>
      </c>
      <c r="H51" s="188" cm="1">
        <f t="array" ref="H51">G51/_xll.BDP(B51&amp;" Equity", "PREV_CLOSE_VAL")-1</f>
        <v>3.6736733957182244E-2</v>
      </c>
      <c r="I51" s="187" cm="1">
        <f t="array" ref="I51">_xll.BDP(C51&amp;" Equity","LAST PRICE")</f>
        <v>613.12</v>
      </c>
      <c r="J51" s="188" cm="1">
        <f t="array" ref="J51">I51/_xll.BDP(C51&amp;" Equity", "PREV_CLOSE_VAL")-1</f>
        <v>-1.9371327180087716E-3</v>
      </c>
      <c r="K51" s="189">
        <f>G51/I51</f>
        <v>0.60895093945720258</v>
      </c>
      <c r="L51" s="188" cm="1">
        <f t="array" ref="L51">K51/(_xll.BDP(B51&amp;" Equity", "PREV_CLOSE_VAL")/_xll.BDP(C51&amp;" Equity", "PREV_CLOSE_VAL"))-1</f>
        <v>3.8748928492361445E-2</v>
      </c>
      <c r="M51" s="188"/>
      <c r="N51" s="190">
        <f>ABS(L51/O51)</f>
        <v>3.7538197443622159</v>
      </c>
      <c r="O51" s="191">
        <f>P51/15.87/100</f>
        <v>1.0322533081285445E-2</v>
      </c>
      <c r="P51" s="192" cm="1">
        <f t="array" ref="P51">_xll.BDP($A51&amp;" Index","VOLATILITY_30D")</f>
        <v>16.38186</v>
      </c>
      <c r="Q51" s="192" cm="1">
        <f t="array" aca="1" ref="Q51" ca="1">(_xll.BDP(($B51&amp; " Equity"),"CORR_COEF", "BETA_OVERRIDE_REL_INDEX",($C51&amp; " Equity"),"BETA_OVERRIDE_END_DT",$Q$5,"BETA_OVERRIDE_START_DT",$Q$4))*100</f>
        <v>87.205357865944961</v>
      </c>
      <c r="R51" s="188"/>
      <c r="S51" s="188" cm="1">
        <f t="array" ref="S51">_xll.BDP($A51&amp;" Index","CHG_PCT_2D")/100</f>
        <v>-4.9972459999999999E-4</v>
      </c>
      <c r="T51" s="188" cm="1">
        <f t="array" ref="T51">_xll.BDP($A51&amp;" Index","CHG_PCT_5D")/100</f>
        <v>-3.197381E-4</v>
      </c>
      <c r="U51" s="188" cm="1">
        <f t="array" ref="U51">K51/_xll.BDP($A51&amp;" Index","HIGH_52WEEK")-1</f>
        <v>2.1609776464513564E-2</v>
      </c>
      <c r="V51" s="188" cm="1">
        <f t="array" ref="V51">K51/_xll.BDP($A51&amp;" Index","LOW_52WEEK")-1</f>
        <v>0.42358083845427963</v>
      </c>
      <c r="W51" s="188"/>
      <c r="X51" s="192" cm="1">
        <f t="array" ref="X51">_xll.BDP($A51&amp;" Index","RSI_14D")</f>
        <v>57.990540000000003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1.0671224665243639</v>
      </c>
      <c r="AI51" s="196" cm="1">
        <f t="array" ref="AI51">(_xll.BDP(C51&amp;" Equity","SHORT_INT")/_xll.BDP(C51&amp;" Equity","VOLUME_AVG_90D"))</f>
        <v>0.90335929935313675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85.76</v>
      </c>
      <c r="H52" s="188" cm="1">
        <f t="array" ref="H52">G52/_xll.BDP(B52&amp;" Equity", "PREV_CLOSE_VAL")-1</f>
        <v>1.7439791197057852E-2</v>
      </c>
      <c r="I52" s="187" cm="1">
        <f t="array" ref="I52">_xll.BDP(C52&amp;" Equity","LAST PRICE")</f>
        <v>192.86</v>
      </c>
      <c r="J52" s="188" cm="1">
        <f t="array" ref="J52">I52/_xll.BDP(C52&amp;" Equity", "PREV_CLOSE_VAL")-1</f>
        <v>6.7863854666945223E-3</v>
      </c>
      <c r="K52" s="189">
        <f>G52/I52</f>
        <v>0.44467489370527846</v>
      </c>
      <c r="L52" s="188" cm="1">
        <f t="array" ref="L52">K52/(_xll.BDP(B52&amp;" Equity", "PREV_CLOSE_VAL")/_xll.BDP(C52&amp;" Equity", "PREV_CLOSE_VAL"))-1</f>
        <v>1.0581594948192441E-2</v>
      </c>
      <c r="M52" s="188"/>
      <c r="N52" s="190">
        <f>ABS(L52/O52)</f>
        <v>1.9898736178714753</v>
      </c>
      <c r="O52" s="191">
        <f>P52/15.87/100</f>
        <v>5.3177221172022691E-3</v>
      </c>
      <c r="P52" s="192" cm="1">
        <f t="array" ref="P52">_xll.BDP($A52&amp;" Index","VOLATILITY_30D")</f>
        <v>8.4392250000000004</v>
      </c>
      <c r="Q52" s="192" cm="1">
        <f t="array" aca="1" ref="Q52" ca="1">(_xll.BDP(($B52&amp; " Equity"),"CORR_COEF", "BETA_OVERRIDE_REL_INDEX",($C52&amp; " Equity"),"BETA_OVERRIDE_END_DT",$Q$5,"BETA_OVERRIDE_START_DT",$Q$4))*100</f>
        <v>75.74995401413716</v>
      </c>
      <c r="R52" s="188"/>
      <c r="S52" s="188" cm="1">
        <f t="array" ref="S52">_xll.BDP($A52&amp;" Index","CHG_PCT_2D")/100</f>
        <v>1.251507E-3</v>
      </c>
      <c r="T52" s="188" cm="1">
        <f t="array" ref="T52">_xll.BDP($A52&amp;" Index","CHG_PCT_5D")/100</f>
        <v>-1.246416E-2</v>
      </c>
      <c r="U52" s="188" cm="1">
        <f t="array" ref="U52">K52/_xll.BDP($A52&amp;" Index","HIGH_52WEEK")-1</f>
        <v>-2.6132834530808724E-3</v>
      </c>
      <c r="V52" s="188" cm="1">
        <f t="array" ref="V52">K52/_xll.BDP($A52&amp;" Index","LOW_52WEEK")-1</f>
        <v>0.30644561420007177</v>
      </c>
      <c r="W52" s="188"/>
      <c r="X52" s="192" cm="1">
        <f t="array" ref="X52">_xll.BDP($A52&amp;" Index","RSI_14D")</f>
        <v>63.963380000000001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1.7565248691343367</v>
      </c>
      <c r="AI52" s="196" cm="1">
        <f t="array" ref="AI52">(_xll.BDP(C52&amp;" Equity","SHORT_INT")/_xll.BDP(C52&amp;" Equity","VOLUME_AVG_90D"))</f>
        <v>1.934779741742443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85.76</v>
      </c>
      <c r="H53" s="188" cm="1">
        <f t="array" ref="H53">G53/_xll.BDP(B53&amp;" Equity", "PREV_CLOSE_VAL")-1</f>
        <v>1.7439791197057852E-2</v>
      </c>
      <c r="I53" s="187" cm="1">
        <f t="array" ref="I53">_xll.BDP(C53&amp;" Equity","LAST PRICE")</f>
        <v>683.17</v>
      </c>
      <c r="J53" s="188" cm="1">
        <f t="array" ref="J53">I53/_xll.BDP(C53&amp;" Equity", "PREV_CLOSE_VAL")-1</f>
        <v>1.8330595964335394E-3</v>
      </c>
      <c r="K53" s="189">
        <f>G53/I53</f>
        <v>0.12553244434035454</v>
      </c>
      <c r="L53" s="188" cm="1">
        <f t="array" ref="L53">K53/(_xll.BDP(B53&amp;" Equity", "PREV_CLOSE_VAL")/_xll.BDP(C53&amp;" Equity", "PREV_CLOSE_VAL"))-1</f>
        <v>1.5578175875839984E-2</v>
      </c>
      <c r="M53" s="188"/>
      <c r="N53" s="190">
        <f>ABS(L53/O53)</f>
        <v>2.2800463261546429</v>
      </c>
      <c r="O53" s="191">
        <f>P53/15.87/100</f>
        <v>6.8323944549464402E-3</v>
      </c>
      <c r="P53" s="192" cm="1">
        <f t="array" ref="P53">_xll.BDP($A53&amp;" Index","VOLATILITY_30D")</f>
        <v>10.84301</v>
      </c>
      <c r="Q53" s="192" cm="1">
        <f t="array" aca="1" ref="Q53" ca="1">(_xll.BDP(($B53&amp; " Equity"),"CORR_COEF", "BETA_OVERRIDE_REL_INDEX",($C53&amp; " Equity"),"BETA_OVERRIDE_END_DT",$Q$5,"BETA_OVERRIDE_START_DT",$Q$4))*100</f>
        <v>63.364810974370755</v>
      </c>
      <c r="R53" s="188"/>
      <c r="S53" s="188" cm="1">
        <f t="array" ref="S53">_xll.BDP($A53&amp;" Index","CHG_PCT_2D")/100</f>
        <v>1.3350219999999998E-4</v>
      </c>
      <c r="T53" s="188" cm="1">
        <f t="array" ref="T53">_xll.BDP($A53&amp;" Index","CHG_PCT_5D")/100</f>
        <v>-1.205025E-2</v>
      </c>
      <c r="U53" s="188" cm="1">
        <f t="array" ref="U53">K53/_xll.BDP($A53&amp;" Index","HIGH_52WEEK")-1</f>
        <v>-1.4918522084430563E-3</v>
      </c>
      <c r="V53" s="188" cm="1">
        <f t="array" ref="V53">K53/_xll.BDP($A53&amp;" Index","LOW_52WEEK")-1</f>
        <v>0.20334014896812258</v>
      </c>
      <c r="W53" s="188"/>
      <c r="X53" s="192" cm="1">
        <f t="array" ref="X53">_xll.BDP($A53&amp;" Index","RSI_14D")</f>
        <v>60.373080000000002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1.7565248691343367</v>
      </c>
      <c r="AI53" s="196" cm="1">
        <f t="array" ref="AI53">(_xll.BDP(C53&amp;" Equity","SHORT_INT")/_xll.BDP(C53&amp;" Equity","VOLUME_AVG_90D"))</f>
        <v>1.459927436678836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85.76</v>
      </c>
      <c r="H54" s="188" cm="1">
        <f t="array" ref="H54">G54/_xll.BDP(B54&amp;" Equity", "PREV_CLOSE_VAL")-1</f>
        <v>1.7439791197057852E-2</v>
      </c>
      <c r="I54" s="187" cm="1">
        <f t="array" ref="I54">_xll.BDP(C54&amp;" Equity","LAST PRICE")</f>
        <v>65.239999999999995</v>
      </c>
      <c r="J54" s="188" cm="1">
        <f t="array" ref="J54">I54/_xll.BDP(C54&amp;" Equity", "PREV_CLOSE_VAL")-1</f>
        <v>6.6347785835518813E-3</v>
      </c>
      <c r="K54" s="189">
        <f>G54/I54</f>
        <v>1.3145309625996322</v>
      </c>
      <c r="L54" s="188" cm="1">
        <f t="array" ref="L54">K54/(_xll.BDP(B54&amp;" Equity", "PREV_CLOSE_VAL")/_xll.BDP(C54&amp;" Equity", "PREV_CLOSE_VAL"))-1</f>
        <v>1.0733796252012873E-2</v>
      </c>
      <c r="M54" s="188"/>
      <c r="N54" s="190">
        <f>ABS(L54/O54)</f>
        <v>1.3975506017339148</v>
      </c>
      <c r="O54" s="191">
        <f>P54/15.87/100</f>
        <v>7.6804347826086965E-3</v>
      </c>
      <c r="P54" s="192" cm="1">
        <f t="array" ref="P54">_xll.BDP($A54&amp;" Index","VOLATILITY_30D")</f>
        <v>12.18885</v>
      </c>
      <c r="Q54" s="192" cm="1">
        <f t="array" aca="1" ref="Q54" ca="1">(_xll.BDP(($B54&amp; " Equity"),"CORR_COEF", "BETA_OVERRIDE_REL_INDEX",($C54&amp; " Equity"),"BETA_OVERRIDE_END_DT",$Q$5,"BETA_OVERRIDE_START_DT",$Q$4))*100</f>
        <v>79.740234732708743</v>
      </c>
      <c r="R54" s="188"/>
      <c r="S54" s="188" cm="1">
        <f t="array" ref="S54">_xll.BDP($A54&amp;" Index","CHG_PCT_2D")/100</f>
        <v>2.3475480000000001E-3</v>
      </c>
      <c r="T54" s="188" cm="1">
        <f t="array" ref="T54">_xll.BDP($A54&amp;" Index","CHG_PCT_5D")/100</f>
        <v>1.666659E-3</v>
      </c>
      <c r="U54" s="188" cm="1">
        <f t="array" ref="U54">K54/_xll.BDP($A54&amp;" Index","HIGH_52WEEK")-1</f>
        <v>1.24159260939396E-2</v>
      </c>
      <c r="V54" s="188" cm="1">
        <f t="array" ref="V54">K54/_xll.BDP($A54&amp;" Index","LOW_52WEEK")-1</f>
        <v>0.21035565166115644</v>
      </c>
      <c r="W54" s="188"/>
      <c r="X54" s="192" cm="1">
        <f t="array" ref="X54">_xll.BDP($A54&amp;" Index","RSI_14D")</f>
        <v>64.359120000000004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1.7565248691343367</v>
      </c>
      <c r="AI54" s="196" cm="1">
        <f t="array" ref="AI54">(_xll.BDP(C54&amp;" Equity","SHORT_INT")/_xll.BDP(C54&amp;" Equity","VOLUME_AVG_90D"))</f>
        <v>3.612445659601168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430</v>
      </c>
      <c r="Z2" s="128">
        <v>0.02</v>
      </c>
      <c r="AA2" s="128">
        <v>1.2500000000000001E-2</v>
      </c>
      <c r="AB2" s="128">
        <f>Z2+AA2</f>
        <v>3.2500000000000001E-2</v>
      </c>
      <c r="AG2" t="s">
        <v>430</v>
      </c>
      <c r="AH2" t="s">
        <v>1895</v>
      </c>
      <c r="AI2" t="s">
        <v>1896</v>
      </c>
    </row>
    <row r="3" spans="3:37">
      <c r="T3" s="40"/>
      <c r="U3" s="40"/>
      <c r="V3" t="s">
        <v>1892</v>
      </c>
      <c r="W3" t="s">
        <v>1893</v>
      </c>
      <c r="X3" t="s">
        <v>169</v>
      </c>
      <c r="Z3" t="s">
        <v>1892</v>
      </c>
      <c r="AA3" t="s">
        <v>1893</v>
      </c>
      <c r="AB3" t="s">
        <v>169</v>
      </c>
      <c r="AD3" t="s">
        <v>1894</v>
      </c>
      <c r="AE3" t="s">
        <v>1909</v>
      </c>
    </row>
    <row r="4" spans="3:37">
      <c r="D4" t="s">
        <v>1695</v>
      </c>
      <c r="F4" s="177" t="s">
        <v>150</v>
      </c>
      <c r="G4" s="177" t="s">
        <v>147</v>
      </c>
      <c r="K4" t="s">
        <v>146</v>
      </c>
      <c r="S4" s="36" t="s">
        <v>1771</v>
      </c>
      <c r="T4" t="s">
        <v>90</v>
      </c>
      <c r="U4" t="s">
        <v>1897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1771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0.43162428202574127</v>
      </c>
      <c r="G5" s="153" cm="1">
        <f t="array" ref="G5">_xll.BDP($C5&amp;" Equity","volatility_30d")/100</f>
        <v>0.39915646897188767</v>
      </c>
      <c r="J5" t="s">
        <v>1741</v>
      </c>
      <c r="K5" s="276">
        <v>70</v>
      </c>
      <c r="L5" cm="1">
        <f t="array" ref="L5">_xll.BDP(J5&amp;" Equity","LAST PRICE")</f>
        <v>115.21</v>
      </c>
      <c r="M5" s="279">
        <f>L5/K5-1</f>
        <v>0.64585714285714269</v>
      </c>
      <c r="S5" s="36" t="s">
        <v>1771</v>
      </c>
      <c r="T5" t="s">
        <v>1891</v>
      </c>
      <c r="U5" t="s">
        <v>1897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1771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0.43162428202574127</v>
      </c>
      <c r="G6" s="153" cm="1">
        <f t="array" ref="G6">_xll.BDP($C6&amp;" Equity","volatility_30d")/100</f>
        <v>0.39915646897188767</v>
      </c>
      <c r="J6" t="s">
        <v>1741</v>
      </c>
      <c r="K6" s="276">
        <v>70</v>
      </c>
      <c r="L6" cm="1">
        <f t="array" ref="L6">_xll.BDP(J6&amp;" Equity","LAST PRICE")</f>
        <v>115.21</v>
      </c>
      <c r="M6" s="279">
        <f>L6/K6-1</f>
        <v>0.64585714285714269</v>
      </c>
      <c r="S6" s="36" t="s">
        <v>1771</v>
      </c>
      <c r="T6" t="s">
        <v>1907</v>
      </c>
      <c r="U6" t="s">
        <v>1904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1694</v>
      </c>
      <c r="D7" s="276">
        <v>1.2</v>
      </c>
      <c r="F7" s="153" cm="1">
        <f t="array" ref="F7">_xll.BDP($C7&amp;" Equity","volatility_10d")/100</f>
        <v>0.30527759220651163</v>
      </c>
      <c r="G7" s="153" cm="1">
        <f t="array" ref="G7">_xll.BDP($C7&amp;" Equity","volatility_30d")/100</f>
        <v>0.18208450509413968</v>
      </c>
      <c r="J7" t="s">
        <v>1744</v>
      </c>
      <c r="K7" s="276">
        <v>28.5</v>
      </c>
      <c r="L7" cm="1">
        <f t="array" ref="L7">_xll.BDP(J7&amp;" Equity","LAST PRICE")</f>
        <v>23.37</v>
      </c>
      <c r="M7" s="279">
        <f t="shared" ref="M7:M13" si="6">L7/K7-1</f>
        <v>-0.17999999999999994</v>
      </c>
      <c r="S7" s="36" t="s">
        <v>1771</v>
      </c>
      <c r="T7" t="s">
        <v>81</v>
      </c>
      <c r="U7" t="s">
        <v>1883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0.43834568078167524</v>
      </c>
      <c r="G8" s="153" cm="1">
        <f t="array" ref="G8">_xll.BDP($C8&amp;" Equity","volatility_30d")/100</f>
        <v>0.44106708959284108</v>
      </c>
      <c r="J8" t="s">
        <v>401</v>
      </c>
      <c r="K8" s="276">
        <v>318.75</v>
      </c>
      <c r="L8" cm="1">
        <f t="array" ref="L8">_xll.BDP(J8&amp;" Equity","LAST PRICE")</f>
        <v>259.95</v>
      </c>
      <c r="M8" s="279">
        <f t="shared" si="6"/>
        <v>-0.18447058823529416</v>
      </c>
      <c r="S8" s="36" t="s">
        <v>1771</v>
      </c>
      <c r="T8" t="s">
        <v>83</v>
      </c>
      <c r="U8" t="s">
        <v>1883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0.16146504887464475</v>
      </c>
      <c r="G9" s="153" cm="1">
        <f t="array" ref="G9">_xll.BDP($C9&amp;" Equity","volatility_30d")/100</f>
        <v>0.19195229702956496</v>
      </c>
      <c r="J9" t="s">
        <v>134</v>
      </c>
      <c r="K9" s="276">
        <v>265.95999999999998</v>
      </c>
      <c r="L9" cm="1">
        <f t="array" ref="L9">_xll.BDP(J9&amp;" Equity","LAST PRICE")</f>
        <v>253.62</v>
      </c>
      <c r="M9" s="279">
        <f t="shared" si="6"/>
        <v>-4.6397954579635914E-2</v>
      </c>
      <c r="S9" s="36" t="s">
        <v>1771</v>
      </c>
      <c r="T9" t="s">
        <v>400</v>
      </c>
      <c r="U9" t="s">
        <v>1883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1771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0.11945840000000001</v>
      </c>
      <c r="G10" s="153" cm="1">
        <f t="array" ref="G10">_xll.BDP($C10&amp;" Equity","volatility_30d")/100</f>
        <v>0.21407299999999999</v>
      </c>
      <c r="J10" t="s">
        <v>1754</v>
      </c>
      <c r="K10" s="276">
        <v>251.52</v>
      </c>
      <c r="L10" cm="1">
        <f t="array" ref="L10">_xll.BDP(J10&amp;" Equity","LAST PRICE")</f>
        <v>205.79</v>
      </c>
      <c r="M10" s="279">
        <f t="shared" si="6"/>
        <v>-0.18181456743002555</v>
      </c>
      <c r="S10" s="36" t="s">
        <v>1771</v>
      </c>
      <c r="T10" t="s">
        <v>1908</v>
      </c>
      <c r="U10" t="s">
        <v>1898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402</v>
      </c>
      <c r="D11" s="276">
        <v>1.5</v>
      </c>
      <c r="E11" s="276">
        <v>0.94</v>
      </c>
      <c r="F11" s="153" cm="1">
        <f t="array" ref="F11">_xll.BDP($C11&amp;" Equity","volatility_10d")/100</f>
        <v>0.10201433699498365</v>
      </c>
      <c r="G11" s="153" cm="1">
        <f t="array" ref="G11">_xll.BDP($C11&amp;" Equity","volatility_30d")/100</f>
        <v>0.207665839712563</v>
      </c>
      <c r="J11" t="s">
        <v>353</v>
      </c>
      <c r="K11" s="276">
        <v>117.4</v>
      </c>
      <c r="L11" cm="1">
        <f t="array" ref="L11">_xll.BDP(J11&amp;" Equity","LAST PRICE")</f>
        <v>241.89</v>
      </c>
      <c r="M11" s="279">
        <f t="shared" si="6"/>
        <v>1.0603918228279383</v>
      </c>
      <c r="S11" s="36" t="s">
        <v>1771</v>
      </c>
      <c r="T11" t="s">
        <v>94</v>
      </c>
      <c r="U11" t="s">
        <v>1884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1686</v>
      </c>
      <c r="D12" s="276">
        <v>1.5</v>
      </c>
      <c r="E12" s="276">
        <v>1.07</v>
      </c>
      <c r="F12" s="153" cm="1">
        <f t="array" ref="F12">_xll.BDP($C12&amp;" Equity","volatility_10d")/100</f>
        <v>0.10814652164432338</v>
      </c>
      <c r="G12" s="153" cm="1">
        <f t="array" ref="G12">_xll.BDP($C12&amp;" Equity","volatility_30d")/100</f>
        <v>0.24698518411140388</v>
      </c>
      <c r="J12" t="s">
        <v>1743</v>
      </c>
      <c r="K12" s="276">
        <v>5420</v>
      </c>
      <c r="L12" cm="1">
        <f t="array" ref="L12">_xll.BDP(J12&amp;" Index","LAST PRICE")</f>
        <v>5776</v>
      </c>
      <c r="M12" s="279">
        <f t="shared" si="6"/>
        <v>6.5682656826568264E-2</v>
      </c>
      <c r="S12" s="36" t="s">
        <v>1771</v>
      </c>
      <c r="T12" t="s">
        <v>137</v>
      </c>
      <c r="U12" t="s">
        <v>1898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1690</v>
      </c>
      <c r="D13" s="276">
        <v>1.5</v>
      </c>
      <c r="E13" s="276">
        <v>0.97</v>
      </c>
      <c r="F13" s="153" cm="1">
        <f t="array" ref="F13">_xll.BDP($C13&amp;" Equity","volatility_10d")/100</f>
        <v>0.12076641161525779</v>
      </c>
      <c r="G13" s="153" cm="1">
        <f t="array" ref="G13">_xll.BDP($C13&amp;" Equity","volatility_30d")/100</f>
        <v>0.27613197469159401</v>
      </c>
      <c r="J13" t="s">
        <v>1745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1771</v>
      </c>
      <c r="T13" t="s">
        <v>96</v>
      </c>
      <c r="U13" t="s">
        <v>1884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1771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8.7634695065526527E-2</v>
      </c>
      <c r="G14" s="153" cm="1">
        <f t="array" ref="G14">_xll.BDP($C14&amp;" Equity","volatility_30d")/100</f>
        <v>0.11266741621690381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0.11990276107678889</v>
      </c>
      <c r="G15" s="153" cm="1">
        <f t="array" ref="G15">_xll.BDP($C15&amp;" Equity","volatility_30d")/100</f>
        <v>0.14837055190002085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7.1244010469853472E-2</v>
      </c>
      <c r="G16" s="153" cm="1">
        <f t="array" ref="G16">_xll.BDP($C16&amp;" Equity","volatility_30d")/100</f>
        <v>0.19077105285627569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0.20454438748260426</v>
      </c>
      <c r="G17" s="153" cm="1">
        <f t="array" ref="G17">_xll.BDP($C17&amp;" Equity","volatility_30d")/100</f>
        <v>0.3386102165530096</v>
      </c>
      <c r="AP17" t="s">
        <v>1771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0.19064483954191894</v>
      </c>
      <c r="G18" s="153" cm="1">
        <f t="array" ref="G18">_xll.BDP($C18&amp;" Equity","volatility_30d")/100</f>
        <v>0.30867331265053755</v>
      </c>
      <c r="AP18" t="s">
        <v>1771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8.9866378677684988E-2</v>
      </c>
      <c r="G19" s="153" cm="1">
        <f t="array" ref="G19">_xll.BDP($C19&amp;" Equity","volatility_30d")/100</f>
        <v>0.11131759736969282</v>
      </c>
      <c r="AP19" t="s">
        <v>1771</v>
      </c>
    </row>
    <row r="20" spans="3:42">
      <c r="C20" t="s">
        <v>1853</v>
      </c>
      <c r="D20" s="276">
        <v>1</v>
      </c>
      <c r="F20" s="153" cm="1">
        <f t="array" ref="F20">_xll.BDP($C20&amp;" Equity","volatility_10d")/100</f>
        <v>9.1623365455689457E-2</v>
      </c>
      <c r="G20" s="153" cm="1">
        <f t="array" ref="G20">_xll.BDP($C20&amp;" Equity","volatility_30d")/100</f>
        <v>0.14178337290992518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6.4183398698571217E-2</v>
      </c>
      <c r="G21" s="153" cm="1">
        <f t="array" ref="G21">_xll.BDP($C21&amp;" Equity","volatility_30d")/100</f>
        <v>0.11534202275016341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8.2190066541879436E-2</v>
      </c>
      <c r="G22" s="153" cm="1">
        <f t="array" ref="G22">_xll.BDP($C22&amp;" Equity","volatility_30d")/100</f>
        <v>0.1087533791482099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0.12185752603857578</v>
      </c>
      <c r="G23" s="153" cm="1">
        <f t="array" ref="G23">_xll.BDP($C23&amp;" Equity","volatility_30d")/100</f>
        <v>0.16261570624386942</v>
      </c>
      <c r="K23" s="377" t="s">
        <v>1917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0.11994061319003899</v>
      </c>
      <c r="G24" s="153" cm="1">
        <f t="array" ref="G24">_xll.BDP($C24&amp;" Equity","volatility_30d")/100</f>
        <v>0.18693147141012509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514</v>
      </c>
      <c r="D25" s="276">
        <v>0.9</v>
      </c>
      <c r="F25" s="153" cm="1">
        <f t="array" ref="F25">_xll.BDP($C25&amp;" Equity","volatility_10d")/100</f>
        <v>8.5209810460692897E-2</v>
      </c>
      <c r="G25" s="153" cm="1">
        <f t="array" ref="G25">_xll.BDP($C25&amp;" Equity","volatility_30d")/100</f>
        <v>0.22435851484280428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0.17193186469995073</v>
      </c>
      <c r="G26" s="153" cm="1">
        <f t="array" ref="G26">_xll.BDP($C26&amp;" Equity","volatility_30d")/100</f>
        <v>0.24557786049920419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8.3386658245733825E-2</v>
      </c>
      <c r="G27" s="153" cm="1">
        <f t="array" ref="G27">_xll.BDP($C27&amp;" Equity","volatility_30d")/100</f>
        <v>0.13509372518355031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0.14624200081462865</v>
      </c>
      <c r="G28" s="153" cm="1">
        <f t="array" ref="G28">_xll.BDP($C28&amp;" Equity","volatility_30d")/100</f>
        <v>0.37968179880379521</v>
      </c>
      <c r="K28" s="374" t="s">
        <v>1682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0.15777969548512755</v>
      </c>
      <c r="G29" s="153" cm="1">
        <f t="array" ref="G29">_xll.BDP($C29&amp;" Equity","volatility_30d")/100</f>
        <v>0.17541817493373396</v>
      </c>
      <c r="K29" s="374" t="s">
        <v>1804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0.10642764007286538</v>
      </c>
      <c r="G30" s="153" cm="1">
        <f t="array" ref="G30">_xll.BDP($C30&amp;" Equity","volatility_30d")/100</f>
        <v>0.18724469939224161</v>
      </c>
      <c r="K30" s="374" t="s">
        <v>1905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1682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0.1487655631600216</v>
      </c>
      <c r="G31" s="153" cm="1">
        <f t="array" ref="G31">_xll.BDP($C31&amp;" Equity","volatility_30d")/100</f>
        <v>0.16959362546226942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0.10024863485400241</v>
      </c>
      <c r="G32" s="153" cm="1">
        <f t="array" ref="G32">_xll.BDP($C32&amp;" Equity","volatility_30d")/100</f>
        <v>0.19987849085605841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9.0668936639888967E-2</v>
      </c>
      <c r="G33" s="153" cm="1">
        <f t="array" ref="G33">_xll.BDP($C33&amp;" Equity","volatility_30d")/100</f>
        <v>0.20885434344884696</v>
      </c>
      <c r="K33" s="374" t="s">
        <v>1918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0.13245136548429026</v>
      </c>
      <c r="G34" s="153" cm="1">
        <f t="array" ref="G34">_xll.BDP($C34&amp;" Equity","volatility_30d")/100</f>
        <v>0.13057604974935869</v>
      </c>
      <c r="K34" s="377" t="s">
        <v>1883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0.1691173982072155</v>
      </c>
      <c r="G35" s="153" cm="1">
        <f t="array" ref="G35">_xll.BDP($C35&amp;" Equity","volatility_30d")/100</f>
        <v>0.29016518707666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0.27874146677113959</v>
      </c>
      <c r="G36" s="153" cm="1">
        <f t="array" ref="G36">_xll.BDP($C36&amp;" Equity","volatility_30d")/100</f>
        <v>0.31914506633045964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0.42737746131712406</v>
      </c>
      <c r="G37" s="153" cm="1">
        <f t="array" ref="G37">_xll.BDP($C37&amp;" Equity","volatility_30d")/100</f>
        <v>0.56195975048303226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0.10206390825294409</v>
      </c>
      <c r="G38" s="153" cm="1">
        <f t="array" ref="G38">_xll.BDP($C38&amp;" Equity","volatility_30d")/100</f>
        <v>0.23266269793331948</v>
      </c>
      <c r="K38" s="374" t="s">
        <v>400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0.10031503064814434</v>
      </c>
      <c r="G39" s="153" cm="1">
        <f t="array" ref="G39">_xll.BDP($C39&amp;" Equity","volatility_30d")/100</f>
        <v>0.27499879493134249</v>
      </c>
      <c r="K39" s="374" t="s">
        <v>500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1679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0.247240984316453</v>
      </c>
      <c r="G40" s="153" cm="1">
        <f t="array" ref="G40">_xll.BDP($C40&amp;" Equity","volatility_30d")/100</f>
        <v>0.25799607058402801</v>
      </c>
      <c r="K40" s="374" t="s">
        <v>1921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1680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9.5412756532431864E-2</v>
      </c>
      <c r="G41" s="153" cm="1">
        <f t="array" ref="G41">_xll.BDP($C41&amp;" Equity","volatility_30d")/100</f>
        <v>0.15936673960196507</v>
      </c>
      <c r="K41" s="377" t="s">
        <v>1882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1681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9.0788916638923245E-2</v>
      </c>
      <c r="G42" s="153" cm="1">
        <f t="array" ref="G42">_xll.BDP($C42&amp;" Equity","volatility_30d")/100</f>
        <v>0.2074712669195509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1687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0.18442339392744381</v>
      </c>
      <c r="G43" s="153" cm="1">
        <f t="array" ref="G43">_xll.BDP($C43&amp;" Equity","volatility_30d")/100</f>
        <v>0.26451060643771629</v>
      </c>
      <c r="K43" s="374" t="s">
        <v>1891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0.33282112381162482</v>
      </c>
      <c r="G44" s="153" cm="1">
        <f t="array" ref="G44">_xll.BDP($C44&amp;" Equity","volatility_30d")/100</f>
        <v>0.6853565196656406</v>
      </c>
      <c r="K44" s="377" t="s">
        <v>1884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0.25715880012808023</v>
      </c>
      <c r="G45" s="153" cm="1">
        <f t="array" ref="G45">_xll.BDP($C45&amp;" Equity","volatility_30d")/100</f>
        <v>0.4241332099922831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1854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1678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1679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1680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1681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1899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1694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485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1920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46" priority="6" operator="lessThan">
      <formula>0</formula>
    </cfRule>
  </conditionalFormatting>
  <conditionalFormatting sqref="L23:O59">
    <cfRule type="cellIs" dxfId="1645" priority="5" operator="lessThan">
      <formula>0</formula>
    </cfRule>
  </conditionalFormatting>
  <conditionalFormatting sqref="R23:R59">
    <cfRule type="cellIs" dxfId="1644" priority="4" operator="lessThan">
      <formula>0</formula>
    </cfRule>
  </conditionalFormatting>
  <conditionalFormatting sqref="Q45:Q48">
    <cfRule type="cellIs" dxfId="1643" priority="3" operator="lessThan">
      <formula>0</formula>
    </cfRule>
  </conditionalFormatting>
  <conditionalFormatting sqref="Q42:Q43">
    <cfRule type="cellIs" dxfId="1642" priority="2" operator="lessThan">
      <formula>0</formula>
    </cfRule>
  </conditionalFormatting>
  <conditionalFormatting sqref="Q39">
    <cfRule type="cellIs" dxfId="1641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1992</v>
      </c>
      <c r="K3" s="6" t="s">
        <v>1993</v>
      </c>
      <c r="M3" s="6" t="s">
        <v>1994</v>
      </c>
    </row>
    <row r="4" spans="4:15">
      <c r="D4" s="6" t="s">
        <v>1981</v>
      </c>
      <c r="E4" s="391" t="s">
        <v>1982</v>
      </c>
      <c r="F4" s="6" t="s">
        <v>1986</v>
      </c>
      <c r="G4" s="6" t="s">
        <v>1987</v>
      </c>
      <c r="H4" s="6"/>
      <c r="I4" s="6" t="s">
        <v>1974</v>
      </c>
      <c r="J4" s="6" t="s">
        <v>1983</v>
      </c>
      <c r="K4" s="6" t="s">
        <v>1987</v>
      </c>
      <c r="L4" s="6"/>
      <c r="M4" s="6" t="s">
        <v>1984</v>
      </c>
    </row>
    <row r="5" spans="4:15">
      <c r="D5" t="s">
        <v>1980</v>
      </c>
      <c r="E5" s="80">
        <v>45960</v>
      </c>
      <c r="F5" s="267">
        <v>140</v>
      </c>
      <c r="G5" s="267" t="s">
        <v>1991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1990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1985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1988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1989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1975</v>
      </c>
      <c r="E6" s="389" t="s">
        <v>1977</v>
      </c>
      <c r="F6" s="57" t="s">
        <v>1976</v>
      </c>
      <c r="G6" s="389" t="s">
        <v>1977</v>
      </c>
      <c r="H6" s="389" t="s">
        <v>1978</v>
      </c>
      <c r="J6" s="57"/>
      <c r="K6" s="57"/>
      <c r="L6" s="57" t="s">
        <v>1975</v>
      </c>
      <c r="M6" s="389" t="s">
        <v>1977</v>
      </c>
      <c r="N6" s="57" t="s">
        <v>1976</v>
      </c>
      <c r="O6" s="389" t="s">
        <v>1977</v>
      </c>
      <c r="P6" s="57" t="s">
        <v>1979</v>
      </c>
      <c r="Q6" s="389" t="s">
        <v>1977</v>
      </c>
      <c r="R6" s="389" t="s">
        <v>1978</v>
      </c>
      <c r="T6" s="57"/>
      <c r="U6" s="57"/>
      <c r="V6" s="57" t="s">
        <v>1975</v>
      </c>
      <c r="W6" s="389" t="s">
        <v>1977</v>
      </c>
      <c r="X6" s="57" t="s">
        <v>1976</v>
      </c>
      <c r="Y6" s="389" t="s">
        <v>1977</v>
      </c>
      <c r="Z6" s="57" t="s">
        <v>1979</v>
      </c>
      <c r="AA6" s="389" t="s">
        <v>1977</v>
      </c>
      <c r="AB6" s="389" t="s">
        <v>1978</v>
      </c>
    </row>
    <row r="7" spans="2:28">
      <c r="B7" t="s">
        <v>1973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1973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1973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1970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1970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1970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1971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1971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1971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1972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1972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1972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5" zoomScaleNormal="85" zoomScaleSheetLayoutView="85" workbookViewId="0">
      <selection activeCell="H41" sqref="H41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1.4144238106167317</v>
      </c>
      <c r="F4" s="284">
        <f>'Master P&amp;L'!U5</f>
        <v>9.5231535571900037E-3</v>
      </c>
    </row>
    <row r="5" spans="1:28">
      <c r="A5" s="297" t="s">
        <v>65</v>
      </c>
      <c r="C5" s="298">
        <f>'Master P&amp;L'!V6</f>
        <v>2.6271432829766045E-2</v>
      </c>
      <c r="F5" s="284">
        <f>'Master P&amp;L'!U6</f>
        <v>-5.3762357784397207E-3</v>
      </c>
    </row>
    <row r="6" spans="1:28" s="304" customFormat="1">
      <c r="A6" s="299" t="s">
        <v>66</v>
      </c>
      <c r="B6" s="300"/>
      <c r="C6" s="301">
        <f>'Master P&amp;L'!V7</f>
        <v>1.4406952434464977</v>
      </c>
      <c r="D6" s="302"/>
      <c r="E6" s="302"/>
      <c r="F6" s="302">
        <f>'Master P&amp;L'!U7</f>
        <v>4.146917778750283E-3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1.4899389335629724E-2</v>
      </c>
    </row>
    <row r="8" spans="1:28">
      <c r="A8" s="306" t="s">
        <v>68</v>
      </c>
      <c r="B8" s="307"/>
      <c r="C8" s="308">
        <f>'Master P&amp;L'!V7*'Master P&amp;L'!AD5/10000</f>
        <v>303685.30292228202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1647401.6627625031</v>
      </c>
      <c r="D9" s="312"/>
      <c r="E9" s="312"/>
      <c r="F9" s="312"/>
      <c r="G9" s="313"/>
      <c r="H9" s="312"/>
    </row>
    <row r="10" spans="1:28">
      <c r="A10" s="441" t="s">
        <v>2205</v>
      </c>
      <c r="B10" s="445">
        <f>Options!AI1</f>
        <v>-12.296879993024167</v>
      </c>
      <c r="H10" s="286"/>
    </row>
    <row r="11" spans="1:28">
      <c r="A11" s="314">
        <f ca="1">TODAY()</f>
        <v>46024</v>
      </c>
      <c r="H11" s="286"/>
      <c r="L11" s="284"/>
    </row>
    <row r="12" spans="1:28" s="366" customFormat="1" ht="47.25">
      <c r="A12" s="502" t="s">
        <v>72</v>
      </c>
      <c r="B12" s="495" t="s">
        <v>73</v>
      </c>
      <c r="C12" s="501" t="s">
        <v>74</v>
      </c>
      <c r="D12" s="501" t="s">
        <v>75</v>
      </c>
      <c r="E12" s="501" t="s">
        <v>76</v>
      </c>
      <c r="F12" s="501" t="s">
        <v>77</v>
      </c>
      <c r="G12" s="365"/>
      <c r="I12" s="367"/>
      <c r="L12" s="315"/>
      <c r="AA12" s="368"/>
      <c r="AB12" s="368"/>
    </row>
    <row r="13" spans="1:28">
      <c r="A13" s="496" t="s">
        <v>1917</v>
      </c>
      <c r="B13" s="497">
        <v>-3.5129938180267772E-3</v>
      </c>
      <c r="C13" s="500">
        <v>0</v>
      </c>
      <c r="D13" s="498">
        <v>2.6526972980753656E-4</v>
      </c>
      <c r="E13" s="498">
        <v>0</v>
      </c>
      <c r="F13" s="498">
        <v>2.6526972980753656E-4</v>
      </c>
      <c r="G13" s="316"/>
      <c r="H13" s="286"/>
      <c r="L13" s="316"/>
    </row>
    <row r="14" spans="1:28">
      <c r="A14" s="499" t="s">
        <v>2261</v>
      </c>
      <c r="B14" s="497">
        <v>-3.315649867373982E-3</v>
      </c>
      <c r="C14" s="500">
        <v>0</v>
      </c>
      <c r="D14" s="498">
        <v>1.3265176253949432E-4</v>
      </c>
      <c r="E14" s="498">
        <v>0</v>
      </c>
      <c r="F14" s="498">
        <v>1.3265176253949432E-4</v>
      </c>
      <c r="G14" s="316"/>
      <c r="H14" s="286"/>
      <c r="I14" s="285"/>
      <c r="L14" s="316"/>
    </row>
    <row r="15" spans="1:28">
      <c r="A15" s="499" t="s">
        <v>462</v>
      </c>
      <c r="B15" s="497">
        <v>-3.7103377686795724E-3</v>
      </c>
      <c r="C15" s="500">
        <v>0</v>
      </c>
      <c r="D15" s="498">
        <v>1.3261796726804224E-4</v>
      </c>
      <c r="E15" s="498">
        <v>0</v>
      </c>
      <c r="F15" s="498">
        <v>1.3261796726804224E-4</v>
      </c>
      <c r="G15" s="316"/>
      <c r="H15" s="286"/>
      <c r="I15" s="285"/>
      <c r="L15" s="316"/>
    </row>
    <row r="16" spans="1:28">
      <c r="A16" s="496" t="s">
        <v>78</v>
      </c>
      <c r="B16" s="497">
        <v>-5.199379458362019E-3</v>
      </c>
      <c r="C16" s="500">
        <v>0.29199864062290365</v>
      </c>
      <c r="D16" s="498">
        <v>-3.1299574921789504E-3</v>
      </c>
      <c r="E16" s="498">
        <v>-5.0316241601925113E-3</v>
      </c>
      <c r="F16" s="498">
        <v>-8.1615816523714618E-3</v>
      </c>
      <c r="G16" s="316"/>
      <c r="H16" s="286"/>
      <c r="I16" s="285"/>
      <c r="L16" s="316"/>
    </row>
    <row r="17" spans="1:12">
      <c r="A17" s="499" t="s">
        <v>3</v>
      </c>
      <c r="B17" s="497">
        <v>-1.8115004399358314E-3</v>
      </c>
      <c r="C17" s="500">
        <v>1.8025031789453055E-2</v>
      </c>
      <c r="D17" s="498">
        <v>-9.9323075168970668E-4</v>
      </c>
      <c r="E17" s="498">
        <v>0</v>
      </c>
      <c r="F17" s="498">
        <v>-9.9323075168970668E-4</v>
      </c>
      <c r="G17" s="316"/>
      <c r="H17" s="286"/>
      <c r="I17" s="285"/>
      <c r="L17" s="316"/>
    </row>
    <row r="18" spans="1:12">
      <c r="A18" s="499" t="s">
        <v>135</v>
      </c>
      <c r="B18" s="497">
        <v>-5.1830813359812766E-3</v>
      </c>
      <c r="C18" s="500">
        <v>1.1088973656033545E-2</v>
      </c>
      <c r="D18" s="498">
        <v>8.8674194004563175E-4</v>
      </c>
      <c r="E18" s="498">
        <v>-5.0316241601925113E-3</v>
      </c>
      <c r="F18" s="498">
        <v>-4.1448822201468798E-3</v>
      </c>
      <c r="G18" s="316"/>
      <c r="H18" s="286"/>
      <c r="I18" s="285"/>
      <c r="L18" s="316"/>
    </row>
    <row r="19" spans="1:12">
      <c r="A19" s="499" t="s">
        <v>143</v>
      </c>
      <c r="B19" s="497">
        <v>-8.6198547215496912E-3</v>
      </c>
      <c r="C19" s="500">
        <v>0.26288463517741706</v>
      </c>
      <c r="D19" s="498">
        <v>-3.0234686805348755E-3</v>
      </c>
      <c r="E19" s="498">
        <v>0</v>
      </c>
      <c r="F19" s="498">
        <v>-3.0234686805348755E-3</v>
      </c>
      <c r="G19" s="316"/>
      <c r="H19" s="286"/>
      <c r="I19" s="285"/>
      <c r="L19" s="316"/>
    </row>
    <row r="20" spans="1:12">
      <c r="A20" s="496" t="s">
        <v>1883</v>
      </c>
      <c r="B20" s="497">
        <v>-2.4633611502640207E-2</v>
      </c>
      <c r="C20" s="500">
        <v>-0.5349809211167792</v>
      </c>
      <c r="D20" s="498">
        <v>1.4745626462226208E-3</v>
      </c>
      <c r="E20" s="498">
        <v>6.4022123218337892E-4</v>
      </c>
      <c r="F20" s="498">
        <v>2.1147838784060001E-3</v>
      </c>
      <c r="G20" s="316"/>
      <c r="H20" s="286"/>
      <c r="L20" s="316"/>
    </row>
    <row r="21" spans="1:12">
      <c r="A21" s="499" t="s">
        <v>81</v>
      </c>
      <c r="B21" s="497">
        <v>-2.3335085216607987E-2</v>
      </c>
      <c r="C21" s="500">
        <v>-0.33440465452605339</v>
      </c>
      <c r="D21" s="498">
        <v>7.2115428166541701E-4</v>
      </c>
      <c r="E21" s="498">
        <v>6.4022123218337892E-4</v>
      </c>
      <c r="F21" s="498">
        <v>1.3613755138487962E-3</v>
      </c>
      <c r="G21" s="316"/>
      <c r="H21" s="286"/>
      <c r="I21" s="285"/>
      <c r="L21" s="316"/>
    </row>
    <row r="22" spans="1:12">
      <c r="A22" s="499" t="s">
        <v>400</v>
      </c>
      <c r="B22" s="497">
        <v>-2.5932137788672427E-2</v>
      </c>
      <c r="C22" s="500">
        <v>-0.2005762665907258</v>
      </c>
      <c r="D22" s="498">
        <v>7.5340836455720377E-4</v>
      </c>
      <c r="E22" s="498">
        <v>0</v>
      </c>
      <c r="F22" s="498">
        <v>7.5340836455720377E-4</v>
      </c>
      <c r="G22" s="316"/>
      <c r="H22" s="286"/>
      <c r="I22" s="285"/>
      <c r="L22" s="316"/>
    </row>
    <row r="23" spans="1:12">
      <c r="A23" s="496" t="s">
        <v>2241</v>
      </c>
      <c r="B23" s="497">
        <v>-1.5036348551948131E-2</v>
      </c>
      <c r="C23" s="500">
        <v>-6.6462338575191363E-2</v>
      </c>
      <c r="D23" s="498">
        <v>4.814332714771207E-4</v>
      </c>
      <c r="E23" s="498"/>
      <c r="F23" s="498">
        <v>4.814332714771207E-4</v>
      </c>
      <c r="G23" s="316"/>
      <c r="H23" s="286"/>
      <c r="I23" s="285"/>
      <c r="L23" s="316"/>
    </row>
    <row r="24" spans="1:12">
      <c r="A24" s="499" t="s">
        <v>2242</v>
      </c>
      <c r="B24" s="497">
        <v>-1.5036348551948131E-2</v>
      </c>
      <c r="C24" s="500">
        <v>-6.6462338575191363E-2</v>
      </c>
      <c r="D24" s="498">
        <v>4.814332714771207E-4</v>
      </c>
      <c r="E24" s="498"/>
      <c r="F24" s="498">
        <v>4.814332714771207E-4</v>
      </c>
      <c r="G24" s="316"/>
      <c r="H24" s="291"/>
      <c r="I24" s="285"/>
      <c r="L24" s="316"/>
    </row>
    <row r="25" spans="1:12">
      <c r="A25" s="496" t="s">
        <v>1882</v>
      </c>
      <c r="B25" s="497">
        <v>-1.4723060910118768E-2</v>
      </c>
      <c r="C25" s="500">
        <v>-0.48683906907500935</v>
      </c>
      <c r="D25" s="498">
        <v>9.354958679171334E-4</v>
      </c>
      <c r="E25" s="498">
        <v>8.5007178582312758E-4</v>
      </c>
      <c r="F25" s="498">
        <v>1.785567653740261E-3</v>
      </c>
      <c r="G25" s="316"/>
      <c r="H25" s="291"/>
      <c r="I25" s="285"/>
      <c r="L25" s="316"/>
    </row>
    <row r="26" spans="1:12">
      <c r="A26" s="499" t="s">
        <v>90</v>
      </c>
      <c r="B26" s="497">
        <v>-1.4723060910118768E-2</v>
      </c>
      <c r="C26" s="500">
        <v>-0.48683906907500935</v>
      </c>
      <c r="D26" s="498">
        <v>9.354958679171334E-4</v>
      </c>
      <c r="E26" s="498">
        <v>8.5007178582312758E-4</v>
      </c>
      <c r="F26" s="498">
        <v>1.785567653740261E-3</v>
      </c>
      <c r="G26" s="316"/>
      <c r="H26" s="286"/>
      <c r="I26" s="285"/>
      <c r="L26" s="316"/>
    </row>
    <row r="27" spans="1:12">
      <c r="A27" s="496" t="s">
        <v>2117</v>
      </c>
      <c r="B27" s="497">
        <v>-2.2357719982496638E-2</v>
      </c>
      <c r="C27" s="500">
        <v>3.2664327328705278E-2</v>
      </c>
      <c r="D27" s="498">
        <v>3.9829856242299641E-4</v>
      </c>
      <c r="E27" s="498">
        <v>-2.4104985939394833E-4</v>
      </c>
      <c r="F27" s="498">
        <v>1.5724870302904809E-4</v>
      </c>
      <c r="G27" s="316"/>
      <c r="H27" s="291"/>
      <c r="I27" s="285"/>
      <c r="L27" s="316"/>
    </row>
    <row r="28" spans="1:12">
      <c r="A28" s="499" t="s">
        <v>2116</v>
      </c>
      <c r="B28" s="497">
        <v>-2.9857112390701657E-2</v>
      </c>
      <c r="C28" s="500">
        <v>9.2737418118564396E-2</v>
      </c>
      <c r="D28" s="498">
        <v>0</v>
      </c>
      <c r="E28" s="498">
        <v>-2.4104985939394833E-4</v>
      </c>
      <c r="F28" s="498">
        <v>-2.4104985939394833E-4</v>
      </c>
      <c r="G28" s="316"/>
      <c r="H28" s="286"/>
      <c r="I28" s="285"/>
      <c r="L28" s="316"/>
    </row>
    <row r="29" spans="1:12">
      <c r="A29" s="499" t="s">
        <v>2113</v>
      </c>
      <c r="B29" s="497">
        <v>-1.4858327574291619E-2</v>
      </c>
      <c r="C29" s="500">
        <v>-6.0073090789859118E-2</v>
      </c>
      <c r="D29" s="498">
        <v>3.9829856242299641E-4</v>
      </c>
      <c r="E29" s="498">
        <v>0</v>
      </c>
      <c r="F29" s="498">
        <v>3.9829856242299641E-4</v>
      </c>
      <c r="G29" s="316"/>
      <c r="H29" s="286"/>
      <c r="I29" s="285"/>
      <c r="L29" s="316"/>
    </row>
    <row r="30" spans="1:12">
      <c r="A30" s="496" t="s">
        <v>1884</v>
      </c>
      <c r="B30" s="497">
        <v>1.7010357838163279E-2</v>
      </c>
      <c r="C30" s="500">
        <v>1.3030228156157424</v>
      </c>
      <c r="D30" s="498">
        <v>3.007379607766003E-3</v>
      </c>
      <c r="E30" s="498">
        <v>2.1504849011667591E-3</v>
      </c>
      <c r="F30" s="498">
        <v>5.1578645089327621E-3</v>
      </c>
      <c r="G30" s="316"/>
      <c r="H30" s="286"/>
      <c r="I30" s="285"/>
      <c r="L30" s="316"/>
    </row>
    <row r="31" spans="1:12">
      <c r="A31" s="499" t="s">
        <v>94</v>
      </c>
      <c r="B31" s="497">
        <v>2.0932852591405426E-3</v>
      </c>
      <c r="C31" s="500">
        <v>0.13485200324387617</v>
      </c>
      <c r="D31" s="498">
        <v>2.1073108040083346E-3</v>
      </c>
      <c r="E31" s="498">
        <v>2.3300512015526789E-4</v>
      </c>
      <c r="F31" s="498">
        <v>2.3403159241636023E-3</v>
      </c>
      <c r="G31" s="316"/>
      <c r="H31" s="286"/>
      <c r="I31" s="285"/>
      <c r="L31" s="316"/>
    </row>
    <row r="32" spans="1:12">
      <c r="A32" s="499" t="s">
        <v>95</v>
      </c>
      <c r="B32" s="497">
        <v>2.8761642398005938E-2</v>
      </c>
      <c r="C32" s="500">
        <v>-0.18794357638162953</v>
      </c>
      <c r="D32" s="498">
        <v>-6.7224652765283347E-4</v>
      </c>
      <c r="E32" s="498">
        <v>0</v>
      </c>
      <c r="F32" s="498">
        <v>-6.7224652765283347E-4</v>
      </c>
      <c r="G32" s="316"/>
      <c r="H32" s="286"/>
      <c r="L32" s="316"/>
    </row>
    <row r="33" spans="1:28">
      <c r="A33" s="499" t="s">
        <v>96</v>
      </c>
      <c r="B33" s="497">
        <v>3.5961582063946285E-2</v>
      </c>
      <c r="C33" s="500">
        <v>1.5826915042486216</v>
      </c>
      <c r="D33" s="498">
        <v>6.3064322240787224E-4</v>
      </c>
      <c r="E33" s="498">
        <v>2.1753005174972887E-3</v>
      </c>
      <c r="F33" s="498">
        <v>2.805943739905161E-3</v>
      </c>
      <c r="G33" s="316"/>
      <c r="H33" s="286"/>
      <c r="I33" s="285"/>
      <c r="L33" s="316"/>
    </row>
    <row r="34" spans="1:28">
      <c r="A34" s="499" t="s">
        <v>136</v>
      </c>
      <c r="B34" s="497">
        <v>2.7662326938427295E-2</v>
      </c>
      <c r="C34" s="500">
        <v>-4.6989619558402196E-2</v>
      </c>
      <c r="D34" s="498">
        <v>0</v>
      </c>
      <c r="E34" s="498">
        <v>-1.4158333965616284E-4</v>
      </c>
      <c r="F34" s="498">
        <v>-1.4158333965616284E-4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9" t="s">
        <v>137</v>
      </c>
      <c r="B35" s="497">
        <v>-4.7213943244556744E-3</v>
      </c>
      <c r="C35" s="500">
        <v>-6.7145039621086616E-2</v>
      </c>
      <c r="D35" s="498">
        <v>9.813052696689582E-4</v>
      </c>
      <c r="E35" s="498">
        <v>1.4878606201623092E-4</v>
      </c>
      <c r="F35" s="498">
        <v>1.1300913316851895E-3</v>
      </c>
      <c r="G35" s="316"/>
      <c r="H35" s="286"/>
      <c r="I35" s="285"/>
      <c r="L35" s="316"/>
    </row>
    <row r="36" spans="1:28">
      <c r="A36" s="499" t="s">
        <v>138</v>
      </c>
      <c r="B36" s="497">
        <v>3.0002305209773983E-2</v>
      </c>
      <c r="C36" s="500">
        <v>-0.11244245631563675</v>
      </c>
      <c r="D36" s="498">
        <v>-3.9633160666328418E-5</v>
      </c>
      <c r="E36" s="498">
        <v>-2.6502345884586563E-4</v>
      </c>
      <c r="F36" s="498">
        <v>-3.0465661951219403E-4</v>
      </c>
      <c r="G36" s="316"/>
      <c r="H36" s="286"/>
      <c r="I36" s="285"/>
      <c r="L36" s="316"/>
    </row>
    <row r="37" spans="1:28">
      <c r="A37" s="496" t="s">
        <v>2231</v>
      </c>
      <c r="B37" s="497">
        <v>3.8190526193992436E-2</v>
      </c>
      <c r="C37" s="500">
        <v>0.55801591971464637</v>
      </c>
      <c r="D37" s="498">
        <v>1.5567084833062305E-3</v>
      </c>
      <c r="E37" s="498">
        <v>0</v>
      </c>
      <c r="F37" s="498">
        <v>1.5567084833062305E-3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9" t="s">
        <v>1755</v>
      </c>
      <c r="B38" s="497">
        <v>3.6503751774487947E-2</v>
      </c>
      <c r="C38" s="500">
        <v>0.43829007714881629</v>
      </c>
      <c r="D38" s="498">
        <v>1.2445003246153352E-3</v>
      </c>
      <c r="E38" s="498">
        <v>0</v>
      </c>
      <c r="F38" s="498">
        <v>1.2445003246153352E-3</v>
      </c>
      <c r="G38" s="316"/>
      <c r="H38" s="286"/>
      <c r="I38" s="285"/>
      <c r="L38" s="316"/>
      <c r="AA38" s="319"/>
      <c r="AB38" s="319"/>
    </row>
    <row r="39" spans="1:28">
      <c r="A39" s="499" t="s">
        <v>1762</v>
      </c>
      <c r="B39" s="497">
        <v>3.9877300613496924E-2</v>
      </c>
      <c r="C39" s="500">
        <v>0.11972584256583008</v>
      </c>
      <c r="D39" s="498">
        <v>3.1220815869089535E-4</v>
      </c>
      <c r="E39" s="498">
        <v>0</v>
      </c>
      <c r="F39" s="498">
        <v>3.1220815869089535E-4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6" t="s">
        <v>2115</v>
      </c>
      <c r="B40" s="497">
        <v>2.6153475893570755E-2</v>
      </c>
      <c r="C40" s="500">
        <v>0.20082126013337848</v>
      </c>
      <c r="D40" s="498">
        <v>1.3493923229885232E-4</v>
      </c>
      <c r="E40" s="498">
        <v>5.165225139197485E-4</v>
      </c>
      <c r="F40" s="498">
        <v>6.5146174621860079E-4</v>
      </c>
      <c r="G40" s="286"/>
      <c r="H40" s="286"/>
      <c r="L40" s="316"/>
    </row>
    <row r="41" spans="1:28">
      <c r="A41" s="499" t="s">
        <v>2114</v>
      </c>
      <c r="B41" s="497">
        <v>2.6153475893570755E-2</v>
      </c>
      <c r="C41" s="500">
        <v>0.20082126013337848</v>
      </c>
      <c r="D41" s="498">
        <v>1.3493923229885232E-4</v>
      </c>
      <c r="E41" s="498">
        <v>5.165225139197485E-4</v>
      </c>
      <c r="F41" s="498">
        <v>6.5146174621860079E-4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6" t="s">
        <v>2221</v>
      </c>
      <c r="B42" s="497">
        <v>0.11496062992125999</v>
      </c>
      <c r="C42" s="500">
        <v>0.14245460879810096</v>
      </c>
      <c r="D42" s="498">
        <v>1.3816145620418549E-4</v>
      </c>
      <c r="E42" s="498">
        <v>0</v>
      </c>
      <c r="F42" s="498">
        <v>1.3816145620418549E-4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99" t="s">
        <v>2220</v>
      </c>
      <c r="B43" s="497">
        <v>0.11496062992125999</v>
      </c>
      <c r="C43" s="500">
        <v>0.14245460879810096</v>
      </c>
      <c r="D43" s="498">
        <v>1.3816145620418549E-4</v>
      </c>
      <c r="E43" s="498">
        <v>0</v>
      </c>
      <c r="F43" s="498">
        <v>1.3816145620418549E-4</v>
      </c>
      <c r="G43" s="286"/>
      <c r="H43" s="286"/>
      <c r="I43" s="285"/>
      <c r="L43" s="316"/>
    </row>
    <row r="44" spans="1:28">
      <c r="A44" s="496" t="s">
        <v>97</v>
      </c>
      <c r="B44" s="497">
        <v>6.9096730594482292E-3</v>
      </c>
      <c r="C44" s="500">
        <v>1.4406952434464975</v>
      </c>
      <c r="D44" s="498">
        <v>5.262291365243729E-3</v>
      </c>
      <c r="E44" s="498">
        <v>-1.1153735864934458E-3</v>
      </c>
      <c r="F44" s="498">
        <v>4.1469177787502847E-3</v>
      </c>
      <c r="G44" s="286"/>
      <c r="H44" s="286"/>
      <c r="I44" s="285"/>
      <c r="L44" s="316"/>
      <c r="S44" s="317"/>
      <c r="T44" s="317"/>
      <c r="U44" s="317"/>
    </row>
    <row r="45" spans="1:28">
      <c r="A45"/>
      <c r="B45"/>
      <c r="C45"/>
      <c r="D45"/>
      <c r="E45"/>
      <c r="F45"/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40" priority="9837" operator="lessThan">
      <formula>0</formula>
    </cfRule>
  </conditionalFormatting>
  <conditionalFormatting sqref="H86:H1048576 F1:H9 F12:G12 G10:G11">
    <cfRule type="cellIs" dxfId="1639" priority="9834" operator="lessThan">
      <formula>0</formula>
    </cfRule>
    <cfRule type="cellIs" dxfId="1638" priority="9835" operator="lessThan">
      <formula>0</formula>
    </cfRule>
  </conditionalFormatting>
  <conditionalFormatting sqref="F136:G1048576 G86:G135">
    <cfRule type="cellIs" dxfId="1637" priority="5470" operator="lessThan">
      <formula>0</formula>
    </cfRule>
  </conditionalFormatting>
  <conditionalFormatting sqref="F136:G1048576 G86:G135">
    <cfRule type="cellIs" dxfId="1636" priority="5469" operator="lessThan">
      <formula>0</formula>
    </cfRule>
  </conditionalFormatting>
  <conditionalFormatting sqref="F136:G1048576 G86:G135">
    <cfRule type="cellIs" dxfId="1635" priority="5467" operator="lessThan">
      <formula>0</formula>
    </cfRule>
    <cfRule type="cellIs" dxfId="1634" priority="5468" operator="lessThan">
      <formula>0</formula>
    </cfRule>
  </conditionalFormatting>
  <conditionalFormatting sqref="F136:G1048576 G86:G135">
    <cfRule type="cellIs" dxfId="1633" priority="5466" operator="lessThan">
      <formula>0</formula>
    </cfRule>
  </conditionalFormatting>
  <conditionalFormatting sqref="F136:G1048576 G86:G135">
    <cfRule type="cellIs" dxfId="1632" priority="5465" operator="lessThan">
      <formula>0</formula>
    </cfRule>
  </conditionalFormatting>
  <conditionalFormatting sqref="F136:G1048576 G86:G135">
    <cfRule type="cellIs" dxfId="1631" priority="5464" operator="lessThan">
      <formula>0</formula>
    </cfRule>
  </conditionalFormatting>
  <conditionalFormatting sqref="F136:G1048576 G86:G135">
    <cfRule type="cellIs" dxfId="1630" priority="5463" operator="lessThan">
      <formula>0</formula>
    </cfRule>
  </conditionalFormatting>
  <conditionalFormatting sqref="F136:G1048576 G86:G135">
    <cfRule type="cellIs" dxfId="1629" priority="5462" operator="lessThan">
      <formula>0</formula>
    </cfRule>
  </conditionalFormatting>
  <conditionalFormatting sqref="F136:G1048576 G86:G135">
    <cfRule type="cellIs" dxfId="1628" priority="5461" operator="lessThan">
      <formula>0</formula>
    </cfRule>
  </conditionalFormatting>
  <conditionalFormatting sqref="F136:G1048576 G86:G135">
    <cfRule type="cellIs" dxfId="1627" priority="5460" operator="lessThan">
      <formula>0</formula>
    </cfRule>
  </conditionalFormatting>
  <conditionalFormatting sqref="F136:G1048576 G86:G135">
    <cfRule type="cellIs" dxfId="1626" priority="5459" operator="lessThan">
      <formula>0</formula>
    </cfRule>
  </conditionalFormatting>
  <conditionalFormatting sqref="F136:G1048576 G86:G135">
    <cfRule type="cellIs" dxfId="1625" priority="5458" operator="lessThan">
      <formula>0</formula>
    </cfRule>
  </conditionalFormatting>
  <conditionalFormatting sqref="F136:G1048576 G86:G135">
    <cfRule type="cellIs" dxfId="1624" priority="5457" operator="lessThan">
      <formula>0</formula>
    </cfRule>
  </conditionalFormatting>
  <conditionalFormatting sqref="F136:G1048576 G86:G135">
    <cfRule type="cellIs" dxfId="1623" priority="5456" operator="lessThan">
      <formula>0</formula>
    </cfRule>
  </conditionalFormatting>
  <conditionalFormatting sqref="F136:G1048576 G86:G135">
    <cfRule type="cellIs" dxfId="1622" priority="5455" operator="lessThan">
      <formula>0</formula>
    </cfRule>
  </conditionalFormatting>
  <conditionalFormatting sqref="F136:G1048576 G86:G135">
    <cfRule type="cellIs" dxfId="1621" priority="5454" operator="lessThan">
      <formula>0</formula>
    </cfRule>
  </conditionalFormatting>
  <conditionalFormatting sqref="F136:G1048576 G86:G135">
    <cfRule type="cellIs" dxfId="1620" priority="5453" operator="lessThan">
      <formula>0</formula>
    </cfRule>
  </conditionalFormatting>
  <conditionalFormatting sqref="F136:G1048576 G86:G135">
    <cfRule type="cellIs" dxfId="1619" priority="5452" operator="lessThan">
      <formula>0</formula>
    </cfRule>
  </conditionalFormatting>
  <conditionalFormatting sqref="F136:G1048576 G86:G135">
    <cfRule type="cellIs" dxfId="1618" priority="5451" operator="lessThan">
      <formula>0</formula>
    </cfRule>
  </conditionalFormatting>
  <conditionalFormatting sqref="F136:G1048576 G86:G135">
    <cfRule type="cellIs" dxfId="1617" priority="5450" operator="lessThan">
      <formula>0</formula>
    </cfRule>
  </conditionalFormatting>
  <conditionalFormatting sqref="F136:G1048576 G86:G135">
    <cfRule type="cellIs" dxfId="1616" priority="5449" operator="lessThan">
      <formula>0</formula>
    </cfRule>
  </conditionalFormatting>
  <conditionalFormatting sqref="F136:G1048576 G86:G135">
    <cfRule type="cellIs" dxfId="1615" priority="5448" operator="lessThan">
      <formula>0</formula>
    </cfRule>
  </conditionalFormatting>
  <conditionalFormatting sqref="F136:G1048576 G86:G135">
    <cfRule type="cellIs" dxfId="1614" priority="5447" operator="lessThan">
      <formula>0</formula>
    </cfRule>
  </conditionalFormatting>
  <conditionalFormatting sqref="F136:G1048576 G86:G135">
    <cfRule type="cellIs" dxfId="1613" priority="5446" operator="lessThan">
      <formula>0</formula>
    </cfRule>
  </conditionalFormatting>
  <conditionalFormatting sqref="F136:G1048576 G86:G135">
    <cfRule type="cellIs" dxfId="1612" priority="5445" operator="lessThan">
      <formula>0</formula>
    </cfRule>
  </conditionalFormatting>
  <conditionalFormatting sqref="F136:G1048576 G86:G135">
    <cfRule type="cellIs" dxfId="1611" priority="5444" operator="lessThan">
      <formula>0</formula>
    </cfRule>
  </conditionalFormatting>
  <conditionalFormatting sqref="F136:G1048576 G86:G135">
    <cfRule type="cellIs" dxfId="1610" priority="5443" operator="lessThan">
      <formula>0</formula>
    </cfRule>
  </conditionalFormatting>
  <conditionalFormatting sqref="F136:G1048576 G86:G135">
    <cfRule type="cellIs" dxfId="1609" priority="5442" operator="lessThan">
      <formula>0</formula>
    </cfRule>
  </conditionalFormatting>
  <conditionalFormatting sqref="F136:G1048576 G86:G135">
    <cfRule type="cellIs" dxfId="1608" priority="5441" operator="lessThan">
      <formula>0</formula>
    </cfRule>
  </conditionalFormatting>
  <conditionalFormatting sqref="F136:G1048576 G86:G135">
    <cfRule type="cellIs" dxfId="1607" priority="5440" operator="lessThan">
      <formula>0</formula>
    </cfRule>
  </conditionalFormatting>
  <conditionalFormatting sqref="F136:G1048576 G86:G135">
    <cfRule type="cellIs" dxfId="1606" priority="5439" operator="lessThan">
      <formula>0</formula>
    </cfRule>
  </conditionalFormatting>
  <conditionalFormatting sqref="F136:G1048576 G86:G135">
    <cfRule type="cellIs" dxfId="1605" priority="5438" operator="lessThan">
      <formula>0</formula>
    </cfRule>
  </conditionalFormatting>
  <conditionalFormatting sqref="F136:G1048576 G86:G135">
    <cfRule type="cellIs" dxfId="1604" priority="5437" operator="lessThan">
      <formula>0</formula>
    </cfRule>
  </conditionalFormatting>
  <conditionalFormatting sqref="F136:G1048576 G86:G135">
    <cfRule type="cellIs" dxfId="1603" priority="5436" operator="lessThan">
      <formula>0</formula>
    </cfRule>
  </conditionalFormatting>
  <conditionalFormatting sqref="F136:G1048576 G86:G135">
    <cfRule type="cellIs" dxfId="1602" priority="5435" operator="lessThan">
      <formula>0</formula>
    </cfRule>
  </conditionalFormatting>
  <conditionalFormatting sqref="F136:G1048576 G86:G135">
    <cfRule type="cellIs" dxfId="1601" priority="5434" operator="lessThan">
      <formula>0</formula>
    </cfRule>
  </conditionalFormatting>
  <conditionalFormatting sqref="F136:G1048576 G86:G135">
    <cfRule type="cellIs" dxfId="1600" priority="5433" operator="lessThan">
      <formula>0</formula>
    </cfRule>
  </conditionalFormatting>
  <conditionalFormatting sqref="F136:G1048576 G86:G135">
    <cfRule type="cellIs" dxfId="1599" priority="5432" operator="lessThan">
      <formula>0</formula>
    </cfRule>
  </conditionalFormatting>
  <conditionalFormatting sqref="F136:G1048576 G86:G135">
    <cfRule type="cellIs" dxfId="1598" priority="5431" operator="lessThan">
      <formula>0</formula>
    </cfRule>
  </conditionalFormatting>
  <conditionalFormatting sqref="F136:G1048576 G86:G135">
    <cfRule type="cellIs" dxfId="1597" priority="5430" operator="lessThan">
      <formula>0</formula>
    </cfRule>
  </conditionalFormatting>
  <conditionalFormatting sqref="F136:G1048576 G86:G135">
    <cfRule type="cellIs" dxfId="1596" priority="5429" operator="lessThan">
      <formula>0</formula>
    </cfRule>
  </conditionalFormatting>
  <conditionalFormatting sqref="F136:G1048576 G86:G135">
    <cfRule type="cellIs" dxfId="1595" priority="5428" operator="lessThan">
      <formula>0</formula>
    </cfRule>
  </conditionalFormatting>
  <conditionalFormatting sqref="F136:G1048576 G86:G135">
    <cfRule type="cellIs" dxfId="1594" priority="5427" operator="lessThan">
      <formula>0</formula>
    </cfRule>
  </conditionalFormatting>
  <conditionalFormatting sqref="F136:G1048576 G86:G135">
    <cfRule type="cellIs" dxfId="1593" priority="5426" operator="lessThan">
      <formula>0</formula>
    </cfRule>
  </conditionalFormatting>
  <conditionalFormatting sqref="F136:G1048576 G86:G135">
    <cfRule type="cellIs" dxfId="1592" priority="5425" operator="lessThan">
      <formula>0</formula>
    </cfRule>
  </conditionalFormatting>
  <conditionalFormatting sqref="F136:G1048576 G86:G135">
    <cfRule type="cellIs" dxfId="1591" priority="5424" operator="lessThan">
      <formula>0</formula>
    </cfRule>
  </conditionalFormatting>
  <conditionalFormatting sqref="F136:G1048576 G86:G135">
    <cfRule type="cellIs" dxfId="1590" priority="5423" operator="lessThan">
      <formula>0</formula>
    </cfRule>
  </conditionalFormatting>
  <conditionalFormatting sqref="F136:G1048576 G86:G135">
    <cfRule type="cellIs" dxfId="1589" priority="5422" operator="lessThan">
      <formula>0</formula>
    </cfRule>
  </conditionalFormatting>
  <conditionalFormatting sqref="F136:G1048576 G86:G135">
    <cfRule type="cellIs" dxfId="1588" priority="5421" operator="lessThan">
      <formula>0</formula>
    </cfRule>
  </conditionalFormatting>
  <conditionalFormatting sqref="F136:G1048576 G86:G135">
    <cfRule type="cellIs" dxfId="1587" priority="5420" operator="lessThan">
      <formula>0</formula>
    </cfRule>
  </conditionalFormatting>
  <conditionalFormatting sqref="F136:G1048576 G86:G135">
    <cfRule type="cellIs" dxfId="1586" priority="5419" operator="lessThan">
      <formula>0</formula>
    </cfRule>
  </conditionalFormatting>
  <conditionalFormatting sqref="F136:G1048576 G86:G135">
    <cfRule type="cellIs" dxfId="1585" priority="5418" operator="lessThan">
      <formula>0</formula>
    </cfRule>
  </conditionalFormatting>
  <conditionalFormatting sqref="F136:G1048576 G86:G135">
    <cfRule type="cellIs" dxfId="1584" priority="5417" operator="lessThan">
      <formula>0</formula>
    </cfRule>
  </conditionalFormatting>
  <conditionalFormatting sqref="F136:G1048576 G86:G135">
    <cfRule type="cellIs" dxfId="1583" priority="5416" operator="lessThan">
      <formula>0</formula>
    </cfRule>
  </conditionalFormatting>
  <conditionalFormatting sqref="F136:G1048576 G86:G135">
    <cfRule type="cellIs" dxfId="1582" priority="5415" operator="lessThan">
      <formula>0</formula>
    </cfRule>
  </conditionalFormatting>
  <conditionalFormatting sqref="F136:G1048576 G86:G135">
    <cfRule type="cellIs" dxfId="1581" priority="5414" operator="lessThan">
      <formula>0</formula>
    </cfRule>
  </conditionalFormatting>
  <conditionalFormatting sqref="F136:G1048576 G86:G135">
    <cfRule type="cellIs" dxfId="1580" priority="5413" operator="lessThan">
      <formula>0</formula>
    </cfRule>
  </conditionalFormatting>
  <conditionalFormatting sqref="F136:G1048576 G86:G135">
    <cfRule type="cellIs" dxfId="1579" priority="5412" operator="lessThan">
      <formula>0</formula>
    </cfRule>
  </conditionalFormatting>
  <conditionalFormatting sqref="F136:G1048576 G86:G135">
    <cfRule type="cellIs" dxfId="1578" priority="5411" operator="lessThan">
      <formula>0</formula>
    </cfRule>
  </conditionalFormatting>
  <conditionalFormatting sqref="F136:G1048576 G86:G135">
    <cfRule type="cellIs" dxfId="1577" priority="5410" operator="lessThan">
      <formula>0</formula>
    </cfRule>
  </conditionalFormatting>
  <conditionalFormatting sqref="F136:G1048576 G86:G135">
    <cfRule type="cellIs" dxfId="1576" priority="5409" operator="lessThan">
      <formula>0</formula>
    </cfRule>
  </conditionalFormatting>
  <conditionalFormatting sqref="F136:G1048576 G86:G135">
    <cfRule type="cellIs" dxfId="1575" priority="5408" operator="lessThan">
      <formula>0</formula>
    </cfRule>
  </conditionalFormatting>
  <conditionalFormatting sqref="F136:G1048576 G86:G135">
    <cfRule type="cellIs" dxfId="1574" priority="5407" operator="lessThan">
      <formula>0</formula>
    </cfRule>
  </conditionalFormatting>
  <conditionalFormatting sqref="F136:G1048576 G86:G135">
    <cfRule type="cellIs" dxfId="1573" priority="5406" operator="lessThan">
      <formula>0</formula>
    </cfRule>
  </conditionalFormatting>
  <conditionalFormatting sqref="F136:G1048576 G86:G135">
    <cfRule type="cellIs" dxfId="1572" priority="5405" operator="lessThan">
      <formula>0</formula>
    </cfRule>
  </conditionalFormatting>
  <conditionalFormatting sqref="F136:G1048576 G86:G135">
    <cfRule type="cellIs" dxfId="1571" priority="5404" operator="lessThan">
      <formula>0</formula>
    </cfRule>
  </conditionalFormatting>
  <conditionalFormatting sqref="F136:G1048576 G86:G135">
    <cfRule type="cellIs" dxfId="1570" priority="5403" operator="lessThan">
      <formula>0</formula>
    </cfRule>
  </conditionalFormatting>
  <conditionalFormatting sqref="F136:G1048576 G86:G135">
    <cfRule type="cellIs" dxfId="1569" priority="5402" operator="lessThan">
      <formula>0</formula>
    </cfRule>
  </conditionalFormatting>
  <conditionalFormatting sqref="F136:G1048576 G86:G135">
    <cfRule type="cellIs" dxfId="1568" priority="5401" operator="lessThan">
      <formula>0</formula>
    </cfRule>
  </conditionalFormatting>
  <conditionalFormatting sqref="F136:G1048576 G86:G135">
    <cfRule type="cellIs" dxfId="1567" priority="5400" operator="lessThan">
      <formula>0</formula>
    </cfRule>
  </conditionalFormatting>
  <conditionalFormatting sqref="F136:G1048576 G86:G135">
    <cfRule type="cellIs" dxfId="1566" priority="5399" operator="lessThan">
      <formula>0</formula>
    </cfRule>
  </conditionalFormatting>
  <conditionalFormatting sqref="F136:G1048576 G86:G135">
    <cfRule type="cellIs" dxfId="1565" priority="5398" operator="lessThan">
      <formula>0</formula>
    </cfRule>
  </conditionalFormatting>
  <conditionalFormatting sqref="F136:G1048576 G86:G135">
    <cfRule type="cellIs" dxfId="1564" priority="5397" operator="lessThan">
      <formula>0</formula>
    </cfRule>
  </conditionalFormatting>
  <conditionalFormatting sqref="F136:G1048576 G86:G135">
    <cfRule type="cellIs" dxfId="1563" priority="5396" operator="lessThan">
      <formula>0</formula>
    </cfRule>
  </conditionalFormatting>
  <conditionalFormatting sqref="F136:G1048576 G86:G135">
    <cfRule type="cellIs" dxfId="1562" priority="5395" operator="lessThan">
      <formula>0</formula>
    </cfRule>
  </conditionalFormatting>
  <conditionalFormatting sqref="F136:G1048576 G86:G135">
    <cfRule type="cellIs" dxfId="1561" priority="5394" operator="lessThan">
      <formula>0</formula>
    </cfRule>
  </conditionalFormatting>
  <conditionalFormatting sqref="F136:G1048576 G86:G135">
    <cfRule type="cellIs" dxfId="1560" priority="5393" operator="lessThan">
      <formula>0</formula>
    </cfRule>
  </conditionalFormatting>
  <conditionalFormatting sqref="F136:G1048576 G86:G135">
    <cfRule type="cellIs" dxfId="1559" priority="5392" operator="lessThan">
      <formula>0</formula>
    </cfRule>
  </conditionalFormatting>
  <conditionalFormatting sqref="F136:G1048576 G86:G135">
    <cfRule type="cellIs" dxfId="1558" priority="5391" operator="lessThan">
      <formula>0</formula>
    </cfRule>
  </conditionalFormatting>
  <conditionalFormatting sqref="F136:G1048576 G86:G135">
    <cfRule type="cellIs" dxfId="1557" priority="5390" operator="lessThan">
      <formula>0</formula>
    </cfRule>
  </conditionalFormatting>
  <conditionalFormatting sqref="F136:G1048576 G86:G135">
    <cfRule type="cellIs" dxfId="1556" priority="5389" operator="lessThan">
      <formula>0</formula>
    </cfRule>
  </conditionalFormatting>
  <conditionalFormatting sqref="F136:G1048576 G86:G135">
    <cfRule type="cellIs" dxfId="1555" priority="5388" operator="lessThan">
      <formula>0</formula>
    </cfRule>
  </conditionalFormatting>
  <conditionalFormatting sqref="F136:G1048576 G86:G135">
    <cfRule type="cellIs" dxfId="1554" priority="5387" operator="lessThan">
      <formula>0</formula>
    </cfRule>
  </conditionalFormatting>
  <conditionalFormatting sqref="F136:G1048576 G86:G135">
    <cfRule type="cellIs" dxfId="1553" priority="5386" operator="lessThan">
      <formula>0</formula>
    </cfRule>
  </conditionalFormatting>
  <conditionalFormatting sqref="F136:G1048576 G86:G135">
    <cfRule type="cellIs" dxfId="1552" priority="5385" operator="lessThan">
      <formula>0</formula>
    </cfRule>
  </conditionalFormatting>
  <conditionalFormatting sqref="F136:G1048576 G86:G135">
    <cfRule type="cellIs" dxfId="1551" priority="5384" operator="lessThan">
      <formula>0</formula>
    </cfRule>
  </conditionalFormatting>
  <conditionalFormatting sqref="F136:G1048576 G86:G135">
    <cfRule type="cellIs" dxfId="1550" priority="5383" operator="lessThan">
      <formula>0</formula>
    </cfRule>
  </conditionalFormatting>
  <conditionalFormatting sqref="F136:G1048576 G86:G135">
    <cfRule type="cellIs" dxfId="1549" priority="5382" operator="lessThan">
      <formula>0</formula>
    </cfRule>
  </conditionalFormatting>
  <conditionalFormatting sqref="F136:G1048576 G86:G135">
    <cfRule type="cellIs" dxfId="1548" priority="5381" operator="lessThan">
      <formula>0</formula>
    </cfRule>
  </conditionalFormatting>
  <conditionalFormatting sqref="F136:G1048576 G86:G135">
    <cfRule type="cellIs" dxfId="1547" priority="5380" operator="lessThan">
      <formula>0</formula>
    </cfRule>
  </conditionalFormatting>
  <conditionalFormatting sqref="F136:G1048576 G86:G135">
    <cfRule type="cellIs" dxfId="1546" priority="5379" operator="lessThan">
      <formula>0</formula>
    </cfRule>
  </conditionalFormatting>
  <conditionalFormatting sqref="F136:G1048576 G86:G135">
    <cfRule type="cellIs" dxfId="1545" priority="5378" operator="lessThan">
      <formula>0</formula>
    </cfRule>
  </conditionalFormatting>
  <conditionalFormatting sqref="F136:G1048576 G86:G135">
    <cfRule type="cellIs" dxfId="1544" priority="5377" operator="lessThan">
      <formula>0</formula>
    </cfRule>
  </conditionalFormatting>
  <conditionalFormatting sqref="F136:G1048576 G86:G135">
    <cfRule type="cellIs" dxfId="1543" priority="5376" operator="lessThan">
      <formula>0</formula>
    </cfRule>
  </conditionalFormatting>
  <conditionalFormatting sqref="F136:G1048576 G86:G135">
    <cfRule type="cellIs" dxfId="1542" priority="5375" operator="lessThan">
      <formula>0</formula>
    </cfRule>
  </conditionalFormatting>
  <conditionalFormatting sqref="F136:G1048576 G86:G135">
    <cfRule type="cellIs" dxfId="1541" priority="5374" operator="lessThan">
      <formula>0</formula>
    </cfRule>
  </conditionalFormatting>
  <conditionalFormatting sqref="F136:G1048576 G86:G135">
    <cfRule type="cellIs" dxfId="1540" priority="5373" operator="lessThan">
      <formula>0</formula>
    </cfRule>
  </conditionalFormatting>
  <conditionalFormatting sqref="F136:G1048576 G86:G135">
    <cfRule type="cellIs" dxfId="1539" priority="5372" operator="lessThan">
      <formula>0</formula>
    </cfRule>
  </conditionalFormatting>
  <conditionalFormatting sqref="F136:G1048576 G86:G135">
    <cfRule type="cellIs" dxfId="1538" priority="5371" operator="lessThan">
      <formula>0</formula>
    </cfRule>
  </conditionalFormatting>
  <conditionalFormatting sqref="F136:G1048576 G86:G135">
    <cfRule type="cellIs" dxfId="1537" priority="5370" operator="lessThan">
      <formula>0</formula>
    </cfRule>
  </conditionalFormatting>
  <conditionalFormatting sqref="F136:G1048576 G86:G135">
    <cfRule type="cellIs" dxfId="1536" priority="5369" operator="lessThan">
      <formula>0</formula>
    </cfRule>
  </conditionalFormatting>
  <conditionalFormatting sqref="F136:G1048576 G86:G135">
    <cfRule type="cellIs" dxfId="1535" priority="5368" operator="lessThan">
      <formula>0</formula>
    </cfRule>
  </conditionalFormatting>
  <conditionalFormatting sqref="F136:G1048576 G86:G135">
    <cfRule type="cellIs" dxfId="1534" priority="5367" operator="lessThan">
      <formula>0</formula>
    </cfRule>
  </conditionalFormatting>
  <conditionalFormatting sqref="F136:G1048576 G86:G135">
    <cfRule type="cellIs" dxfId="1533" priority="5366" operator="lessThan">
      <formula>0</formula>
    </cfRule>
  </conditionalFormatting>
  <conditionalFormatting sqref="F136:G1048576 G86:G135">
    <cfRule type="cellIs" dxfId="1532" priority="5365" operator="lessThan">
      <formula>0</formula>
    </cfRule>
  </conditionalFormatting>
  <conditionalFormatting sqref="F136:G1048576 G86:G135">
    <cfRule type="cellIs" dxfId="1531" priority="5364" operator="lessThan">
      <formula>0</formula>
    </cfRule>
  </conditionalFormatting>
  <conditionalFormatting sqref="F136:G1048576 G86:G135">
    <cfRule type="cellIs" dxfId="1530" priority="5363" operator="lessThan">
      <formula>0</formula>
    </cfRule>
  </conditionalFormatting>
  <conditionalFormatting sqref="F136:G1048576 G86:G135">
    <cfRule type="cellIs" dxfId="1529" priority="5362" operator="lessThan">
      <formula>0</formula>
    </cfRule>
  </conditionalFormatting>
  <conditionalFormatting sqref="F136:G1048576 G86:G135">
    <cfRule type="cellIs" dxfId="1528" priority="5361" operator="lessThan">
      <formula>0</formula>
    </cfRule>
  </conditionalFormatting>
  <conditionalFormatting sqref="F136:G1048576 G86:G135">
    <cfRule type="cellIs" dxfId="1527" priority="5360" operator="lessThan">
      <formula>0</formula>
    </cfRule>
  </conditionalFormatting>
  <conditionalFormatting sqref="F136:G1048576 G86:G135">
    <cfRule type="cellIs" dxfId="1526" priority="5359" operator="lessThan">
      <formula>0</formula>
    </cfRule>
  </conditionalFormatting>
  <conditionalFormatting sqref="F136:G1048576 G86:G135">
    <cfRule type="cellIs" dxfId="1525" priority="5358" operator="lessThan">
      <formula>0</formula>
    </cfRule>
  </conditionalFormatting>
  <conditionalFormatting sqref="F136:G1048576 G86:G135">
    <cfRule type="cellIs" dxfId="1524" priority="5357" operator="lessThan">
      <formula>0</formula>
    </cfRule>
  </conditionalFormatting>
  <conditionalFormatting sqref="F136:G1048576 G86:G135">
    <cfRule type="cellIs" dxfId="1523" priority="5356" operator="lessThan">
      <formula>0</formula>
    </cfRule>
  </conditionalFormatting>
  <conditionalFormatting sqref="F136:G1048576 G86:G135">
    <cfRule type="cellIs" dxfId="1522" priority="5355" operator="lessThan">
      <formula>0</formula>
    </cfRule>
  </conditionalFormatting>
  <conditionalFormatting sqref="F136:G1048576 G86:G135">
    <cfRule type="cellIs" dxfId="1521" priority="5354" operator="lessThan">
      <formula>0</formula>
    </cfRule>
  </conditionalFormatting>
  <conditionalFormatting sqref="F136:G1048576 G86:G135">
    <cfRule type="cellIs" dxfId="1520" priority="5353" operator="lessThan">
      <formula>0</formula>
    </cfRule>
  </conditionalFormatting>
  <conditionalFormatting sqref="F136:G1048576 G86:G135">
    <cfRule type="cellIs" dxfId="1519" priority="5352" operator="lessThan">
      <formula>0</formula>
    </cfRule>
  </conditionalFormatting>
  <conditionalFormatting sqref="F136:G1048576 G86:G135">
    <cfRule type="cellIs" dxfId="1518" priority="5351" operator="lessThan">
      <formula>0</formula>
    </cfRule>
  </conditionalFormatting>
  <conditionalFormatting sqref="F136:G1048576 G86:G135">
    <cfRule type="cellIs" dxfId="1517" priority="5350" operator="lessThan">
      <formula>0</formula>
    </cfRule>
  </conditionalFormatting>
  <conditionalFormatting sqref="F136:G1048576 G86:G135">
    <cfRule type="cellIs" dxfId="1516" priority="5349" operator="lessThan">
      <formula>0</formula>
    </cfRule>
  </conditionalFormatting>
  <conditionalFormatting sqref="F136:G1048576 G86:G135">
    <cfRule type="cellIs" dxfId="1515" priority="5348" operator="lessThan">
      <formula>0</formula>
    </cfRule>
  </conditionalFormatting>
  <conditionalFormatting sqref="F136:G1048576 G86:G135">
    <cfRule type="cellIs" dxfId="1514" priority="5347" operator="lessThan">
      <formula>0</formula>
    </cfRule>
  </conditionalFormatting>
  <conditionalFormatting sqref="F136:G1048576 G86:G135">
    <cfRule type="cellIs" dxfId="1513" priority="5346" operator="lessThan">
      <formula>0</formula>
    </cfRule>
  </conditionalFormatting>
  <conditionalFormatting sqref="F136:G1048576 G86:G135">
    <cfRule type="cellIs" dxfId="1512" priority="5345" operator="lessThan">
      <formula>0</formula>
    </cfRule>
  </conditionalFormatting>
  <conditionalFormatting sqref="F136:G1048576 G86:G135">
    <cfRule type="cellIs" dxfId="1511" priority="5344" operator="lessThan">
      <formula>0</formula>
    </cfRule>
  </conditionalFormatting>
  <conditionalFormatting sqref="F136:G1048576 G86:G135">
    <cfRule type="cellIs" dxfId="1510" priority="5343" operator="lessThan">
      <formula>0</formula>
    </cfRule>
  </conditionalFormatting>
  <conditionalFormatting sqref="F136:G1048576 G86:G135">
    <cfRule type="cellIs" dxfId="1509" priority="5342" operator="lessThan">
      <formula>0</formula>
    </cfRule>
  </conditionalFormatting>
  <conditionalFormatting sqref="F136:G1048576 G86:G135">
    <cfRule type="cellIs" dxfId="1508" priority="5341" operator="lessThan">
      <formula>0</formula>
    </cfRule>
  </conditionalFormatting>
  <conditionalFormatting sqref="F136:G1048576 G86:G135">
    <cfRule type="cellIs" dxfId="1507" priority="5340" operator="lessThan">
      <formula>0</formula>
    </cfRule>
  </conditionalFormatting>
  <conditionalFormatting sqref="F136:G1048576 G86:G135">
    <cfRule type="cellIs" dxfId="1506" priority="5339" operator="lessThan">
      <formula>0</formula>
    </cfRule>
  </conditionalFormatting>
  <conditionalFormatting sqref="F136:G1048576 G86:G135">
    <cfRule type="cellIs" dxfId="1505" priority="5338" operator="lessThan">
      <formula>0</formula>
    </cfRule>
  </conditionalFormatting>
  <conditionalFormatting sqref="F136:G1048576 G86:G135">
    <cfRule type="cellIs" dxfId="1504" priority="5337" operator="lessThan">
      <formula>0</formula>
    </cfRule>
  </conditionalFormatting>
  <conditionalFormatting sqref="F136:G1048576 G86:G135">
    <cfRule type="cellIs" dxfId="1503" priority="5336" operator="lessThan">
      <formula>0</formula>
    </cfRule>
  </conditionalFormatting>
  <conditionalFormatting sqref="F136:G1048576 G86:G135">
    <cfRule type="cellIs" dxfId="1502" priority="5335" operator="lessThan">
      <formula>0</formula>
    </cfRule>
  </conditionalFormatting>
  <conditionalFormatting sqref="F136:G1048576 G86:G135">
    <cfRule type="cellIs" dxfId="1501" priority="5334" operator="lessThan">
      <formula>0</formula>
    </cfRule>
  </conditionalFormatting>
  <conditionalFormatting sqref="F136:G1048576 G86:G135">
    <cfRule type="cellIs" dxfId="1500" priority="5333" operator="lessThan">
      <formula>0</formula>
    </cfRule>
  </conditionalFormatting>
  <conditionalFormatting sqref="F136:G1048576 G86:G135">
    <cfRule type="cellIs" dxfId="1499" priority="5332" operator="lessThan">
      <formula>0</formula>
    </cfRule>
  </conditionalFormatting>
  <conditionalFormatting sqref="F136:G1048576 G86:G135">
    <cfRule type="cellIs" dxfId="1498" priority="5331" operator="lessThan">
      <formula>0</formula>
    </cfRule>
  </conditionalFormatting>
  <conditionalFormatting sqref="F136:G1048576 G86:G135">
    <cfRule type="cellIs" dxfId="1497" priority="5330" operator="lessThan">
      <formula>0</formula>
    </cfRule>
  </conditionalFormatting>
  <conditionalFormatting sqref="F136:G1048576 G86:G135">
    <cfRule type="cellIs" dxfId="1496" priority="5329" operator="lessThan">
      <formula>0</formula>
    </cfRule>
  </conditionalFormatting>
  <conditionalFormatting sqref="F136:G1048576 G86:G135">
    <cfRule type="cellIs" dxfId="1495" priority="5328" operator="lessThan">
      <formula>0</formula>
    </cfRule>
  </conditionalFormatting>
  <conditionalFormatting sqref="F136:G1048576 G86:G135">
    <cfRule type="cellIs" dxfId="1494" priority="5327" operator="lessThan">
      <formula>0</formula>
    </cfRule>
  </conditionalFormatting>
  <conditionalFormatting sqref="F136:G1048576 G86:G135">
    <cfRule type="cellIs" dxfId="1493" priority="5326" operator="lessThan">
      <formula>0</formula>
    </cfRule>
  </conditionalFormatting>
  <conditionalFormatting sqref="F136:G1048576 G86:G135">
    <cfRule type="cellIs" dxfId="1492" priority="5325" operator="lessThan">
      <formula>0</formula>
    </cfRule>
  </conditionalFormatting>
  <conditionalFormatting sqref="F136:G1048576 G86:G135">
    <cfRule type="cellIs" dxfId="1491" priority="5324" operator="lessThan">
      <formula>0</formula>
    </cfRule>
  </conditionalFormatting>
  <conditionalFormatting sqref="F136:G1048576 G86:G135">
    <cfRule type="cellIs" dxfId="1490" priority="5323" operator="lessThan">
      <formula>0</formula>
    </cfRule>
  </conditionalFormatting>
  <conditionalFormatting sqref="F136:G1048576 G86:G135">
    <cfRule type="cellIs" dxfId="1489" priority="5322" operator="lessThan">
      <formula>0</formula>
    </cfRule>
  </conditionalFormatting>
  <conditionalFormatting sqref="F136:G1048576 G86:G135">
    <cfRule type="cellIs" dxfId="1488" priority="5321" operator="lessThan">
      <formula>0</formula>
    </cfRule>
  </conditionalFormatting>
  <conditionalFormatting sqref="F136:G1048576 G86:G135">
    <cfRule type="cellIs" dxfId="1487" priority="5320" operator="lessThan">
      <formula>0</formula>
    </cfRule>
  </conditionalFormatting>
  <conditionalFormatting sqref="F136:G1048576 G86:G135">
    <cfRule type="cellIs" dxfId="1486" priority="5319" operator="lessThan">
      <formula>0</formula>
    </cfRule>
  </conditionalFormatting>
  <conditionalFormatting sqref="F136:G1048576 G86:G135">
    <cfRule type="cellIs" dxfId="1485" priority="5318" operator="lessThan">
      <formula>0</formula>
    </cfRule>
  </conditionalFormatting>
  <conditionalFormatting sqref="F136:G1048576 G86:G135">
    <cfRule type="cellIs" dxfId="1484" priority="5317" operator="lessThan">
      <formula>0</formula>
    </cfRule>
  </conditionalFormatting>
  <conditionalFormatting sqref="F136:G1048576 G86:G135">
    <cfRule type="cellIs" dxfId="1483" priority="5316" operator="lessThan">
      <formula>0</formula>
    </cfRule>
  </conditionalFormatting>
  <conditionalFormatting sqref="F136:G1048576 G86:G135">
    <cfRule type="cellIs" dxfId="1482" priority="5315" operator="lessThan">
      <formula>0</formula>
    </cfRule>
  </conditionalFormatting>
  <conditionalFormatting sqref="F136:G1048576 G86:G135">
    <cfRule type="cellIs" dxfId="1481" priority="5314" operator="lessThan">
      <formula>0</formula>
    </cfRule>
  </conditionalFormatting>
  <conditionalFormatting sqref="F136:G1048576 G86:G135">
    <cfRule type="cellIs" dxfId="1480" priority="5313" operator="lessThan">
      <formula>0</formula>
    </cfRule>
  </conditionalFormatting>
  <conditionalFormatting sqref="F136:G1048576 G86:G135">
    <cfRule type="cellIs" dxfId="1479" priority="5312" operator="lessThan">
      <formula>0</formula>
    </cfRule>
  </conditionalFormatting>
  <conditionalFormatting sqref="F136:G1048576 G86:G135">
    <cfRule type="cellIs" dxfId="1478" priority="5311" operator="lessThan">
      <formula>0</formula>
    </cfRule>
  </conditionalFormatting>
  <conditionalFormatting sqref="F136:G1048576 G86:G135">
    <cfRule type="cellIs" dxfId="1477" priority="5310" operator="lessThan">
      <formula>0</formula>
    </cfRule>
  </conditionalFormatting>
  <conditionalFormatting sqref="F136:G1048576 G86:G135">
    <cfRule type="cellIs" dxfId="1476" priority="5309" operator="lessThan">
      <formula>0</formula>
    </cfRule>
  </conditionalFormatting>
  <conditionalFormatting sqref="F136:G1048576 G86:G135">
    <cfRule type="cellIs" dxfId="1475" priority="5308" operator="lessThan">
      <formula>0</formula>
    </cfRule>
  </conditionalFormatting>
  <conditionalFormatting sqref="F136:G1048576 G86:G135">
    <cfRule type="cellIs" dxfId="1474" priority="5307" operator="lessThan">
      <formula>0</formula>
    </cfRule>
  </conditionalFormatting>
  <conditionalFormatting sqref="F136:G1048576 G86:G135">
    <cfRule type="cellIs" dxfId="1473" priority="5306" operator="lessThan">
      <formula>0</formula>
    </cfRule>
  </conditionalFormatting>
  <conditionalFormatting sqref="F136:G1048576 G86:G135">
    <cfRule type="cellIs" dxfId="1472" priority="5305" operator="lessThan">
      <formula>0</formula>
    </cfRule>
  </conditionalFormatting>
  <conditionalFormatting sqref="F136:G1048576 G86:G135">
    <cfRule type="cellIs" dxfId="1471" priority="5304" operator="lessThan">
      <formula>0</formula>
    </cfRule>
  </conditionalFormatting>
  <conditionalFormatting sqref="F136:G1048576 G86:G135">
    <cfRule type="cellIs" dxfId="1470" priority="5303" operator="lessThan">
      <formula>0</formula>
    </cfRule>
  </conditionalFormatting>
  <conditionalFormatting sqref="F136:G1048576 G86:G135">
    <cfRule type="cellIs" dxfId="1469" priority="5302" operator="lessThan">
      <formula>0</formula>
    </cfRule>
  </conditionalFormatting>
  <conditionalFormatting sqref="F136:G1048576 G86:G135">
    <cfRule type="cellIs" dxfId="1468" priority="5301" operator="lessThan">
      <formula>0</formula>
    </cfRule>
  </conditionalFormatting>
  <conditionalFormatting sqref="F136:G1048576 G86:G135">
    <cfRule type="cellIs" dxfId="1467" priority="5300" operator="lessThan">
      <formula>0</formula>
    </cfRule>
  </conditionalFormatting>
  <conditionalFormatting sqref="F136:G1048576 G86:G135">
    <cfRule type="cellIs" dxfId="1466" priority="5299" operator="lessThan">
      <formula>0</formula>
    </cfRule>
  </conditionalFormatting>
  <conditionalFormatting sqref="F136:G1048576 G86:G135">
    <cfRule type="cellIs" dxfId="1465" priority="5298" operator="lessThan">
      <formula>0</formula>
    </cfRule>
  </conditionalFormatting>
  <conditionalFormatting sqref="F136:G1048576 G86:G135">
    <cfRule type="cellIs" dxfId="1464" priority="5297" operator="lessThan">
      <formula>0</formula>
    </cfRule>
  </conditionalFormatting>
  <conditionalFormatting sqref="F136:G1048576 G86:G135">
    <cfRule type="cellIs" dxfId="1463" priority="5296" operator="lessThan">
      <formula>0</formula>
    </cfRule>
  </conditionalFormatting>
  <conditionalFormatting sqref="F136:G1048576 G86:G135">
    <cfRule type="cellIs" dxfId="1462" priority="5295" operator="lessThan">
      <formula>0</formula>
    </cfRule>
  </conditionalFormatting>
  <conditionalFormatting sqref="F136:G1048576 G86:G135">
    <cfRule type="cellIs" dxfId="1461" priority="5294" operator="lessThan">
      <formula>0</formula>
    </cfRule>
  </conditionalFormatting>
  <conditionalFormatting sqref="F136:G1048576 G86:G135">
    <cfRule type="cellIs" dxfId="1460" priority="5293" operator="lessThan">
      <formula>0</formula>
    </cfRule>
  </conditionalFormatting>
  <conditionalFormatting sqref="F136:G1048576 G86:G135">
    <cfRule type="cellIs" dxfId="1459" priority="5292" operator="lessThan">
      <formula>0</formula>
    </cfRule>
  </conditionalFormatting>
  <conditionalFormatting sqref="F136:G1048576 G86:G135">
    <cfRule type="cellIs" dxfId="1458" priority="5291" operator="lessThan">
      <formula>0</formula>
    </cfRule>
  </conditionalFormatting>
  <conditionalFormatting sqref="F136:G1048576 G86:G135">
    <cfRule type="cellIs" dxfId="1457" priority="5290" operator="lessThan">
      <formula>0</formula>
    </cfRule>
  </conditionalFormatting>
  <conditionalFormatting sqref="F136:G1048576 G86:G135">
    <cfRule type="cellIs" dxfId="1456" priority="5289" operator="lessThan">
      <formula>0</formula>
    </cfRule>
  </conditionalFormatting>
  <conditionalFormatting sqref="F136:G1048576 G86:G135">
    <cfRule type="cellIs" dxfId="1455" priority="5288" operator="lessThan">
      <formula>0</formula>
    </cfRule>
  </conditionalFormatting>
  <conditionalFormatting sqref="F136:G1048576 G86:G135">
    <cfRule type="cellIs" dxfId="1454" priority="5287" operator="lessThan">
      <formula>0</formula>
    </cfRule>
  </conditionalFormatting>
  <conditionalFormatting sqref="F136:G1048576 G86:G135">
    <cfRule type="cellIs" dxfId="1453" priority="5286" operator="lessThan">
      <formula>0</formula>
    </cfRule>
  </conditionalFormatting>
  <conditionalFormatting sqref="F136:G1048576 G86:G135">
    <cfRule type="cellIs" dxfId="1452" priority="5285" operator="lessThan">
      <formula>0</formula>
    </cfRule>
  </conditionalFormatting>
  <conditionalFormatting sqref="F136:G1048576 G86:G135">
    <cfRule type="cellIs" dxfId="1451" priority="5284" operator="lessThan">
      <formula>0</formula>
    </cfRule>
  </conditionalFormatting>
  <conditionalFormatting sqref="F136:G1048576 G86:G135">
    <cfRule type="cellIs" dxfId="1450" priority="5283" operator="lessThan">
      <formula>0</formula>
    </cfRule>
  </conditionalFormatting>
  <conditionalFormatting sqref="F136:G1048576 G86:G135">
    <cfRule type="cellIs" dxfId="1449" priority="5282" operator="lessThan">
      <formula>0</formula>
    </cfRule>
  </conditionalFormatting>
  <conditionalFormatting sqref="F136:G1048576 G86:G135">
    <cfRule type="cellIs" dxfId="1448" priority="5281" operator="lessThan">
      <formula>0</formula>
    </cfRule>
  </conditionalFormatting>
  <conditionalFormatting sqref="F136:G1048576 G86:G135">
    <cfRule type="cellIs" dxfId="1447" priority="5280" operator="lessThan">
      <formula>0</formula>
    </cfRule>
  </conditionalFormatting>
  <conditionalFormatting sqref="F136:G1048576 G86:G135">
    <cfRule type="cellIs" dxfId="1446" priority="5279" operator="lessThan">
      <formula>0</formula>
    </cfRule>
  </conditionalFormatting>
  <conditionalFormatting sqref="F136:G1048576 G86:G135">
    <cfRule type="cellIs" dxfId="1445" priority="5278" operator="lessThan">
      <formula>0</formula>
    </cfRule>
  </conditionalFormatting>
  <conditionalFormatting sqref="F136:G1048576 G86:G135">
    <cfRule type="cellIs" dxfId="1444" priority="5277" operator="lessThan">
      <formula>0</formula>
    </cfRule>
  </conditionalFormatting>
  <conditionalFormatting sqref="F136:G1048576 G86:G135">
    <cfRule type="cellIs" dxfId="1443" priority="5276" operator="lessThan">
      <formula>0</formula>
    </cfRule>
  </conditionalFormatting>
  <conditionalFormatting sqref="F136:G1048576 G86:G135">
    <cfRule type="cellIs" dxfId="1442" priority="5275" operator="lessThan">
      <formula>0</formula>
    </cfRule>
  </conditionalFormatting>
  <conditionalFormatting sqref="F136:G1048576 G86:G135">
    <cfRule type="cellIs" dxfId="1441" priority="5274" operator="lessThan">
      <formula>0</formula>
    </cfRule>
  </conditionalFormatting>
  <conditionalFormatting sqref="F136:G1048576 G86:G135">
    <cfRule type="cellIs" dxfId="1440" priority="5273" operator="lessThan">
      <formula>0</formula>
    </cfRule>
  </conditionalFormatting>
  <conditionalFormatting sqref="F136:G1048576 G86:G135">
    <cfRule type="cellIs" dxfId="1439" priority="5272" operator="lessThan">
      <formula>0</formula>
    </cfRule>
  </conditionalFormatting>
  <conditionalFormatting sqref="F136:G1048576 G86:G135">
    <cfRule type="cellIs" dxfId="1438" priority="5271" operator="lessThan">
      <formula>0</formula>
    </cfRule>
  </conditionalFormatting>
  <conditionalFormatting sqref="F136:G1048576 G86:G135">
    <cfRule type="cellIs" dxfId="1437" priority="5270" operator="lessThan">
      <formula>0</formula>
    </cfRule>
  </conditionalFormatting>
  <conditionalFormatting sqref="F136:G1048576 G86:G135">
    <cfRule type="cellIs" dxfId="1436" priority="5269" operator="lessThan">
      <formula>0</formula>
    </cfRule>
  </conditionalFormatting>
  <conditionalFormatting sqref="F136:G1048576 G86:G135">
    <cfRule type="cellIs" dxfId="1435" priority="5268" operator="lessThan">
      <formula>0</formula>
    </cfRule>
  </conditionalFormatting>
  <conditionalFormatting sqref="F136:G1048576 G86:G135">
    <cfRule type="cellIs" dxfId="1434" priority="5267" operator="lessThan">
      <formula>0</formula>
    </cfRule>
  </conditionalFormatting>
  <conditionalFormatting sqref="F136:G1048576 G86:G135">
    <cfRule type="cellIs" dxfId="1433" priority="5266" operator="lessThan">
      <formula>0</formula>
    </cfRule>
  </conditionalFormatting>
  <conditionalFormatting sqref="F136:G1048576 G86:G135">
    <cfRule type="cellIs" dxfId="1432" priority="5265" operator="lessThan">
      <formula>0</formula>
    </cfRule>
  </conditionalFormatting>
  <conditionalFormatting sqref="F136:G1048576 G86:G135">
    <cfRule type="cellIs" dxfId="1431" priority="5264" operator="lessThan">
      <formula>0</formula>
    </cfRule>
  </conditionalFormatting>
  <conditionalFormatting sqref="F136:G1048576 G86:G135">
    <cfRule type="cellIs" dxfId="1430" priority="5263" operator="lessThan">
      <formula>0</formula>
    </cfRule>
  </conditionalFormatting>
  <conditionalFormatting sqref="F136:G1048576 G86:G135">
    <cfRule type="cellIs" dxfId="1429" priority="5262" operator="lessThan">
      <formula>0</formula>
    </cfRule>
  </conditionalFormatting>
  <conditionalFormatting sqref="F136:G1048576 G86:G135">
    <cfRule type="cellIs" dxfId="1428" priority="5261" operator="lessThan">
      <formula>0</formula>
    </cfRule>
  </conditionalFormatting>
  <conditionalFormatting sqref="F136:G1048576 G86:G135">
    <cfRule type="cellIs" dxfId="1427" priority="5260" operator="lessThan">
      <formula>0</formula>
    </cfRule>
  </conditionalFormatting>
  <conditionalFormatting sqref="F136:G1048576 G86:G135">
    <cfRule type="cellIs" dxfId="1426" priority="5259" operator="lessThan">
      <formula>0</formula>
    </cfRule>
  </conditionalFormatting>
  <conditionalFormatting sqref="F136:G1048576 G86:G135">
    <cfRule type="cellIs" dxfId="1425" priority="5258" operator="lessThan">
      <formula>0</formula>
    </cfRule>
  </conditionalFormatting>
  <conditionalFormatting sqref="F136:G1048576 G86:G135">
    <cfRule type="cellIs" dxfId="1424" priority="5257" operator="lessThan">
      <formula>0</formula>
    </cfRule>
  </conditionalFormatting>
  <conditionalFormatting sqref="F136:G1048576 G86:G135">
    <cfRule type="cellIs" dxfId="1423" priority="5256" operator="lessThan">
      <formula>0</formula>
    </cfRule>
  </conditionalFormatting>
  <conditionalFormatting sqref="F136:G1048576 G86:G135">
    <cfRule type="cellIs" dxfId="1422" priority="5255" operator="lessThan">
      <formula>0</formula>
    </cfRule>
  </conditionalFormatting>
  <conditionalFormatting sqref="F136:G1048576 G86:G135">
    <cfRule type="cellIs" dxfId="1421" priority="5254" operator="lessThan">
      <formula>0</formula>
    </cfRule>
  </conditionalFormatting>
  <conditionalFormatting sqref="F136:G1048576 G86:G135">
    <cfRule type="cellIs" dxfId="1420" priority="5253" operator="lessThan">
      <formula>0</formula>
    </cfRule>
  </conditionalFormatting>
  <conditionalFormatting sqref="F136:G1048576 G86:G135">
    <cfRule type="cellIs" dxfId="1419" priority="5252" operator="lessThan">
      <formula>0</formula>
    </cfRule>
  </conditionalFormatting>
  <conditionalFormatting sqref="F136:G1048576 G86:G135">
    <cfRule type="cellIs" dxfId="1418" priority="5251" operator="lessThan">
      <formula>0</formula>
    </cfRule>
  </conditionalFormatting>
  <conditionalFormatting sqref="F136:G1048576 G86:G135">
    <cfRule type="cellIs" dxfId="1417" priority="5250" operator="lessThan">
      <formula>0</formula>
    </cfRule>
  </conditionalFormatting>
  <conditionalFormatting sqref="F136:G1048576 G86:G135">
    <cfRule type="cellIs" dxfId="1416" priority="5249" operator="lessThan">
      <formula>0</formula>
    </cfRule>
  </conditionalFormatting>
  <conditionalFormatting sqref="F136:G1048576 G86:G135">
    <cfRule type="cellIs" dxfId="1415" priority="5248" operator="lessThan">
      <formula>0</formula>
    </cfRule>
  </conditionalFormatting>
  <conditionalFormatting sqref="F136:G1048576 G86:G135">
    <cfRule type="cellIs" dxfId="1414" priority="5247" operator="lessThan">
      <formula>0</formula>
    </cfRule>
  </conditionalFormatting>
  <conditionalFormatting sqref="F136:G1048576 G86:G135">
    <cfRule type="cellIs" dxfId="1413" priority="5246" operator="lessThan">
      <formula>0</formula>
    </cfRule>
  </conditionalFormatting>
  <conditionalFormatting sqref="F136:G1048576 G86:G135">
    <cfRule type="cellIs" dxfId="1412" priority="5245" operator="lessThan">
      <formula>0</formula>
    </cfRule>
  </conditionalFormatting>
  <conditionalFormatting sqref="F136:G1048576 G86:G135">
    <cfRule type="cellIs" dxfId="1411" priority="5244" operator="lessThan">
      <formula>0</formula>
    </cfRule>
  </conditionalFormatting>
  <conditionalFormatting sqref="F136:G1048576 G86:G135">
    <cfRule type="cellIs" dxfId="1410" priority="5243" operator="lessThan">
      <formula>0</formula>
    </cfRule>
  </conditionalFormatting>
  <conditionalFormatting sqref="F136:G1048576 G86:G135">
    <cfRule type="cellIs" dxfId="1409" priority="5242" operator="lessThan">
      <formula>0</formula>
    </cfRule>
  </conditionalFormatting>
  <conditionalFormatting sqref="F136:G1048576 G86:G135">
    <cfRule type="cellIs" dxfId="1408" priority="5241" operator="lessThan">
      <formula>0</formula>
    </cfRule>
  </conditionalFormatting>
  <conditionalFormatting sqref="F136:G1048576 G86:G135">
    <cfRule type="cellIs" dxfId="1407" priority="5240" operator="lessThan">
      <formula>0</formula>
    </cfRule>
  </conditionalFormatting>
  <conditionalFormatting sqref="F136:G1048576 G86:G135">
    <cfRule type="cellIs" dxfId="1406" priority="5239" operator="lessThan">
      <formula>0</formula>
    </cfRule>
  </conditionalFormatting>
  <conditionalFormatting sqref="F136:G1048576 G86:G135">
    <cfRule type="cellIs" dxfId="1405" priority="5238" operator="lessThan">
      <formula>0</formula>
    </cfRule>
  </conditionalFormatting>
  <conditionalFormatting sqref="F136:G1048576 G86:G135">
    <cfRule type="cellIs" dxfId="1404" priority="5237" operator="lessThan">
      <formula>0</formula>
    </cfRule>
  </conditionalFormatting>
  <conditionalFormatting sqref="F136:G1048576 G86:G135">
    <cfRule type="cellIs" dxfId="1403" priority="5236" operator="lessThan">
      <formula>0</formula>
    </cfRule>
  </conditionalFormatting>
  <conditionalFormatting sqref="F136:G1048576 G86:G135">
    <cfRule type="cellIs" dxfId="1402" priority="5235" operator="lessThan">
      <formula>0</formula>
    </cfRule>
  </conditionalFormatting>
  <conditionalFormatting sqref="F136:G1048576 G86:G135">
    <cfRule type="cellIs" dxfId="1401" priority="5234" operator="lessThan">
      <formula>0</formula>
    </cfRule>
  </conditionalFormatting>
  <conditionalFormatting sqref="F136:G1048576 G86:G135">
    <cfRule type="cellIs" dxfId="1400" priority="5233" operator="lessThan">
      <formula>0</formula>
    </cfRule>
  </conditionalFormatting>
  <conditionalFormatting sqref="F136:G1048576 G86:G135">
    <cfRule type="cellIs" dxfId="1399" priority="5232" operator="lessThan">
      <formula>0</formula>
    </cfRule>
  </conditionalFormatting>
  <conditionalFormatting sqref="F136:G1048576 G86:G135">
    <cfRule type="cellIs" dxfId="1398" priority="5231" operator="lessThan">
      <formula>0</formula>
    </cfRule>
  </conditionalFormatting>
  <conditionalFormatting sqref="F136:G1048576 G86:G135">
    <cfRule type="cellIs" dxfId="1397" priority="5230" operator="lessThan">
      <formula>0</formula>
    </cfRule>
  </conditionalFormatting>
  <conditionalFormatting sqref="F136:G1048576 G86:G135">
    <cfRule type="cellIs" dxfId="1396" priority="5229" operator="lessThan">
      <formula>0</formula>
    </cfRule>
  </conditionalFormatting>
  <conditionalFormatting sqref="F136:G1048576 G86:G135">
    <cfRule type="cellIs" dxfId="1395" priority="5228" operator="lessThan">
      <formula>0</formula>
    </cfRule>
  </conditionalFormatting>
  <conditionalFormatting sqref="F136:G1048576 G86:G135">
    <cfRule type="cellIs" dxfId="1394" priority="5227" operator="lessThan">
      <formula>0</formula>
    </cfRule>
  </conditionalFormatting>
  <conditionalFormatting sqref="F136:G1048576 G86:G135">
    <cfRule type="cellIs" dxfId="1393" priority="5226" operator="lessThan">
      <formula>0</formula>
    </cfRule>
  </conditionalFormatting>
  <conditionalFormatting sqref="F136:G1048576 G86:G135">
    <cfRule type="cellIs" dxfId="1392" priority="5225" operator="lessThan">
      <formula>0</formula>
    </cfRule>
  </conditionalFormatting>
  <conditionalFormatting sqref="F136:G1048576 G86:G135">
    <cfRule type="cellIs" dxfId="1391" priority="5224" operator="lessThan">
      <formula>0</formula>
    </cfRule>
  </conditionalFormatting>
  <conditionalFormatting sqref="F136:G1048576 G86:G135">
    <cfRule type="cellIs" dxfId="1390" priority="5223" operator="lessThan">
      <formula>0</formula>
    </cfRule>
  </conditionalFormatting>
  <conditionalFormatting sqref="F136:G1048576 G86:G135">
    <cfRule type="cellIs" dxfId="1389" priority="5222" operator="lessThan">
      <formula>0</formula>
    </cfRule>
  </conditionalFormatting>
  <conditionalFormatting sqref="F136:G1048576 G86:G135">
    <cfRule type="cellIs" dxfId="1388" priority="5221" operator="lessThan">
      <formula>0</formula>
    </cfRule>
  </conditionalFormatting>
  <conditionalFormatting sqref="F136:G1048576 G86:G135">
    <cfRule type="cellIs" dxfId="1387" priority="5220" operator="lessThan">
      <formula>0</formula>
    </cfRule>
  </conditionalFormatting>
  <conditionalFormatting sqref="F136:G1048576 G86:G135">
    <cfRule type="cellIs" dxfId="1386" priority="5219" operator="lessThan">
      <formula>0</formula>
    </cfRule>
  </conditionalFormatting>
  <conditionalFormatting sqref="F136:G1048576 G86:G135">
    <cfRule type="cellIs" dxfId="1385" priority="5218" operator="lessThan">
      <formula>0</formula>
    </cfRule>
  </conditionalFormatting>
  <conditionalFormatting sqref="F136:G1048576 G86:G135">
    <cfRule type="cellIs" dxfId="1384" priority="5217" operator="lessThan">
      <formula>0</formula>
    </cfRule>
  </conditionalFormatting>
  <conditionalFormatting sqref="F136:G1048576 G86:G135">
    <cfRule type="cellIs" dxfId="1383" priority="5216" operator="lessThan">
      <formula>0</formula>
    </cfRule>
  </conditionalFormatting>
  <conditionalFormatting sqref="F136:G1048576 G86:G135">
    <cfRule type="cellIs" dxfId="1382" priority="5215" operator="lessThan">
      <formula>0</formula>
    </cfRule>
  </conditionalFormatting>
  <conditionalFormatting sqref="F136:G1048576 G61:G135">
    <cfRule type="cellIs" dxfId="1381" priority="5214" operator="lessThan">
      <formula>0</formula>
    </cfRule>
  </conditionalFormatting>
  <conditionalFormatting sqref="F136:G1048576 G61:G135">
    <cfRule type="cellIs" dxfId="1380" priority="5213" operator="lessThan">
      <formula>0</formula>
    </cfRule>
  </conditionalFormatting>
  <conditionalFormatting sqref="F136:G1048576 G61:G135">
    <cfRule type="cellIs" dxfId="1379" priority="5212" operator="lessThan">
      <formula>0</formula>
    </cfRule>
  </conditionalFormatting>
  <conditionalFormatting sqref="F136:G1048576 G61:G135">
    <cfRule type="cellIs" dxfId="1378" priority="5211" operator="lessThan">
      <formula>0</formula>
    </cfRule>
  </conditionalFormatting>
  <conditionalFormatting sqref="F136:G1048576 G61:G135">
    <cfRule type="cellIs" dxfId="1377" priority="5210" operator="lessThan">
      <formula>0</formula>
    </cfRule>
  </conditionalFormatting>
  <conditionalFormatting sqref="F136:G1048576 G61:G135">
    <cfRule type="cellIs" dxfId="1376" priority="5209" operator="lessThan">
      <formula>0</formula>
    </cfRule>
  </conditionalFormatting>
  <conditionalFormatting sqref="F136:G1048576 G61:G135">
    <cfRule type="cellIs" dxfId="1375" priority="5208" operator="lessThan">
      <formula>0</formula>
    </cfRule>
  </conditionalFormatting>
  <conditionalFormatting sqref="F136:G1048576 G61:G135">
    <cfRule type="cellIs" dxfId="1374" priority="5207" operator="lessThan">
      <formula>0</formula>
    </cfRule>
  </conditionalFormatting>
  <conditionalFormatting sqref="F136:G1048576 G61:G135">
    <cfRule type="cellIs" dxfId="1373" priority="5206" operator="lessThan">
      <formula>0</formula>
    </cfRule>
  </conditionalFormatting>
  <conditionalFormatting sqref="F136:G1048576 G61:G135">
    <cfRule type="cellIs" dxfId="1372" priority="5205" operator="lessThan">
      <formula>0</formula>
    </cfRule>
  </conditionalFormatting>
  <conditionalFormatting sqref="F136:G1048576 G61:G135">
    <cfRule type="cellIs" dxfId="1371" priority="5204" operator="lessThan">
      <formula>0</formula>
    </cfRule>
  </conditionalFormatting>
  <conditionalFormatting sqref="F136:G1048576 G61:G135">
    <cfRule type="cellIs" dxfId="1370" priority="5203" operator="lessThan">
      <formula>0</formula>
    </cfRule>
  </conditionalFormatting>
  <conditionalFormatting sqref="F136:G1048576 G61:G135">
    <cfRule type="cellIs" dxfId="1369" priority="5202" operator="lessThan">
      <formula>0</formula>
    </cfRule>
  </conditionalFormatting>
  <conditionalFormatting sqref="F136:G1048576 G61:G135">
    <cfRule type="cellIs" dxfId="1368" priority="5201" operator="lessThan">
      <formula>0</formula>
    </cfRule>
  </conditionalFormatting>
  <conditionalFormatting sqref="F136:G1048576 G61:G135">
    <cfRule type="cellIs" dxfId="1367" priority="5200" operator="lessThan">
      <formula>0</formula>
    </cfRule>
  </conditionalFormatting>
  <conditionalFormatting sqref="F136:G1048576 G61:G135">
    <cfRule type="cellIs" dxfId="1366" priority="5199" operator="lessThan">
      <formula>0</formula>
    </cfRule>
  </conditionalFormatting>
  <conditionalFormatting sqref="F136:G1048576 G61:G135">
    <cfRule type="cellIs" dxfId="1365" priority="5198" operator="lessThan">
      <formula>0</formula>
    </cfRule>
  </conditionalFormatting>
  <conditionalFormatting sqref="F136:G1048576 G61:G135">
    <cfRule type="cellIs" dxfId="1364" priority="5197" operator="lessThan">
      <formula>0</formula>
    </cfRule>
  </conditionalFormatting>
  <conditionalFormatting sqref="F136:G1048576 G61:G135">
    <cfRule type="cellIs" dxfId="1363" priority="5196" operator="lessThan">
      <formula>0</formula>
    </cfRule>
  </conditionalFormatting>
  <conditionalFormatting sqref="F136:G1048576 G61:G135">
    <cfRule type="cellIs" dxfId="1362" priority="5195" operator="lessThan">
      <formula>0</formula>
    </cfRule>
  </conditionalFormatting>
  <conditionalFormatting sqref="F136:G1048576 G61:G135">
    <cfRule type="cellIs" dxfId="1361" priority="5194" operator="lessThan">
      <formula>0</formula>
    </cfRule>
  </conditionalFormatting>
  <conditionalFormatting sqref="F136:G1048576 G61:G135">
    <cfRule type="cellIs" dxfId="1360" priority="5193" operator="lessThan">
      <formula>0</formula>
    </cfRule>
  </conditionalFormatting>
  <conditionalFormatting sqref="F136:G1048576 G61:G135">
    <cfRule type="cellIs" dxfId="1359" priority="5192" operator="lessThan">
      <formula>0</formula>
    </cfRule>
  </conditionalFormatting>
  <conditionalFormatting sqref="F136:G1048576 G61:G135">
    <cfRule type="cellIs" dxfId="1358" priority="5191" operator="lessThan">
      <formula>0</formula>
    </cfRule>
  </conditionalFormatting>
  <conditionalFormatting sqref="F136:G1048576 G61:G135">
    <cfRule type="cellIs" dxfId="1357" priority="5190" operator="lessThan">
      <formula>0</formula>
    </cfRule>
  </conditionalFormatting>
  <conditionalFormatting sqref="F136:G1048576 G61:G135">
    <cfRule type="cellIs" dxfId="1356" priority="5189" operator="lessThan">
      <formula>0</formula>
    </cfRule>
  </conditionalFormatting>
  <conditionalFormatting sqref="F136:G1048576 G61:G135">
    <cfRule type="cellIs" dxfId="1355" priority="5188" operator="lessThan">
      <formula>0</formula>
    </cfRule>
  </conditionalFormatting>
  <conditionalFormatting sqref="F136:G1048576 G61:G135">
    <cfRule type="cellIs" dxfId="1354" priority="5187" operator="lessThan">
      <formula>0</formula>
    </cfRule>
  </conditionalFormatting>
  <conditionalFormatting sqref="F136:G1048576 G61:G135">
    <cfRule type="cellIs" dxfId="1353" priority="5186" operator="lessThan">
      <formula>0</formula>
    </cfRule>
  </conditionalFormatting>
  <conditionalFormatting sqref="F136:G1048576 G61:G135">
    <cfRule type="cellIs" dxfId="1352" priority="5185" operator="lessThan">
      <formula>0</formula>
    </cfRule>
  </conditionalFormatting>
  <conditionalFormatting sqref="F136:G1048576 G61:G135">
    <cfRule type="cellIs" dxfId="1351" priority="5184" operator="lessThan">
      <formula>0</formula>
    </cfRule>
  </conditionalFormatting>
  <conditionalFormatting sqref="F136:G1048576 G61:G135">
    <cfRule type="cellIs" dxfId="1350" priority="5183" operator="lessThan">
      <formula>0</formula>
    </cfRule>
  </conditionalFormatting>
  <conditionalFormatting sqref="F136:G1048576 G61:G135">
    <cfRule type="cellIs" dxfId="1349" priority="5182" operator="lessThan">
      <formula>0</formula>
    </cfRule>
  </conditionalFormatting>
  <conditionalFormatting sqref="F136:G1048576 G61:G135">
    <cfRule type="cellIs" dxfId="1348" priority="5181" operator="lessThan">
      <formula>0</formula>
    </cfRule>
  </conditionalFormatting>
  <conditionalFormatting sqref="F136:G1048576 G61:G135">
    <cfRule type="cellIs" dxfId="1347" priority="5180" operator="lessThan">
      <formula>0</formula>
    </cfRule>
  </conditionalFormatting>
  <conditionalFormatting sqref="F136:G1048576 G61:G135">
    <cfRule type="cellIs" dxfId="1346" priority="5179" operator="lessThan">
      <formula>0</formula>
    </cfRule>
  </conditionalFormatting>
  <conditionalFormatting sqref="F136:G1048576 G61:G135">
    <cfRule type="cellIs" dxfId="1345" priority="5178" operator="lessThan">
      <formula>0</formula>
    </cfRule>
  </conditionalFormatting>
  <conditionalFormatting sqref="F136:G1048576 G61:G135">
    <cfRule type="cellIs" dxfId="1344" priority="5177" operator="lessThan">
      <formula>0</formula>
    </cfRule>
  </conditionalFormatting>
  <conditionalFormatting sqref="F136:G1048576 G61:G135">
    <cfRule type="cellIs" dxfId="1343" priority="5176" operator="lessThan">
      <formula>0</formula>
    </cfRule>
  </conditionalFormatting>
  <conditionalFormatting sqref="F136:G1048576 G61:G135">
    <cfRule type="cellIs" dxfId="1342" priority="5175" operator="lessThan">
      <formula>0</formula>
    </cfRule>
  </conditionalFormatting>
  <conditionalFormatting sqref="F136:G1048576 G61:G135">
    <cfRule type="cellIs" dxfId="1341" priority="5174" operator="lessThan">
      <formula>0</formula>
    </cfRule>
  </conditionalFormatting>
  <conditionalFormatting sqref="F136:G1048576 G61:G135">
    <cfRule type="cellIs" dxfId="1340" priority="5173" operator="lessThan">
      <formula>0</formula>
    </cfRule>
  </conditionalFormatting>
  <conditionalFormatting sqref="F136:G1048576 G61:G135">
    <cfRule type="cellIs" dxfId="1339" priority="5172" operator="lessThan">
      <formula>0</formula>
    </cfRule>
  </conditionalFormatting>
  <conditionalFormatting sqref="F136:G1048576 G61:G135">
    <cfRule type="cellIs" dxfId="1338" priority="5171" operator="lessThan">
      <formula>0</formula>
    </cfRule>
  </conditionalFormatting>
  <conditionalFormatting sqref="F136:G1048576 G61:G135">
    <cfRule type="cellIs" dxfId="1337" priority="5170" operator="lessThan">
      <formula>0</formula>
    </cfRule>
  </conditionalFormatting>
  <conditionalFormatting sqref="F136:G1048576 G61:G135">
    <cfRule type="cellIs" dxfId="1336" priority="5169" operator="lessThan">
      <formula>0</formula>
    </cfRule>
  </conditionalFormatting>
  <conditionalFormatting sqref="F136:G1048576 G61:G135">
    <cfRule type="cellIs" dxfId="1335" priority="5168" operator="lessThan">
      <formula>0</formula>
    </cfRule>
  </conditionalFormatting>
  <conditionalFormatting sqref="F136:G1048576 G61:G135">
    <cfRule type="cellIs" dxfId="1334" priority="5167" operator="lessThan">
      <formula>0</formula>
    </cfRule>
  </conditionalFormatting>
  <conditionalFormatting sqref="F136:G1048576 G61:G135">
    <cfRule type="cellIs" dxfId="1333" priority="5166" operator="lessThan">
      <formula>0</formula>
    </cfRule>
  </conditionalFormatting>
  <conditionalFormatting sqref="F136:G1048576 G61:G135">
    <cfRule type="cellIs" dxfId="1332" priority="5165" operator="lessThan">
      <formula>0</formula>
    </cfRule>
  </conditionalFormatting>
  <conditionalFormatting sqref="F136:G1048576 G61:G135">
    <cfRule type="cellIs" dxfId="1331" priority="5164" operator="lessThan">
      <formula>0</formula>
    </cfRule>
  </conditionalFormatting>
  <conditionalFormatting sqref="F136:G1048576 G61:G135">
    <cfRule type="cellIs" dxfId="1330" priority="5163" operator="lessThan">
      <formula>0</formula>
    </cfRule>
  </conditionalFormatting>
  <conditionalFormatting sqref="F136:G1048576 G61:G135">
    <cfRule type="cellIs" dxfId="1329" priority="5162" operator="lessThan">
      <formula>0</formula>
    </cfRule>
  </conditionalFormatting>
  <conditionalFormatting sqref="F136:G1048576 G61:G135">
    <cfRule type="cellIs" dxfId="1328" priority="5161" operator="lessThan">
      <formula>0</formula>
    </cfRule>
  </conditionalFormatting>
  <conditionalFormatting sqref="F136:G1048576 G61:G135">
    <cfRule type="cellIs" dxfId="1327" priority="5160" operator="lessThan">
      <formula>0</formula>
    </cfRule>
  </conditionalFormatting>
  <conditionalFormatting sqref="F136:G1048576 G61:G135">
    <cfRule type="cellIs" dxfId="1326" priority="5159" operator="lessThan">
      <formula>0</formula>
    </cfRule>
  </conditionalFormatting>
  <conditionalFormatting sqref="F136:G1048576 G61:G135">
    <cfRule type="cellIs" dxfId="1325" priority="5158" operator="lessThan">
      <formula>0</formula>
    </cfRule>
  </conditionalFormatting>
  <conditionalFormatting sqref="F136:G1048576 G61:G135">
    <cfRule type="cellIs" dxfId="1324" priority="5157" operator="lessThan">
      <formula>0</formula>
    </cfRule>
  </conditionalFormatting>
  <conditionalFormatting sqref="F136:G1048576 G61:G135">
    <cfRule type="cellIs" dxfId="1323" priority="5156" operator="lessThan">
      <formula>0</formula>
    </cfRule>
  </conditionalFormatting>
  <conditionalFormatting sqref="F136:G1048576 G61:G135">
    <cfRule type="cellIs" dxfId="1322" priority="5155" operator="lessThan">
      <formula>0</formula>
    </cfRule>
  </conditionalFormatting>
  <conditionalFormatting sqref="F136:G1048576 G61:G135">
    <cfRule type="cellIs" dxfId="1321" priority="5154" operator="lessThan">
      <formula>0</formula>
    </cfRule>
  </conditionalFormatting>
  <conditionalFormatting sqref="F136:G1048576 G61:G135">
    <cfRule type="cellIs" dxfId="1320" priority="5153" operator="lessThan">
      <formula>0</formula>
    </cfRule>
  </conditionalFormatting>
  <conditionalFormatting sqref="F136:G1048576 G61:G135">
    <cfRule type="cellIs" dxfId="1319" priority="5152" operator="lessThan">
      <formula>0</formula>
    </cfRule>
  </conditionalFormatting>
  <conditionalFormatting sqref="F136:G1048576 G61:G135">
    <cfRule type="cellIs" dxfId="1318" priority="5151" operator="lessThan">
      <formula>0</formula>
    </cfRule>
  </conditionalFormatting>
  <conditionalFormatting sqref="F136:G1048576 G61:G135">
    <cfRule type="cellIs" dxfId="1317" priority="5150" operator="lessThan">
      <formula>0</formula>
    </cfRule>
  </conditionalFormatting>
  <conditionalFormatting sqref="F136:G1048576 G61:G135">
    <cfRule type="cellIs" dxfId="1316" priority="5149" operator="lessThan">
      <formula>0</formula>
    </cfRule>
  </conditionalFormatting>
  <conditionalFormatting sqref="F136:G1048576 G61:G135">
    <cfRule type="cellIs" dxfId="1315" priority="5148" operator="lessThan">
      <formula>0</formula>
    </cfRule>
  </conditionalFormatting>
  <conditionalFormatting sqref="F136:G1048576 G61:G135">
    <cfRule type="cellIs" dxfId="1314" priority="5147" operator="lessThan">
      <formula>0</formula>
    </cfRule>
  </conditionalFormatting>
  <conditionalFormatting sqref="F136:G1048576 G61:G135">
    <cfRule type="cellIs" dxfId="1313" priority="5146" operator="lessThan">
      <formula>0</formula>
    </cfRule>
  </conditionalFormatting>
  <conditionalFormatting sqref="F136:G1048576 G61:G135">
    <cfRule type="cellIs" dxfId="1312" priority="5145" operator="lessThan">
      <formula>0</formula>
    </cfRule>
  </conditionalFormatting>
  <conditionalFormatting sqref="F136:G1048576 G61:G135">
    <cfRule type="cellIs" dxfId="1311" priority="5144" operator="lessThan">
      <formula>0</formula>
    </cfRule>
  </conditionalFormatting>
  <conditionalFormatting sqref="F136:G1048576 G61:G135">
    <cfRule type="cellIs" dxfId="1310" priority="5143" operator="lessThan">
      <formula>0</formula>
    </cfRule>
  </conditionalFormatting>
  <conditionalFormatting sqref="F136:G1048576 G61:G135">
    <cfRule type="cellIs" dxfId="1309" priority="5142" operator="lessThan">
      <formula>0</formula>
    </cfRule>
  </conditionalFormatting>
  <conditionalFormatting sqref="F136:G1048576 G61:G135">
    <cfRule type="cellIs" dxfId="1308" priority="5141" operator="lessThan">
      <formula>0</formula>
    </cfRule>
  </conditionalFormatting>
  <conditionalFormatting sqref="F136:G1048576 G61:G135">
    <cfRule type="cellIs" dxfId="1307" priority="5140" operator="lessThan">
      <formula>0</formula>
    </cfRule>
  </conditionalFormatting>
  <conditionalFormatting sqref="F136:G1048576 G61:G135">
    <cfRule type="cellIs" dxfId="1306" priority="5139" operator="lessThan">
      <formula>0</formula>
    </cfRule>
  </conditionalFormatting>
  <conditionalFormatting sqref="F136:G1048576 G61:G135">
    <cfRule type="cellIs" dxfId="1305" priority="5138" operator="lessThan">
      <formula>0</formula>
    </cfRule>
  </conditionalFormatting>
  <conditionalFormatting sqref="F136:G1048576 G61:G135">
    <cfRule type="cellIs" dxfId="1304" priority="5137" operator="lessThan">
      <formula>0</formula>
    </cfRule>
  </conditionalFormatting>
  <conditionalFormatting sqref="F136:G1048576 G61:G135">
    <cfRule type="cellIs" dxfId="1303" priority="5136" operator="lessThan">
      <formula>0</formula>
    </cfRule>
  </conditionalFormatting>
  <conditionalFormatting sqref="F136:G1048576 G61:G135">
    <cfRule type="cellIs" dxfId="1302" priority="5135" operator="lessThan">
      <formula>0</formula>
    </cfRule>
  </conditionalFormatting>
  <conditionalFormatting sqref="F136:G1048576 G61:G135">
    <cfRule type="cellIs" dxfId="1301" priority="5134" operator="lessThan">
      <formula>0</formula>
    </cfRule>
  </conditionalFormatting>
  <conditionalFormatting sqref="F136:G1048576 G61:G135">
    <cfRule type="cellIs" dxfId="1300" priority="5133" operator="lessThan">
      <formula>0</formula>
    </cfRule>
  </conditionalFormatting>
  <conditionalFormatting sqref="F136:G1048576 G61:G135">
    <cfRule type="cellIs" dxfId="1299" priority="5132" operator="lessThan">
      <formula>0</formula>
    </cfRule>
  </conditionalFormatting>
  <conditionalFormatting sqref="F136:G1048576 G61:G135">
    <cfRule type="cellIs" dxfId="1298" priority="5131" operator="lessThan">
      <formula>0</formula>
    </cfRule>
  </conditionalFormatting>
  <conditionalFormatting sqref="F136:G1048576 G61:G135">
    <cfRule type="cellIs" dxfId="1297" priority="5130" operator="lessThan">
      <formula>0</formula>
    </cfRule>
  </conditionalFormatting>
  <conditionalFormatting sqref="F136:G1048576 G61:G135">
    <cfRule type="cellIs" dxfId="1296" priority="5129" operator="lessThan">
      <formula>0</formula>
    </cfRule>
  </conditionalFormatting>
  <conditionalFormatting sqref="F136:G1048576 G61:G135">
    <cfRule type="cellIs" dxfId="1295" priority="5128" operator="lessThan">
      <formula>0</formula>
    </cfRule>
  </conditionalFormatting>
  <conditionalFormatting sqref="F136:G1048576 G61:G135">
    <cfRule type="cellIs" dxfId="1294" priority="5127" operator="lessThan">
      <formula>0</formula>
    </cfRule>
  </conditionalFormatting>
  <conditionalFormatting sqref="F136:G1048576 G61:G135">
    <cfRule type="cellIs" dxfId="1293" priority="5126" operator="lessThan">
      <formula>0</formula>
    </cfRule>
  </conditionalFormatting>
  <conditionalFormatting sqref="F136:G1048576 G61:G135">
    <cfRule type="cellIs" dxfId="1292" priority="5125" operator="lessThan">
      <formula>0</formula>
    </cfRule>
  </conditionalFormatting>
  <conditionalFormatting sqref="F136:G1048576 G61:G135">
    <cfRule type="cellIs" dxfId="1291" priority="5124" operator="lessThan">
      <formula>0</formula>
    </cfRule>
  </conditionalFormatting>
  <conditionalFormatting sqref="F136:G1048576 G61:G135">
    <cfRule type="cellIs" dxfId="1290" priority="5123" operator="lessThan">
      <formula>0</formula>
    </cfRule>
  </conditionalFormatting>
  <conditionalFormatting sqref="F136:G1048576 G61:G135">
    <cfRule type="cellIs" dxfId="1289" priority="5122" operator="lessThan">
      <formula>0</formula>
    </cfRule>
  </conditionalFormatting>
  <conditionalFormatting sqref="F136:G1048576 G61:G135">
    <cfRule type="cellIs" dxfId="1288" priority="5121" operator="lessThan">
      <formula>0</formula>
    </cfRule>
  </conditionalFormatting>
  <conditionalFormatting sqref="F136:G1048576 G61:G135">
    <cfRule type="cellIs" dxfId="1287" priority="5120" operator="lessThan">
      <formula>0</formula>
    </cfRule>
  </conditionalFormatting>
  <conditionalFormatting sqref="F136:G1048576 G61:G135">
    <cfRule type="cellIs" dxfId="1286" priority="5119" operator="lessThan">
      <formula>0</formula>
    </cfRule>
  </conditionalFormatting>
  <conditionalFormatting sqref="F136:G1048576 G61:G135">
    <cfRule type="cellIs" dxfId="1285" priority="5118" operator="lessThan">
      <formula>0</formula>
    </cfRule>
  </conditionalFormatting>
  <conditionalFormatting sqref="F136:G1048576 G61:G135">
    <cfRule type="cellIs" dxfId="1284" priority="5117" operator="lessThan">
      <formula>0</formula>
    </cfRule>
  </conditionalFormatting>
  <conditionalFormatting sqref="F136:G1048576 G61:G135">
    <cfRule type="cellIs" dxfId="1283" priority="5116" operator="lessThan">
      <formula>0</formula>
    </cfRule>
  </conditionalFormatting>
  <conditionalFormatting sqref="F136:G1048576 G61:G135">
    <cfRule type="cellIs" dxfId="1282" priority="5115" operator="lessThan">
      <formula>0</formula>
    </cfRule>
  </conditionalFormatting>
  <conditionalFormatting sqref="F136:G1048576 G61:G135">
    <cfRule type="cellIs" dxfId="1281" priority="5114" operator="lessThan">
      <formula>0</formula>
    </cfRule>
  </conditionalFormatting>
  <conditionalFormatting sqref="F136:G1048576 G61:G135">
    <cfRule type="cellIs" dxfId="1280" priority="5113" operator="lessThan">
      <formula>0</formula>
    </cfRule>
  </conditionalFormatting>
  <conditionalFormatting sqref="F136:G1048576 G61:G135">
    <cfRule type="cellIs" dxfId="1279" priority="5112" operator="lessThan">
      <formula>0</formula>
    </cfRule>
  </conditionalFormatting>
  <conditionalFormatting sqref="F136:G1048576 G61:G135">
    <cfRule type="cellIs" dxfId="1278" priority="5111" operator="lessThan">
      <formula>0</formula>
    </cfRule>
  </conditionalFormatting>
  <conditionalFormatting sqref="F136:G1048576 G61:G135">
    <cfRule type="cellIs" dxfId="1277" priority="5110" operator="lessThan">
      <formula>0</formula>
    </cfRule>
  </conditionalFormatting>
  <conditionalFormatting sqref="F136:G1048576 G61:G135">
    <cfRule type="cellIs" dxfId="1276" priority="5109" operator="lessThan">
      <formula>0</formula>
    </cfRule>
  </conditionalFormatting>
  <conditionalFormatting sqref="F136:G1048576 G61:G135">
    <cfRule type="cellIs" dxfId="1275" priority="5108" operator="lessThan">
      <formula>0</formula>
    </cfRule>
  </conditionalFormatting>
  <conditionalFormatting sqref="F136:G1048576 G61:G135">
    <cfRule type="cellIs" dxfId="1274" priority="5107" operator="lessThan">
      <formula>0</formula>
    </cfRule>
  </conditionalFormatting>
  <conditionalFormatting sqref="F136:G1048576 G61:G135">
    <cfRule type="cellIs" dxfId="1273" priority="5106" operator="lessThan">
      <formula>0</formula>
    </cfRule>
  </conditionalFormatting>
  <conditionalFormatting sqref="F136:G1048576 G61:G135">
    <cfRule type="cellIs" dxfId="1272" priority="5105" operator="lessThan">
      <formula>0</formula>
    </cfRule>
  </conditionalFormatting>
  <conditionalFormatting sqref="F136:G1048576 G61:G135">
    <cfRule type="cellIs" dxfId="1271" priority="5104" operator="lessThan">
      <formula>0</formula>
    </cfRule>
  </conditionalFormatting>
  <conditionalFormatting sqref="F136:G1048576 G61:G135">
    <cfRule type="cellIs" dxfId="1270" priority="5103" operator="lessThan">
      <formula>0</formula>
    </cfRule>
  </conditionalFormatting>
  <conditionalFormatting sqref="F136:G1048576 G61:G135">
    <cfRule type="cellIs" dxfId="1269" priority="5102" operator="lessThan">
      <formula>0</formula>
    </cfRule>
  </conditionalFormatting>
  <conditionalFormatting sqref="F136:G1048576 G61:G135">
    <cfRule type="cellIs" dxfId="1268" priority="5101" operator="lessThan">
      <formula>0</formula>
    </cfRule>
  </conditionalFormatting>
  <conditionalFormatting sqref="F136:G1048576 G61:G135">
    <cfRule type="cellIs" dxfId="1267" priority="5100" operator="lessThan">
      <formula>0</formula>
    </cfRule>
  </conditionalFormatting>
  <conditionalFormatting sqref="F136:G1048576 G61:G135">
    <cfRule type="cellIs" dxfId="1266" priority="5099" operator="lessThan">
      <formula>0</formula>
    </cfRule>
  </conditionalFormatting>
  <conditionalFormatting sqref="F136:G1048576 G61:G135">
    <cfRule type="cellIs" dxfId="1265" priority="5098" operator="lessThan">
      <formula>0</formula>
    </cfRule>
  </conditionalFormatting>
  <conditionalFormatting sqref="F136:G1048576 G61:G135">
    <cfRule type="cellIs" dxfId="1264" priority="5097" operator="lessThan">
      <formula>0</formula>
    </cfRule>
  </conditionalFormatting>
  <conditionalFormatting sqref="F136:G1048576 G61:G135">
    <cfRule type="cellIs" dxfId="1263" priority="5096" operator="lessThan">
      <formula>0</formula>
    </cfRule>
  </conditionalFormatting>
  <conditionalFormatting sqref="F136:G1048576 G61:G135">
    <cfRule type="cellIs" dxfId="1262" priority="5095" operator="lessThan">
      <formula>0</formula>
    </cfRule>
  </conditionalFormatting>
  <conditionalFormatting sqref="F136:G1048576 G61:G135">
    <cfRule type="cellIs" dxfId="1261" priority="5094" operator="lessThan">
      <formula>0</formula>
    </cfRule>
  </conditionalFormatting>
  <conditionalFormatting sqref="F136:G1048576 G61:G135">
    <cfRule type="cellIs" dxfId="1260" priority="5093" operator="lessThan">
      <formula>0</formula>
    </cfRule>
  </conditionalFormatting>
  <conditionalFormatting sqref="F136:G1048576 G61:G135">
    <cfRule type="cellIs" dxfId="1259" priority="5092" operator="lessThan">
      <formula>0</formula>
    </cfRule>
  </conditionalFormatting>
  <conditionalFormatting sqref="F136:G1048576 G61:G135">
    <cfRule type="cellIs" dxfId="1258" priority="5091" operator="lessThan">
      <formula>0</formula>
    </cfRule>
  </conditionalFormatting>
  <conditionalFormatting sqref="F136:G1048576 G61:G135">
    <cfRule type="cellIs" dxfId="1257" priority="5090" operator="lessThan">
      <formula>0</formula>
    </cfRule>
  </conditionalFormatting>
  <conditionalFormatting sqref="F136:G1048576 G61:G135">
    <cfRule type="cellIs" dxfId="1256" priority="5089" operator="lessThan">
      <formula>0</formula>
    </cfRule>
  </conditionalFormatting>
  <conditionalFormatting sqref="F136:G1048576 G61:G135">
    <cfRule type="cellIs" dxfId="1255" priority="5088" operator="lessThan">
      <formula>0</formula>
    </cfRule>
  </conditionalFormatting>
  <conditionalFormatting sqref="F136:G1048576 G61:G135">
    <cfRule type="cellIs" dxfId="1254" priority="5087" operator="lessThan">
      <formula>0</formula>
    </cfRule>
  </conditionalFormatting>
  <conditionalFormatting sqref="F136:G1048576 G61:G135">
    <cfRule type="cellIs" dxfId="1253" priority="5086" operator="lessThan">
      <formula>0</formula>
    </cfRule>
  </conditionalFormatting>
  <conditionalFormatting sqref="F136:G1048576 G61:G135">
    <cfRule type="cellIs" dxfId="1252" priority="5085" operator="lessThan">
      <formula>0</formula>
    </cfRule>
  </conditionalFormatting>
  <conditionalFormatting sqref="F136:G1048576 G61:G135">
    <cfRule type="cellIs" dxfId="1251" priority="5084" operator="lessThan">
      <formula>0</formula>
    </cfRule>
  </conditionalFormatting>
  <conditionalFormatting sqref="F136:G1048576 G61:G135">
    <cfRule type="cellIs" dxfId="1250" priority="5083" operator="lessThan">
      <formula>0</formula>
    </cfRule>
  </conditionalFormatting>
  <conditionalFormatting sqref="F136:G1048576 G61:G135">
    <cfRule type="cellIs" dxfId="1249" priority="5082" operator="lessThan">
      <formula>0</formula>
    </cfRule>
  </conditionalFormatting>
  <conditionalFormatting sqref="F136:G1048576 G61:G135">
    <cfRule type="cellIs" dxfId="1248" priority="5081" operator="lessThan">
      <formula>0</formula>
    </cfRule>
  </conditionalFormatting>
  <conditionalFormatting sqref="F136:G1048576 G61:G135">
    <cfRule type="cellIs" dxfId="1247" priority="5080" operator="lessThan">
      <formula>0</formula>
    </cfRule>
  </conditionalFormatting>
  <conditionalFormatting sqref="F136:G1048576 G61:G135">
    <cfRule type="cellIs" dxfId="1246" priority="5079" operator="lessThan">
      <formula>0</formula>
    </cfRule>
  </conditionalFormatting>
  <conditionalFormatting sqref="F136:G1048576 G61:G135">
    <cfRule type="cellIs" dxfId="1245" priority="5078" operator="lessThan">
      <formula>0</formula>
    </cfRule>
  </conditionalFormatting>
  <conditionalFormatting sqref="F136:G1048576 G61:G135">
    <cfRule type="cellIs" dxfId="1244" priority="5077" operator="lessThan">
      <formula>0</formula>
    </cfRule>
  </conditionalFormatting>
  <conditionalFormatting sqref="F136:G1048576 G61:G135">
    <cfRule type="cellIs" dxfId="1243" priority="5076" operator="lessThan">
      <formula>0</formula>
    </cfRule>
  </conditionalFormatting>
  <conditionalFormatting sqref="F136:G1048576 G61:G135">
    <cfRule type="cellIs" dxfId="1242" priority="5075" operator="lessThan">
      <formula>0</formula>
    </cfRule>
  </conditionalFormatting>
  <conditionalFormatting sqref="F136:G1048576 G61:G135">
    <cfRule type="cellIs" dxfId="1241" priority="5074" operator="lessThan">
      <formula>0</formula>
    </cfRule>
  </conditionalFormatting>
  <conditionalFormatting sqref="F136:G1048576 G61:G135">
    <cfRule type="cellIs" dxfId="1240" priority="5073" operator="lessThan">
      <formula>0</formula>
    </cfRule>
  </conditionalFormatting>
  <conditionalFormatting sqref="F136:G1048576 G61:G135">
    <cfRule type="cellIs" dxfId="1239" priority="5072" operator="lessThan">
      <formula>0</formula>
    </cfRule>
  </conditionalFormatting>
  <conditionalFormatting sqref="F136:G1048576 G61:G135">
    <cfRule type="cellIs" dxfId="1238" priority="5071" operator="lessThan">
      <formula>0</formula>
    </cfRule>
  </conditionalFormatting>
  <conditionalFormatting sqref="F136:G1048576 G61:G135">
    <cfRule type="cellIs" dxfId="1237" priority="5070" operator="lessThan">
      <formula>0</formula>
    </cfRule>
  </conditionalFormatting>
  <conditionalFormatting sqref="F136:G1048576 G61:G135">
    <cfRule type="cellIs" dxfId="1236" priority="5069" operator="lessThan">
      <formula>0</formula>
    </cfRule>
  </conditionalFormatting>
  <conditionalFormatting sqref="F136:G1048576 G61:G135">
    <cfRule type="cellIs" dxfId="1235" priority="5068" operator="lessThan">
      <formula>0</formula>
    </cfRule>
  </conditionalFormatting>
  <conditionalFormatting sqref="F136:G1048576 G61:G135">
    <cfRule type="cellIs" dxfId="1234" priority="5067" operator="lessThan">
      <formula>0</formula>
    </cfRule>
  </conditionalFormatting>
  <conditionalFormatting sqref="F136:G1048576 G61:G135">
    <cfRule type="cellIs" dxfId="1233" priority="5066" operator="lessThan">
      <formula>0</formula>
    </cfRule>
  </conditionalFormatting>
  <conditionalFormatting sqref="F136:G1048576 G61:G135">
    <cfRule type="cellIs" dxfId="1232" priority="5065" operator="lessThan">
      <formula>0</formula>
    </cfRule>
  </conditionalFormatting>
  <conditionalFormatting sqref="F136:G1048576 G61:G135">
    <cfRule type="cellIs" dxfId="1231" priority="5064" operator="lessThan">
      <formula>0</formula>
    </cfRule>
  </conditionalFormatting>
  <conditionalFormatting sqref="F136:G1048576 G61:G135">
    <cfRule type="cellIs" dxfId="1230" priority="5063" operator="lessThan">
      <formula>0</formula>
    </cfRule>
  </conditionalFormatting>
  <conditionalFormatting sqref="F136:G1048576 G61:G135">
    <cfRule type="cellIs" dxfId="1229" priority="5062" operator="lessThan">
      <formula>0</formula>
    </cfRule>
  </conditionalFormatting>
  <conditionalFormatting sqref="F136:G1048576 G61:G135">
    <cfRule type="cellIs" dxfId="1228" priority="5061" operator="lessThan">
      <formula>0</formula>
    </cfRule>
  </conditionalFormatting>
  <conditionalFormatting sqref="F136:G1048576 G61:G135">
    <cfRule type="cellIs" dxfId="1227" priority="5060" operator="lessThan">
      <formula>0</formula>
    </cfRule>
  </conditionalFormatting>
  <conditionalFormatting sqref="F136:G1048576 G61:G135">
    <cfRule type="cellIs" dxfId="1226" priority="5059" operator="lessThan">
      <formula>0</formula>
    </cfRule>
  </conditionalFormatting>
  <conditionalFormatting sqref="F136:G1048576 G61:G135">
    <cfRule type="cellIs" dxfId="1225" priority="5058" operator="lessThan">
      <formula>0</formula>
    </cfRule>
  </conditionalFormatting>
  <conditionalFormatting sqref="F136:G1048576 G61:G135">
    <cfRule type="cellIs" dxfId="1224" priority="5057" operator="lessThan">
      <formula>0</formula>
    </cfRule>
  </conditionalFormatting>
  <conditionalFormatting sqref="F136:G1048576 G61:G135">
    <cfRule type="cellIs" dxfId="1223" priority="5056" operator="lessThan">
      <formula>0</formula>
    </cfRule>
  </conditionalFormatting>
  <conditionalFormatting sqref="F136:G1048576 G61:G135">
    <cfRule type="cellIs" dxfId="1222" priority="5055" operator="lessThan">
      <formula>0</formula>
    </cfRule>
  </conditionalFormatting>
  <conditionalFormatting sqref="F136:G1048576 G61:G135">
    <cfRule type="cellIs" dxfId="1221" priority="5054" operator="lessThan">
      <formula>0</formula>
    </cfRule>
  </conditionalFormatting>
  <conditionalFormatting sqref="G42">
    <cfRule type="cellIs" dxfId="1220" priority="4351" operator="lessThan">
      <formula>0</formula>
    </cfRule>
  </conditionalFormatting>
  <conditionalFormatting sqref="G42">
    <cfRule type="cellIs" dxfId="1219" priority="4350" operator="lessThan">
      <formula>0</formula>
    </cfRule>
  </conditionalFormatting>
  <conditionalFormatting sqref="G42">
    <cfRule type="cellIs" dxfId="1218" priority="4349" operator="lessThan">
      <formula>0</formula>
    </cfRule>
  </conditionalFormatting>
  <conditionalFormatting sqref="G42">
    <cfRule type="cellIs" dxfId="1217" priority="4348" operator="lessThan">
      <formula>0</formula>
    </cfRule>
  </conditionalFormatting>
  <conditionalFormatting sqref="G42">
    <cfRule type="cellIs" dxfId="1216" priority="4347" operator="lessThan">
      <formula>0</formula>
    </cfRule>
  </conditionalFormatting>
  <conditionalFormatting sqref="G42">
    <cfRule type="cellIs" dxfId="1215" priority="4346" operator="lessThan">
      <formula>0</formula>
    </cfRule>
  </conditionalFormatting>
  <conditionalFormatting sqref="G42">
    <cfRule type="cellIs" dxfId="1214" priority="4345" operator="lessThan">
      <formula>0</formula>
    </cfRule>
  </conditionalFormatting>
  <conditionalFormatting sqref="G42">
    <cfRule type="cellIs" dxfId="1213" priority="4344" operator="lessThan">
      <formula>0</formula>
    </cfRule>
  </conditionalFormatting>
  <conditionalFormatting sqref="G42">
    <cfRule type="cellIs" dxfId="1212" priority="4343" operator="lessThan">
      <formula>0</formula>
    </cfRule>
  </conditionalFormatting>
  <conditionalFormatting sqref="G42">
    <cfRule type="cellIs" dxfId="1211" priority="4342" operator="lessThan">
      <formula>0</formula>
    </cfRule>
  </conditionalFormatting>
  <conditionalFormatting sqref="G42">
    <cfRule type="cellIs" dxfId="1210" priority="4341" operator="lessThan">
      <formula>0</formula>
    </cfRule>
  </conditionalFormatting>
  <conditionalFormatting sqref="G42">
    <cfRule type="cellIs" dxfId="1209" priority="4340" operator="lessThan">
      <formula>0</formula>
    </cfRule>
  </conditionalFormatting>
  <conditionalFormatting sqref="G42">
    <cfRule type="cellIs" dxfId="1208" priority="4339" operator="lessThan">
      <formula>0</formula>
    </cfRule>
  </conditionalFormatting>
  <conditionalFormatting sqref="G42">
    <cfRule type="cellIs" dxfId="1207" priority="4338" operator="lessThan">
      <formula>0</formula>
    </cfRule>
  </conditionalFormatting>
  <conditionalFormatting sqref="G42">
    <cfRule type="cellIs" dxfId="1206" priority="4337" operator="lessThan">
      <formula>0</formula>
    </cfRule>
  </conditionalFormatting>
  <conditionalFormatting sqref="G42">
    <cfRule type="cellIs" dxfId="1205" priority="4336" operator="lessThan">
      <formula>0</formula>
    </cfRule>
  </conditionalFormatting>
  <conditionalFormatting sqref="G42">
    <cfRule type="cellIs" dxfId="1204" priority="4335" operator="lessThan">
      <formula>0</formula>
    </cfRule>
  </conditionalFormatting>
  <conditionalFormatting sqref="G42">
    <cfRule type="cellIs" dxfId="1203" priority="4334" operator="lessThan">
      <formula>0</formula>
    </cfRule>
  </conditionalFormatting>
  <conditionalFormatting sqref="G42">
    <cfRule type="cellIs" dxfId="1202" priority="4333" operator="lessThan">
      <formula>0</formula>
    </cfRule>
  </conditionalFormatting>
  <conditionalFormatting pivot="1" sqref="F13:F44">
    <cfRule type="cellIs" dxfId="1201" priority="3278" operator="lessThan">
      <formula>0</formula>
    </cfRule>
  </conditionalFormatting>
  <conditionalFormatting sqref="H86:H1048576">
    <cfRule type="cellIs" dxfId="1200" priority="3074" operator="lessThan">
      <formula>0</formula>
    </cfRule>
  </conditionalFormatting>
  <conditionalFormatting sqref="H86:H1048576">
    <cfRule type="cellIs" dxfId="1199" priority="3073" operator="lessThan">
      <formula>0</formula>
    </cfRule>
  </conditionalFormatting>
  <conditionalFormatting sqref="H86:H1048576">
    <cfRule type="cellIs" dxfId="1198" priority="3072" operator="lessThan">
      <formula>0</formula>
    </cfRule>
  </conditionalFormatting>
  <conditionalFormatting sqref="H86:H1048576">
    <cfRule type="cellIs" dxfId="1197" priority="3071" operator="lessThan">
      <formula>0</formula>
    </cfRule>
  </conditionalFormatting>
  <conditionalFormatting sqref="H86:H1048576">
    <cfRule type="cellIs" dxfId="1196" priority="3070" operator="lessThan">
      <formula>0</formula>
    </cfRule>
  </conditionalFormatting>
  <conditionalFormatting sqref="H86:H1048576">
    <cfRule type="cellIs" dxfId="1195" priority="3069" operator="lessThan">
      <formula>0</formula>
    </cfRule>
  </conditionalFormatting>
  <conditionalFormatting sqref="H86:H1048576">
    <cfRule type="cellIs" dxfId="1194" priority="3068" operator="lessThan">
      <formula>0</formula>
    </cfRule>
  </conditionalFormatting>
  <conditionalFormatting sqref="H86:H1048576">
    <cfRule type="cellIs" dxfId="1193" priority="3067" operator="lessThan">
      <formula>0</formula>
    </cfRule>
  </conditionalFormatting>
  <conditionalFormatting sqref="H86:H1048576">
    <cfRule type="cellIs" dxfId="1192" priority="3066" operator="lessThan">
      <formula>0</formula>
    </cfRule>
  </conditionalFormatting>
  <conditionalFormatting sqref="H86:H1048576">
    <cfRule type="cellIs" dxfId="1191" priority="3065" operator="lessThan">
      <formula>0</formula>
    </cfRule>
  </conditionalFormatting>
  <conditionalFormatting sqref="H86:H1048576">
    <cfRule type="cellIs" dxfId="1190" priority="3064" operator="lessThan">
      <formula>0</formula>
    </cfRule>
  </conditionalFormatting>
  <conditionalFormatting sqref="H86:H1048576">
    <cfRule type="cellIs" dxfId="1189" priority="3063" operator="lessThan">
      <formula>0</formula>
    </cfRule>
  </conditionalFormatting>
  <conditionalFormatting sqref="H86:H1048576">
    <cfRule type="cellIs" dxfId="1188" priority="3062" operator="lessThan">
      <formula>0</formula>
    </cfRule>
  </conditionalFormatting>
  <conditionalFormatting sqref="H86:H1048576">
    <cfRule type="cellIs" dxfId="1187" priority="3061" operator="lessThan">
      <formula>0</formula>
    </cfRule>
  </conditionalFormatting>
  <conditionalFormatting sqref="H86:H1048576">
    <cfRule type="cellIs" dxfId="1186" priority="3060" operator="lessThan">
      <formula>0</formula>
    </cfRule>
  </conditionalFormatting>
  <conditionalFormatting sqref="H86:H1048576">
    <cfRule type="cellIs" dxfId="1185" priority="3059" operator="lessThan">
      <formula>0</formula>
    </cfRule>
  </conditionalFormatting>
  <conditionalFormatting sqref="H86:H1048576">
    <cfRule type="cellIs" dxfId="1184" priority="3058" operator="lessThan">
      <formula>0</formula>
    </cfRule>
  </conditionalFormatting>
  <conditionalFormatting sqref="H86:H1048576">
    <cfRule type="cellIs" dxfId="1183" priority="3057" operator="lessThan">
      <formula>0</formula>
    </cfRule>
  </conditionalFormatting>
  <conditionalFormatting sqref="H86:H1048576">
    <cfRule type="cellIs" dxfId="1182" priority="3056" operator="lessThan">
      <formula>0</formula>
    </cfRule>
  </conditionalFormatting>
  <conditionalFormatting sqref="H86:H1048576">
    <cfRule type="cellIs" dxfId="1181" priority="3055" operator="lessThan">
      <formula>0</formula>
    </cfRule>
  </conditionalFormatting>
  <conditionalFormatting sqref="H86:H1048576">
    <cfRule type="cellIs" dxfId="1180" priority="3054" operator="lessThan">
      <formula>0</formula>
    </cfRule>
  </conditionalFormatting>
  <conditionalFormatting sqref="H86:H1048576">
    <cfRule type="cellIs" dxfId="1179" priority="3053" operator="lessThan">
      <formula>0</formula>
    </cfRule>
  </conditionalFormatting>
  <conditionalFormatting sqref="H86:H1048576">
    <cfRule type="cellIs" dxfId="1178" priority="3052" operator="lessThan">
      <formula>0</formula>
    </cfRule>
  </conditionalFormatting>
  <conditionalFormatting sqref="H86:H1048576">
    <cfRule type="cellIs" dxfId="1177" priority="3051" operator="lessThan">
      <formula>0</formula>
    </cfRule>
  </conditionalFormatting>
  <conditionalFormatting sqref="H86:H1048576">
    <cfRule type="cellIs" dxfId="1176" priority="3050" operator="lessThan">
      <formula>0</formula>
    </cfRule>
  </conditionalFormatting>
  <conditionalFormatting sqref="H86:H1048576">
    <cfRule type="cellIs" dxfId="1175" priority="3049" operator="lessThan">
      <formula>0</formula>
    </cfRule>
  </conditionalFormatting>
  <conditionalFormatting sqref="H86:H1048576">
    <cfRule type="cellIs" dxfId="1174" priority="3048" operator="lessThan">
      <formula>0</formula>
    </cfRule>
  </conditionalFormatting>
  <conditionalFormatting sqref="H86:H1048576">
    <cfRule type="cellIs" dxfId="1173" priority="3047" operator="lessThan">
      <formula>0</formula>
    </cfRule>
  </conditionalFormatting>
  <conditionalFormatting sqref="H86:H1048576">
    <cfRule type="cellIs" dxfId="1172" priority="3046" operator="lessThan">
      <formula>0</formula>
    </cfRule>
  </conditionalFormatting>
  <conditionalFormatting sqref="H86:H1048576">
    <cfRule type="cellIs" dxfId="1171" priority="3045" operator="lessThan">
      <formula>0</formula>
    </cfRule>
  </conditionalFormatting>
  <conditionalFormatting sqref="H86:H1048576">
    <cfRule type="cellIs" dxfId="1170" priority="3044" operator="lessThan">
      <formula>0</formula>
    </cfRule>
  </conditionalFormatting>
  <conditionalFormatting sqref="H86:H1048576">
    <cfRule type="cellIs" dxfId="1169" priority="3043" operator="lessThan">
      <formula>0</formula>
    </cfRule>
  </conditionalFormatting>
  <conditionalFormatting sqref="H86:H1048576">
    <cfRule type="cellIs" dxfId="1168" priority="3042" operator="lessThan">
      <formula>0</formula>
    </cfRule>
  </conditionalFormatting>
  <conditionalFormatting sqref="H86:H1048576">
    <cfRule type="cellIs" dxfId="1167" priority="3041" operator="lessThan">
      <formula>0</formula>
    </cfRule>
  </conditionalFormatting>
  <conditionalFormatting sqref="H86:H1048576">
    <cfRule type="cellIs" dxfId="1166" priority="3040" operator="lessThan">
      <formula>0</formula>
    </cfRule>
  </conditionalFormatting>
  <conditionalFormatting sqref="H86:H1048576">
    <cfRule type="cellIs" dxfId="1165" priority="3039" operator="lessThan">
      <formula>0</formula>
    </cfRule>
  </conditionalFormatting>
  <conditionalFormatting sqref="H86:H1048576">
    <cfRule type="cellIs" dxfId="1164" priority="3038" operator="lessThan">
      <formula>0</formula>
    </cfRule>
  </conditionalFormatting>
  <conditionalFormatting sqref="H86:H1048576">
    <cfRule type="cellIs" dxfId="1163" priority="3037" operator="lessThan">
      <formula>0</formula>
    </cfRule>
  </conditionalFormatting>
  <conditionalFormatting sqref="H86:H1048576">
    <cfRule type="cellIs" dxfId="1162" priority="3036" operator="lessThan">
      <formula>0</formula>
    </cfRule>
  </conditionalFormatting>
  <conditionalFormatting sqref="H86:H1048576">
    <cfRule type="cellIs" dxfId="1161" priority="3035" operator="lessThan">
      <formula>0</formula>
    </cfRule>
  </conditionalFormatting>
  <conditionalFormatting sqref="H86:H1048576">
    <cfRule type="cellIs" dxfId="1160" priority="3034" operator="lessThan">
      <formula>0</formula>
    </cfRule>
  </conditionalFormatting>
  <conditionalFormatting sqref="H86:H1048576">
    <cfRule type="cellIs" dxfId="1159" priority="3033" operator="lessThan">
      <formula>0</formula>
    </cfRule>
  </conditionalFormatting>
  <conditionalFormatting sqref="H86:H1048576">
    <cfRule type="cellIs" dxfId="1158" priority="3032" operator="lessThan">
      <formula>0</formula>
    </cfRule>
  </conditionalFormatting>
  <conditionalFormatting sqref="H86:H1048576">
    <cfRule type="cellIs" dxfId="1157" priority="3031" operator="lessThan">
      <formula>0</formula>
    </cfRule>
  </conditionalFormatting>
  <conditionalFormatting sqref="H86:H1048576">
    <cfRule type="cellIs" dxfId="1156" priority="3030" operator="lessThan">
      <formula>0</formula>
    </cfRule>
  </conditionalFormatting>
  <conditionalFormatting sqref="H86:H1048576">
    <cfRule type="cellIs" dxfId="1155" priority="3029" operator="lessThan">
      <formula>0</formula>
    </cfRule>
  </conditionalFormatting>
  <conditionalFormatting sqref="H86:H1048576">
    <cfRule type="cellIs" dxfId="1154" priority="3028" operator="lessThan">
      <formula>0</formula>
    </cfRule>
  </conditionalFormatting>
  <conditionalFormatting sqref="H86:H1048576">
    <cfRule type="cellIs" dxfId="1153" priority="3027" operator="lessThan">
      <formula>0</formula>
    </cfRule>
  </conditionalFormatting>
  <conditionalFormatting sqref="H86:H1048576">
    <cfRule type="cellIs" dxfId="1152" priority="3026" operator="lessThan">
      <formula>0</formula>
    </cfRule>
  </conditionalFormatting>
  <conditionalFormatting sqref="H86:H1048576">
    <cfRule type="cellIs" dxfId="1151" priority="3025" operator="lessThan">
      <formula>0</formula>
    </cfRule>
  </conditionalFormatting>
  <conditionalFormatting sqref="H86:H1048576">
    <cfRule type="cellIs" dxfId="1150" priority="3024" operator="lessThan">
      <formula>0</formula>
    </cfRule>
  </conditionalFormatting>
  <conditionalFormatting sqref="H86:H1048576">
    <cfRule type="cellIs" dxfId="1149" priority="3023" operator="lessThan">
      <formula>0</formula>
    </cfRule>
  </conditionalFormatting>
  <conditionalFormatting sqref="H86:H1048576">
    <cfRule type="cellIs" dxfId="1148" priority="3022" operator="lessThan">
      <formula>0</formula>
    </cfRule>
  </conditionalFormatting>
  <conditionalFormatting sqref="H86:H1048576">
    <cfRule type="cellIs" dxfId="1147" priority="3021" operator="lessThan">
      <formula>0</formula>
    </cfRule>
  </conditionalFormatting>
  <conditionalFormatting sqref="H86:H1048576">
    <cfRule type="cellIs" dxfId="1146" priority="3020" operator="lessThan">
      <formula>0</formula>
    </cfRule>
  </conditionalFormatting>
  <conditionalFormatting sqref="H86:H1048576">
    <cfRule type="cellIs" dxfId="1145" priority="3019" operator="lessThan">
      <formula>0</formula>
    </cfRule>
  </conditionalFormatting>
  <conditionalFormatting sqref="H86:H1048576">
    <cfRule type="cellIs" dxfId="1144" priority="3018" operator="lessThan">
      <formula>0</formula>
    </cfRule>
  </conditionalFormatting>
  <conditionalFormatting sqref="H86:H1048576">
    <cfRule type="cellIs" dxfId="1143" priority="3017" operator="lessThan">
      <formula>0</formula>
    </cfRule>
  </conditionalFormatting>
  <conditionalFormatting sqref="H86:H1048576">
    <cfRule type="cellIs" dxfId="1142" priority="3016" operator="lessThan">
      <formula>0</formula>
    </cfRule>
  </conditionalFormatting>
  <conditionalFormatting sqref="H86:H1048576">
    <cfRule type="cellIs" dxfId="1141" priority="3015" operator="lessThan">
      <formula>0</formula>
    </cfRule>
  </conditionalFormatting>
  <conditionalFormatting sqref="H86:H1048576">
    <cfRule type="cellIs" dxfId="1140" priority="3014" operator="lessThan">
      <formula>0</formula>
    </cfRule>
  </conditionalFormatting>
  <conditionalFormatting sqref="H86:H1048576">
    <cfRule type="cellIs" dxfId="1139" priority="3013" operator="lessThan">
      <formula>0</formula>
    </cfRule>
  </conditionalFormatting>
  <conditionalFormatting sqref="H86:H1048576">
    <cfRule type="cellIs" dxfId="1138" priority="3012" operator="lessThan">
      <formula>0</formula>
    </cfRule>
  </conditionalFormatting>
  <conditionalFormatting sqref="H86:H1048576">
    <cfRule type="cellIs" dxfId="1137" priority="3011" operator="lessThan">
      <formula>0</formula>
    </cfRule>
  </conditionalFormatting>
  <conditionalFormatting sqref="H86:H1048576">
    <cfRule type="cellIs" dxfId="1136" priority="3010" operator="lessThan">
      <formula>0</formula>
    </cfRule>
  </conditionalFormatting>
  <conditionalFormatting sqref="H86:H1048576">
    <cfRule type="cellIs" dxfId="1135" priority="3009" operator="lessThan">
      <formula>0</formula>
    </cfRule>
  </conditionalFormatting>
  <conditionalFormatting sqref="H86:H1048576">
    <cfRule type="cellIs" dxfId="1134" priority="3008" operator="lessThan">
      <formula>0</formula>
    </cfRule>
  </conditionalFormatting>
  <conditionalFormatting sqref="H86:H1048576">
    <cfRule type="cellIs" dxfId="1133" priority="3007" operator="lessThan">
      <formula>0</formula>
    </cfRule>
  </conditionalFormatting>
  <conditionalFormatting sqref="H86:H1048576">
    <cfRule type="cellIs" dxfId="1132" priority="3006" operator="lessThan">
      <formula>0</formula>
    </cfRule>
  </conditionalFormatting>
  <conditionalFormatting sqref="H86:H1048576">
    <cfRule type="cellIs" dxfId="1131" priority="3005" operator="lessThan">
      <formula>0</formula>
    </cfRule>
  </conditionalFormatting>
  <conditionalFormatting sqref="H86:H1048576">
    <cfRule type="cellIs" dxfId="1130" priority="3004" operator="lessThan">
      <formula>0</formula>
    </cfRule>
  </conditionalFormatting>
  <conditionalFormatting sqref="H86:H1048576">
    <cfRule type="cellIs" dxfId="1129" priority="3003" operator="lessThan">
      <formula>0</formula>
    </cfRule>
  </conditionalFormatting>
  <conditionalFormatting sqref="H86:H1048576">
    <cfRule type="cellIs" dxfId="1128" priority="3002" operator="lessThan">
      <formula>0</formula>
    </cfRule>
  </conditionalFormatting>
  <conditionalFormatting sqref="H86:H1048576">
    <cfRule type="cellIs" dxfId="1127" priority="3001" operator="lessThan">
      <formula>0</formula>
    </cfRule>
  </conditionalFormatting>
  <conditionalFormatting sqref="H86:H1048576">
    <cfRule type="cellIs" dxfId="1126" priority="3000" operator="lessThan">
      <formula>0</formula>
    </cfRule>
  </conditionalFormatting>
  <conditionalFormatting sqref="H86:H1048576">
    <cfRule type="cellIs" dxfId="1125" priority="2999" operator="lessThan">
      <formula>0</formula>
    </cfRule>
  </conditionalFormatting>
  <conditionalFormatting sqref="H86:H1048576">
    <cfRule type="cellIs" dxfId="1124" priority="2998" operator="lessThan">
      <formula>0</formula>
    </cfRule>
  </conditionalFormatting>
  <conditionalFormatting sqref="H86:H1048576">
    <cfRule type="cellIs" dxfId="1123" priority="2997" operator="lessThan">
      <formula>0</formula>
    </cfRule>
  </conditionalFormatting>
  <conditionalFormatting sqref="H86:H1048576">
    <cfRule type="cellIs" dxfId="1122" priority="2996" operator="lessThan">
      <formula>0</formula>
    </cfRule>
  </conditionalFormatting>
  <conditionalFormatting sqref="H86:H1048576">
    <cfRule type="cellIs" dxfId="1121" priority="2995" operator="lessThan">
      <formula>0</formula>
    </cfRule>
  </conditionalFormatting>
  <conditionalFormatting sqref="H86:H1048576">
    <cfRule type="cellIs" dxfId="1120" priority="2994" operator="lessThan">
      <formula>0</formula>
    </cfRule>
  </conditionalFormatting>
  <conditionalFormatting sqref="H86:H1048576">
    <cfRule type="cellIs" dxfId="1119" priority="2993" operator="lessThan">
      <formula>0</formula>
    </cfRule>
  </conditionalFormatting>
  <conditionalFormatting sqref="H86:H1048576">
    <cfRule type="cellIs" dxfId="1118" priority="2992" operator="lessThan">
      <formula>0</formula>
    </cfRule>
  </conditionalFormatting>
  <conditionalFormatting sqref="H86:H1048576">
    <cfRule type="cellIs" dxfId="1117" priority="2991" operator="lessThan">
      <formula>0</formula>
    </cfRule>
  </conditionalFormatting>
  <conditionalFormatting sqref="H86:H1048576">
    <cfRule type="cellIs" dxfId="1116" priority="2990" operator="lessThan">
      <formula>0</formula>
    </cfRule>
  </conditionalFormatting>
  <conditionalFormatting sqref="H86:H1048576">
    <cfRule type="cellIs" dxfId="1115" priority="2989" operator="lessThan">
      <formula>0</formula>
    </cfRule>
  </conditionalFormatting>
  <conditionalFormatting sqref="H86:H1048576">
    <cfRule type="cellIs" dxfId="1114" priority="2988" operator="lessThan">
      <formula>0</formula>
    </cfRule>
  </conditionalFormatting>
  <conditionalFormatting sqref="H86:H1048576">
    <cfRule type="cellIs" dxfId="1113" priority="2987" operator="lessThan">
      <formula>0</formula>
    </cfRule>
  </conditionalFormatting>
  <conditionalFormatting sqref="H86:H1048576">
    <cfRule type="cellIs" dxfId="1112" priority="2986" operator="lessThan">
      <formula>0</formula>
    </cfRule>
  </conditionalFormatting>
  <conditionalFormatting sqref="H86:H1048576">
    <cfRule type="cellIs" dxfId="1111" priority="2985" operator="lessThan">
      <formula>0</formula>
    </cfRule>
  </conditionalFormatting>
  <conditionalFormatting sqref="H86:H1048576">
    <cfRule type="cellIs" dxfId="1110" priority="2984" operator="lessThan">
      <formula>0</formula>
    </cfRule>
  </conditionalFormatting>
  <conditionalFormatting sqref="H86:H1048576">
    <cfRule type="cellIs" dxfId="1109" priority="2983" operator="lessThan">
      <formula>0</formula>
    </cfRule>
  </conditionalFormatting>
  <conditionalFormatting sqref="H86:H1048576">
    <cfRule type="cellIs" dxfId="1108" priority="2982" operator="lessThan">
      <formula>0</formula>
    </cfRule>
  </conditionalFormatting>
  <conditionalFormatting sqref="H86:H1048576">
    <cfRule type="cellIs" dxfId="1107" priority="2981" operator="lessThan">
      <formula>0</formula>
    </cfRule>
  </conditionalFormatting>
  <conditionalFormatting sqref="H86:H1048576">
    <cfRule type="cellIs" dxfId="1106" priority="2980" operator="lessThan">
      <formula>0</formula>
    </cfRule>
  </conditionalFormatting>
  <conditionalFormatting sqref="H86:H1048576">
    <cfRule type="cellIs" dxfId="1105" priority="2979" operator="lessThan">
      <formula>0</formula>
    </cfRule>
  </conditionalFormatting>
  <conditionalFormatting sqref="H86:H1048576">
    <cfRule type="cellIs" dxfId="1104" priority="2978" operator="lessThan">
      <formula>0</formula>
    </cfRule>
  </conditionalFormatting>
  <conditionalFormatting sqref="H86:H1048576">
    <cfRule type="cellIs" dxfId="1103" priority="2977" operator="lessThan">
      <formula>0</formula>
    </cfRule>
  </conditionalFormatting>
  <conditionalFormatting sqref="H86:H1048576">
    <cfRule type="cellIs" dxfId="1102" priority="2976" operator="lessThan">
      <formula>0</formula>
    </cfRule>
  </conditionalFormatting>
  <conditionalFormatting sqref="H86:H1048576">
    <cfRule type="cellIs" dxfId="1101" priority="2975" operator="lessThan">
      <formula>0</formula>
    </cfRule>
  </conditionalFormatting>
  <conditionalFormatting sqref="H86:H1048576">
    <cfRule type="cellIs" dxfId="1100" priority="2974" operator="lessThan">
      <formula>0</formula>
    </cfRule>
  </conditionalFormatting>
  <conditionalFormatting sqref="H86:H1048576">
    <cfRule type="cellIs" dxfId="1099" priority="2973" operator="lessThan">
      <formula>0</formula>
    </cfRule>
  </conditionalFormatting>
  <conditionalFormatting sqref="H86:H1048576">
    <cfRule type="cellIs" dxfId="1098" priority="2972" operator="lessThan">
      <formula>0</formula>
    </cfRule>
  </conditionalFormatting>
  <conditionalFormatting sqref="H86:H1048576">
    <cfRule type="cellIs" dxfId="1097" priority="2971" operator="lessThan">
      <formula>0</formula>
    </cfRule>
  </conditionalFormatting>
  <conditionalFormatting sqref="H86:H1048576">
    <cfRule type="cellIs" dxfId="1096" priority="2970" operator="lessThan">
      <formula>0</formula>
    </cfRule>
  </conditionalFormatting>
  <conditionalFormatting sqref="H86:H1048576">
    <cfRule type="cellIs" dxfId="1095" priority="2969" operator="lessThan">
      <formula>0</formula>
    </cfRule>
  </conditionalFormatting>
  <conditionalFormatting sqref="H86:H1048576">
    <cfRule type="cellIs" dxfId="1094" priority="2968" operator="lessThan">
      <formula>0</formula>
    </cfRule>
  </conditionalFormatting>
  <conditionalFormatting sqref="H86:H1048576">
    <cfRule type="cellIs" dxfId="1093" priority="2967" operator="lessThan">
      <formula>0</formula>
    </cfRule>
  </conditionalFormatting>
  <conditionalFormatting sqref="H86:H1048576">
    <cfRule type="cellIs" dxfId="1092" priority="2966" operator="lessThan">
      <formula>0</formula>
    </cfRule>
  </conditionalFormatting>
  <conditionalFormatting sqref="H86:H1048576">
    <cfRule type="cellIs" dxfId="1091" priority="2965" operator="lessThan">
      <formula>0</formula>
    </cfRule>
  </conditionalFormatting>
  <conditionalFormatting sqref="H86:H1048576">
    <cfRule type="cellIs" dxfId="1090" priority="2964" operator="lessThan">
      <formula>0</formula>
    </cfRule>
  </conditionalFormatting>
  <conditionalFormatting sqref="H86:H1048576">
    <cfRule type="cellIs" dxfId="1089" priority="2963" operator="lessThan">
      <formula>0</formula>
    </cfRule>
  </conditionalFormatting>
  <conditionalFormatting sqref="H86:H1048576">
    <cfRule type="cellIs" dxfId="1088" priority="2962" operator="lessThan">
      <formula>0</formula>
    </cfRule>
  </conditionalFormatting>
  <conditionalFormatting sqref="H86:H1048576">
    <cfRule type="cellIs" dxfId="1087" priority="2961" operator="lessThan">
      <formula>0</formula>
    </cfRule>
  </conditionalFormatting>
  <conditionalFormatting sqref="H86:H1048576">
    <cfRule type="cellIs" dxfId="1086" priority="2960" operator="lessThan">
      <formula>0</formula>
    </cfRule>
  </conditionalFormatting>
  <conditionalFormatting sqref="H86:H1048576">
    <cfRule type="cellIs" dxfId="1085" priority="2959" operator="lessThan">
      <formula>0</formula>
    </cfRule>
  </conditionalFormatting>
  <conditionalFormatting sqref="H86:H1048576">
    <cfRule type="cellIs" dxfId="1084" priority="2958" operator="lessThan">
      <formula>0</formula>
    </cfRule>
  </conditionalFormatting>
  <conditionalFormatting sqref="H86:H1048576">
    <cfRule type="cellIs" dxfId="1083" priority="2957" operator="lessThan">
      <formula>0</formula>
    </cfRule>
  </conditionalFormatting>
  <conditionalFormatting sqref="H86:H1048576">
    <cfRule type="cellIs" dxfId="1082" priority="2956" operator="lessThan">
      <formula>0</formula>
    </cfRule>
  </conditionalFormatting>
  <conditionalFormatting sqref="H86:H1048576">
    <cfRule type="cellIs" dxfId="1081" priority="2955" operator="lessThan">
      <formula>0</formula>
    </cfRule>
  </conditionalFormatting>
  <conditionalFormatting sqref="H86:H1048576">
    <cfRule type="cellIs" dxfId="1080" priority="2954" operator="lessThan">
      <formula>0</formula>
    </cfRule>
  </conditionalFormatting>
  <conditionalFormatting sqref="H86:H1048576">
    <cfRule type="cellIs" dxfId="1079" priority="2953" operator="lessThan">
      <formula>0</formula>
    </cfRule>
  </conditionalFormatting>
  <conditionalFormatting sqref="H86:H1048576">
    <cfRule type="cellIs" dxfId="1078" priority="2952" operator="lessThan">
      <formula>0</formula>
    </cfRule>
  </conditionalFormatting>
  <conditionalFormatting sqref="H86:H1048576">
    <cfRule type="cellIs" dxfId="1077" priority="2951" operator="lessThan">
      <formula>0</formula>
    </cfRule>
  </conditionalFormatting>
  <conditionalFormatting sqref="H86:H1048576">
    <cfRule type="cellIs" dxfId="1076" priority="2950" operator="lessThan">
      <formula>0</formula>
    </cfRule>
  </conditionalFormatting>
  <conditionalFormatting sqref="H86:H1048576">
    <cfRule type="cellIs" dxfId="1075" priority="2949" operator="lessThan">
      <formula>0</formula>
    </cfRule>
  </conditionalFormatting>
  <conditionalFormatting sqref="H86:H1048576">
    <cfRule type="cellIs" dxfId="1074" priority="2948" operator="lessThan">
      <formula>0</formula>
    </cfRule>
  </conditionalFormatting>
  <conditionalFormatting sqref="H86:H1048576">
    <cfRule type="cellIs" dxfId="1073" priority="2947" operator="lessThan">
      <formula>0</formula>
    </cfRule>
  </conditionalFormatting>
  <conditionalFormatting sqref="H86:H1048576">
    <cfRule type="cellIs" dxfId="1072" priority="2946" operator="lessThan">
      <formula>0</formula>
    </cfRule>
  </conditionalFormatting>
  <conditionalFormatting sqref="H86:H1048576">
    <cfRule type="cellIs" dxfId="1071" priority="2945" operator="lessThan">
      <formula>0</formula>
    </cfRule>
  </conditionalFormatting>
  <conditionalFormatting sqref="H86:H1048576">
    <cfRule type="cellIs" dxfId="1070" priority="2944" operator="lessThan">
      <formula>0</formula>
    </cfRule>
  </conditionalFormatting>
  <conditionalFormatting sqref="H86:H1048576">
    <cfRule type="cellIs" dxfId="1069" priority="2943" operator="lessThan">
      <formula>0</formula>
    </cfRule>
  </conditionalFormatting>
  <conditionalFormatting sqref="H86:H1048576">
    <cfRule type="cellIs" dxfId="1068" priority="2942" operator="lessThan">
      <formula>0</formula>
    </cfRule>
  </conditionalFormatting>
  <conditionalFormatting sqref="H86:H1048576">
    <cfRule type="cellIs" dxfId="1067" priority="2941" operator="lessThan">
      <formula>0</formula>
    </cfRule>
  </conditionalFormatting>
  <conditionalFormatting sqref="H86:H1048576">
    <cfRule type="cellIs" dxfId="1066" priority="2940" operator="lessThan">
      <formula>0</formula>
    </cfRule>
  </conditionalFormatting>
  <conditionalFormatting sqref="H86:H1048576">
    <cfRule type="cellIs" dxfId="1065" priority="2939" operator="lessThan">
      <formula>0</formula>
    </cfRule>
  </conditionalFormatting>
  <conditionalFormatting sqref="H86:H1048576">
    <cfRule type="cellIs" dxfId="1064" priority="2938" operator="lessThan">
      <formula>0</formula>
    </cfRule>
  </conditionalFormatting>
  <conditionalFormatting sqref="H86:H1048576">
    <cfRule type="cellIs" dxfId="1063" priority="2937" operator="lessThan">
      <formula>0</formula>
    </cfRule>
  </conditionalFormatting>
  <conditionalFormatting sqref="H86:H1048576">
    <cfRule type="cellIs" dxfId="1062" priority="2936" operator="lessThan">
      <formula>0</formula>
    </cfRule>
  </conditionalFormatting>
  <conditionalFormatting sqref="H86:H1048576">
    <cfRule type="cellIs" dxfId="1061" priority="2935" operator="lessThan">
      <formula>0</formula>
    </cfRule>
  </conditionalFormatting>
  <conditionalFormatting sqref="H86:H1048576">
    <cfRule type="cellIs" dxfId="1060" priority="2934" operator="lessThan">
      <formula>0</formula>
    </cfRule>
  </conditionalFormatting>
  <conditionalFormatting sqref="H86:H1048576">
    <cfRule type="cellIs" dxfId="1059" priority="2933" operator="lessThan">
      <formula>0</formula>
    </cfRule>
  </conditionalFormatting>
  <conditionalFormatting sqref="H86:H1048576">
    <cfRule type="cellIs" dxfId="1058" priority="2932" operator="lessThan">
      <formula>0</formula>
    </cfRule>
  </conditionalFormatting>
  <conditionalFormatting sqref="H86:H1048576">
    <cfRule type="cellIs" dxfId="1057" priority="2931" operator="lessThan">
      <formula>0</formula>
    </cfRule>
  </conditionalFormatting>
  <conditionalFormatting sqref="H86:H1048576">
    <cfRule type="cellIs" dxfId="1056" priority="2930" operator="lessThan">
      <formula>0</formula>
    </cfRule>
  </conditionalFormatting>
  <conditionalFormatting sqref="H86:H1048576">
    <cfRule type="cellIs" dxfId="1055" priority="2929" operator="lessThan">
      <formula>0</formula>
    </cfRule>
  </conditionalFormatting>
  <conditionalFormatting sqref="H86:H1048576">
    <cfRule type="cellIs" dxfId="1054" priority="2928" operator="lessThan">
      <formula>0</formula>
    </cfRule>
  </conditionalFormatting>
  <conditionalFormatting sqref="H86:H1048576">
    <cfRule type="cellIs" dxfId="1053" priority="2927" operator="lessThan">
      <formula>0</formula>
    </cfRule>
  </conditionalFormatting>
  <conditionalFormatting sqref="H86:H1048576">
    <cfRule type="cellIs" dxfId="1052" priority="2926" operator="lessThan">
      <formula>0</formula>
    </cfRule>
  </conditionalFormatting>
  <conditionalFormatting sqref="H86:H1048576">
    <cfRule type="cellIs" dxfId="1051" priority="2925" operator="lessThan">
      <formula>0</formula>
    </cfRule>
  </conditionalFormatting>
  <conditionalFormatting sqref="H86:H1048576">
    <cfRule type="cellIs" dxfId="1050" priority="2924" operator="lessThan">
      <formula>0</formula>
    </cfRule>
  </conditionalFormatting>
  <conditionalFormatting sqref="H86:H1048576">
    <cfRule type="cellIs" dxfId="1049" priority="2923" operator="lessThan">
      <formula>0</formula>
    </cfRule>
  </conditionalFormatting>
  <conditionalFormatting sqref="H86:H1048576">
    <cfRule type="cellIs" dxfId="1048" priority="2922" operator="lessThan">
      <formula>0</formula>
    </cfRule>
  </conditionalFormatting>
  <conditionalFormatting sqref="H86:H1048576">
    <cfRule type="cellIs" dxfId="1047" priority="2921" operator="lessThan">
      <formula>0</formula>
    </cfRule>
  </conditionalFormatting>
  <conditionalFormatting sqref="H86:H1048576">
    <cfRule type="cellIs" dxfId="1046" priority="2920" operator="lessThan">
      <formula>0</formula>
    </cfRule>
  </conditionalFormatting>
  <conditionalFormatting sqref="H86:H1048576">
    <cfRule type="cellIs" dxfId="1045" priority="2919" operator="lessThan">
      <formula>0</formula>
    </cfRule>
  </conditionalFormatting>
  <conditionalFormatting sqref="H86:H1048576">
    <cfRule type="cellIs" dxfId="1044" priority="2918" operator="lessThan">
      <formula>0</formula>
    </cfRule>
  </conditionalFormatting>
  <conditionalFormatting sqref="H86:H1048576">
    <cfRule type="cellIs" dxfId="1043" priority="2917" operator="lessThan">
      <formula>0</formula>
    </cfRule>
  </conditionalFormatting>
  <conditionalFormatting sqref="H86:H1048576">
    <cfRule type="cellIs" dxfId="1042" priority="2916" operator="lessThan">
      <formula>0</formula>
    </cfRule>
  </conditionalFormatting>
  <conditionalFormatting sqref="H86:H1048576">
    <cfRule type="cellIs" dxfId="1041" priority="2915" operator="lessThan">
      <formula>0</formula>
    </cfRule>
  </conditionalFormatting>
  <conditionalFormatting sqref="H86:H1048576">
    <cfRule type="cellIs" dxfId="1040" priority="2914" operator="lessThan">
      <formula>0</formula>
    </cfRule>
  </conditionalFormatting>
  <conditionalFormatting sqref="H86:H1048576">
    <cfRule type="cellIs" dxfId="1039" priority="2913" operator="lessThan">
      <formula>0</formula>
    </cfRule>
  </conditionalFormatting>
  <conditionalFormatting sqref="H86:H1048576">
    <cfRule type="cellIs" dxfId="1038" priority="2912" operator="lessThan">
      <formula>0</formula>
    </cfRule>
  </conditionalFormatting>
  <conditionalFormatting sqref="H86:H1048576">
    <cfRule type="cellIs" dxfId="1037" priority="2911" operator="lessThan">
      <formula>0</formula>
    </cfRule>
  </conditionalFormatting>
  <conditionalFormatting sqref="H86:H1048576">
    <cfRule type="cellIs" dxfId="1036" priority="2910" operator="lessThan">
      <formula>0</formula>
    </cfRule>
  </conditionalFormatting>
  <conditionalFormatting sqref="H86:H1048576">
    <cfRule type="cellIs" dxfId="1035" priority="2909" operator="lessThan">
      <formula>0</formula>
    </cfRule>
  </conditionalFormatting>
  <conditionalFormatting sqref="H86:H1048576">
    <cfRule type="cellIs" dxfId="1034" priority="2908" operator="lessThan">
      <formula>0</formula>
    </cfRule>
  </conditionalFormatting>
  <conditionalFormatting sqref="H86:H1048576">
    <cfRule type="cellIs" dxfId="1033" priority="2907" operator="lessThan">
      <formula>0</formula>
    </cfRule>
  </conditionalFormatting>
  <conditionalFormatting sqref="H86:H1048576">
    <cfRule type="cellIs" dxfId="1032" priority="2906" operator="lessThan">
      <formula>0</formula>
    </cfRule>
  </conditionalFormatting>
  <conditionalFormatting sqref="H86:H1048576">
    <cfRule type="cellIs" dxfId="1031" priority="2905" operator="lessThan">
      <formula>0</formula>
    </cfRule>
  </conditionalFormatting>
  <conditionalFormatting sqref="H86:H1048576">
    <cfRule type="cellIs" dxfId="1030" priority="2904" operator="lessThan">
      <formula>0</formula>
    </cfRule>
  </conditionalFormatting>
  <conditionalFormatting sqref="H86:H1048576">
    <cfRule type="cellIs" dxfId="1029" priority="2903" operator="lessThan">
      <formula>0</formula>
    </cfRule>
  </conditionalFormatting>
  <conditionalFormatting sqref="H86:H1048576">
    <cfRule type="cellIs" dxfId="1028" priority="2902" operator="lessThan">
      <formula>0</formula>
    </cfRule>
  </conditionalFormatting>
  <conditionalFormatting sqref="H86:H1048576">
    <cfRule type="cellIs" dxfId="1027" priority="2901" operator="lessThan">
      <formula>0</formula>
    </cfRule>
  </conditionalFormatting>
  <conditionalFormatting sqref="H86:H1048576">
    <cfRule type="cellIs" dxfId="1026" priority="2900" operator="lessThan">
      <formula>0</formula>
    </cfRule>
  </conditionalFormatting>
  <conditionalFormatting sqref="H86:H1048576">
    <cfRule type="cellIs" dxfId="1025" priority="2899" operator="lessThan">
      <formula>0</formula>
    </cfRule>
  </conditionalFormatting>
  <conditionalFormatting sqref="H86:H1048576">
    <cfRule type="cellIs" dxfId="1024" priority="2898" operator="lessThan">
      <formula>0</formula>
    </cfRule>
  </conditionalFormatting>
  <conditionalFormatting sqref="H86:H1048576">
    <cfRule type="cellIs" dxfId="1023" priority="2897" operator="lessThan">
      <formula>0</formula>
    </cfRule>
  </conditionalFormatting>
  <conditionalFormatting sqref="H86:H1048576">
    <cfRule type="cellIs" dxfId="1022" priority="2896" operator="lessThan">
      <formula>0</formula>
    </cfRule>
  </conditionalFormatting>
  <conditionalFormatting sqref="H86:H1048576">
    <cfRule type="cellIs" dxfId="1021" priority="2895" operator="lessThan">
      <formula>0</formula>
    </cfRule>
  </conditionalFormatting>
  <conditionalFormatting sqref="H86:H1048576">
    <cfRule type="cellIs" dxfId="1020" priority="2894" operator="lessThan">
      <formula>0</formula>
    </cfRule>
  </conditionalFormatting>
  <conditionalFormatting sqref="H86:H1048576">
    <cfRule type="cellIs" dxfId="1019" priority="2893" operator="lessThan">
      <formula>0</formula>
    </cfRule>
  </conditionalFormatting>
  <conditionalFormatting sqref="H86:H1048576">
    <cfRule type="cellIs" dxfId="1018" priority="2892" operator="lessThan">
      <formula>0</formula>
    </cfRule>
  </conditionalFormatting>
  <conditionalFormatting sqref="H86:H1048576">
    <cfRule type="cellIs" dxfId="1017" priority="2891" operator="lessThan">
      <formula>0</formula>
    </cfRule>
  </conditionalFormatting>
  <conditionalFormatting sqref="H86:H1048576">
    <cfRule type="cellIs" dxfId="1016" priority="2890" operator="lessThan">
      <formula>0</formula>
    </cfRule>
  </conditionalFormatting>
  <conditionalFormatting sqref="H86:H1048576">
    <cfRule type="cellIs" dxfId="1015" priority="2889" operator="lessThan">
      <formula>0</formula>
    </cfRule>
  </conditionalFormatting>
  <conditionalFormatting sqref="H86:H1048576">
    <cfRule type="cellIs" dxfId="1014" priority="2888" operator="lessThan">
      <formula>0</formula>
    </cfRule>
  </conditionalFormatting>
  <conditionalFormatting sqref="H86:H1048576">
    <cfRule type="cellIs" dxfId="1013" priority="2887" operator="lessThan">
      <formula>0</formula>
    </cfRule>
  </conditionalFormatting>
  <conditionalFormatting sqref="H86:H1048576">
    <cfRule type="cellIs" dxfId="1012" priority="2886" operator="lessThan">
      <formula>0</formula>
    </cfRule>
  </conditionalFormatting>
  <conditionalFormatting sqref="H86:H1048576">
    <cfRule type="cellIs" dxfId="1011" priority="2885" operator="lessThan">
      <formula>0</formula>
    </cfRule>
  </conditionalFormatting>
  <conditionalFormatting sqref="H86:H1048576">
    <cfRule type="cellIs" dxfId="1010" priority="2884" operator="lessThan">
      <formula>0</formula>
    </cfRule>
  </conditionalFormatting>
  <conditionalFormatting sqref="H86:H1048576">
    <cfRule type="cellIs" dxfId="1009" priority="2883" operator="lessThan">
      <formula>0</formula>
    </cfRule>
  </conditionalFormatting>
  <conditionalFormatting sqref="H86:H1048576">
    <cfRule type="cellIs" dxfId="1008" priority="2882" operator="lessThan">
      <formula>0</formula>
    </cfRule>
  </conditionalFormatting>
  <conditionalFormatting sqref="H86:H1048576">
    <cfRule type="cellIs" dxfId="1007" priority="2881" operator="lessThan">
      <formula>0</formula>
    </cfRule>
  </conditionalFormatting>
  <conditionalFormatting sqref="H86:H1048576">
    <cfRule type="cellIs" dxfId="1006" priority="2880" operator="lessThan">
      <formula>0</formula>
    </cfRule>
  </conditionalFormatting>
  <conditionalFormatting sqref="H86:H1048576">
    <cfRule type="cellIs" dxfId="1005" priority="2879" operator="lessThan">
      <formula>0</formula>
    </cfRule>
  </conditionalFormatting>
  <conditionalFormatting sqref="H86:H1048576">
    <cfRule type="cellIs" dxfId="1004" priority="2878" operator="lessThan">
      <formula>0</formula>
    </cfRule>
  </conditionalFormatting>
  <conditionalFormatting sqref="H86:H1048576">
    <cfRule type="cellIs" dxfId="1003" priority="2877" operator="lessThan">
      <formula>0</formula>
    </cfRule>
  </conditionalFormatting>
  <conditionalFormatting sqref="H86:H1048576">
    <cfRule type="cellIs" dxfId="1002" priority="2876" operator="lessThan">
      <formula>0</formula>
    </cfRule>
  </conditionalFormatting>
  <conditionalFormatting sqref="H86:H1048576">
    <cfRule type="cellIs" dxfId="1001" priority="2875" operator="lessThan">
      <formula>0</formula>
    </cfRule>
  </conditionalFormatting>
  <conditionalFormatting sqref="H86:H1048576">
    <cfRule type="cellIs" dxfId="1000" priority="2874" operator="lessThan">
      <formula>0</formula>
    </cfRule>
  </conditionalFormatting>
  <conditionalFormatting sqref="H86:H1048576">
    <cfRule type="cellIs" dxfId="999" priority="2873" operator="lessThan">
      <formula>0</formula>
    </cfRule>
  </conditionalFormatting>
  <conditionalFormatting sqref="H86:H1048576">
    <cfRule type="cellIs" dxfId="998" priority="2872" operator="lessThan">
      <formula>0</formula>
    </cfRule>
  </conditionalFormatting>
  <conditionalFormatting sqref="H86:H1048576">
    <cfRule type="cellIs" dxfId="997" priority="2871" operator="lessThan">
      <formula>0</formula>
    </cfRule>
  </conditionalFormatting>
  <conditionalFormatting sqref="H86:H1048576">
    <cfRule type="cellIs" dxfId="996" priority="2870" operator="lessThan">
      <formula>0</formula>
    </cfRule>
  </conditionalFormatting>
  <conditionalFormatting sqref="H86:H1048576">
    <cfRule type="cellIs" dxfId="995" priority="2869" operator="lessThan">
      <formula>0</formula>
    </cfRule>
  </conditionalFormatting>
  <conditionalFormatting sqref="H86:H1048576">
    <cfRule type="cellIs" dxfId="994" priority="2868" operator="lessThan">
      <formula>0</formula>
    </cfRule>
  </conditionalFormatting>
  <conditionalFormatting sqref="H86:H1048576">
    <cfRule type="cellIs" dxfId="993" priority="2867" operator="lessThan">
      <formula>0</formula>
    </cfRule>
  </conditionalFormatting>
  <conditionalFormatting sqref="H86:H1048576">
    <cfRule type="cellIs" dxfId="992" priority="2866" operator="lessThan">
      <formula>0</formula>
    </cfRule>
  </conditionalFormatting>
  <conditionalFormatting sqref="H86:H1048576">
    <cfRule type="cellIs" dxfId="991" priority="2865" operator="lessThan">
      <formula>0</formula>
    </cfRule>
  </conditionalFormatting>
  <conditionalFormatting sqref="H86:H1048576">
    <cfRule type="cellIs" dxfId="990" priority="2864" operator="lessThan">
      <formula>0</formula>
    </cfRule>
  </conditionalFormatting>
  <conditionalFormatting sqref="H86:H1048576">
    <cfRule type="cellIs" dxfId="989" priority="2863" operator="lessThan">
      <formula>0</formula>
    </cfRule>
  </conditionalFormatting>
  <conditionalFormatting sqref="H86:H1048576">
    <cfRule type="cellIs" dxfId="988" priority="2862" operator="lessThan">
      <formula>0</formula>
    </cfRule>
  </conditionalFormatting>
  <conditionalFormatting sqref="H86:H1048576">
    <cfRule type="cellIs" dxfId="987" priority="2861" operator="lessThan">
      <formula>0</formula>
    </cfRule>
  </conditionalFormatting>
  <conditionalFormatting sqref="H86:H1048576">
    <cfRule type="cellIs" dxfId="986" priority="2860" operator="lessThan">
      <formula>0</formula>
    </cfRule>
  </conditionalFormatting>
  <conditionalFormatting sqref="H86:H1048576">
    <cfRule type="cellIs" dxfId="985" priority="2859" operator="lessThan">
      <formula>0</formula>
    </cfRule>
  </conditionalFormatting>
  <conditionalFormatting sqref="H86:H1048576">
    <cfRule type="cellIs" dxfId="984" priority="2858" operator="lessThan">
      <formula>0</formula>
    </cfRule>
  </conditionalFormatting>
  <conditionalFormatting sqref="H86:H1048576">
    <cfRule type="cellIs" dxfId="983" priority="2857" operator="lessThan">
      <formula>0</formula>
    </cfRule>
  </conditionalFormatting>
  <conditionalFormatting sqref="H86:H1048576">
    <cfRule type="cellIs" dxfId="982" priority="2856" operator="lessThan">
      <formula>0</formula>
    </cfRule>
  </conditionalFormatting>
  <conditionalFormatting sqref="H86:H1048576">
    <cfRule type="cellIs" dxfId="981" priority="2855" operator="lessThan">
      <formula>0</formula>
    </cfRule>
  </conditionalFormatting>
  <conditionalFormatting sqref="H86:H1048576">
    <cfRule type="cellIs" dxfId="980" priority="2854" operator="lessThan">
      <formula>0</formula>
    </cfRule>
  </conditionalFormatting>
  <conditionalFormatting sqref="H86:H1048576">
    <cfRule type="cellIs" dxfId="979" priority="2853" operator="lessThan">
      <formula>0</formula>
    </cfRule>
  </conditionalFormatting>
  <conditionalFormatting sqref="H86:H1048576">
    <cfRule type="cellIs" dxfId="978" priority="2852" operator="lessThan">
      <formula>0</formula>
    </cfRule>
  </conditionalFormatting>
  <conditionalFormatting sqref="H86:H1048576">
    <cfRule type="cellIs" dxfId="977" priority="2851" operator="lessThan">
      <formula>0</formula>
    </cfRule>
  </conditionalFormatting>
  <conditionalFormatting sqref="H86:H1048576">
    <cfRule type="cellIs" dxfId="976" priority="2850" operator="lessThan">
      <formula>0</formula>
    </cfRule>
  </conditionalFormatting>
  <conditionalFormatting sqref="H86:H1048576">
    <cfRule type="cellIs" dxfId="975" priority="2849" operator="lessThan">
      <formula>0</formula>
    </cfRule>
  </conditionalFormatting>
  <conditionalFormatting sqref="H86:H1048576">
    <cfRule type="cellIs" dxfId="974" priority="2848" operator="lessThan">
      <formula>0</formula>
    </cfRule>
  </conditionalFormatting>
  <conditionalFormatting sqref="H86:H1048576">
    <cfRule type="cellIs" dxfId="973" priority="2847" operator="lessThan">
      <formula>0</formula>
    </cfRule>
  </conditionalFormatting>
  <conditionalFormatting sqref="H86:H1048576">
    <cfRule type="cellIs" dxfId="972" priority="2846" operator="lessThan">
      <formula>0</formula>
    </cfRule>
  </conditionalFormatting>
  <conditionalFormatting sqref="H86:H1048576">
    <cfRule type="cellIs" dxfId="971" priority="2845" operator="lessThan">
      <formula>0</formula>
    </cfRule>
  </conditionalFormatting>
  <conditionalFormatting sqref="H86:H1048576">
    <cfRule type="cellIs" dxfId="970" priority="2844" operator="lessThan">
      <formula>0</formula>
    </cfRule>
  </conditionalFormatting>
  <conditionalFormatting sqref="H86:H1048576">
    <cfRule type="cellIs" dxfId="969" priority="2843" operator="lessThan">
      <formula>0</formula>
    </cfRule>
  </conditionalFormatting>
  <conditionalFormatting sqref="H86:H1048576">
    <cfRule type="cellIs" dxfId="968" priority="2842" operator="lessThan">
      <formula>0</formula>
    </cfRule>
  </conditionalFormatting>
  <conditionalFormatting sqref="H86:H1048576">
    <cfRule type="cellIs" dxfId="967" priority="2841" operator="lessThan">
      <formula>0</formula>
    </cfRule>
  </conditionalFormatting>
  <conditionalFormatting sqref="H86:H1048576">
    <cfRule type="cellIs" dxfId="966" priority="2840" operator="lessThan">
      <formula>0</formula>
    </cfRule>
  </conditionalFormatting>
  <conditionalFormatting sqref="H86:H1048576">
    <cfRule type="cellIs" dxfId="965" priority="2839" operator="lessThan">
      <formula>0</formula>
    </cfRule>
  </conditionalFormatting>
  <conditionalFormatting sqref="H86:H1048576">
    <cfRule type="cellIs" dxfId="964" priority="2838" operator="lessThan">
      <formula>0</formula>
    </cfRule>
  </conditionalFormatting>
  <conditionalFormatting sqref="H86:H1048576">
    <cfRule type="cellIs" dxfId="963" priority="2837" operator="lessThan">
      <formula>0</formula>
    </cfRule>
  </conditionalFormatting>
  <conditionalFormatting sqref="H86:H1048576">
    <cfRule type="cellIs" dxfId="962" priority="2836" operator="lessThan">
      <formula>0</formula>
    </cfRule>
  </conditionalFormatting>
  <conditionalFormatting sqref="H86:H1048576">
    <cfRule type="cellIs" dxfId="961" priority="2835" operator="lessThan">
      <formula>0</formula>
    </cfRule>
  </conditionalFormatting>
  <conditionalFormatting sqref="H86:H1048576">
    <cfRule type="cellIs" dxfId="960" priority="2834" operator="lessThan">
      <formula>0</formula>
    </cfRule>
  </conditionalFormatting>
  <conditionalFormatting sqref="H86:H1048576">
    <cfRule type="cellIs" dxfId="959" priority="2833" operator="lessThan">
      <formula>0</formula>
    </cfRule>
  </conditionalFormatting>
  <conditionalFormatting sqref="H86:H1048576">
    <cfRule type="cellIs" dxfId="958" priority="2832" operator="lessThan">
      <formula>0</formula>
    </cfRule>
  </conditionalFormatting>
  <conditionalFormatting sqref="H86:H1048576">
    <cfRule type="cellIs" dxfId="957" priority="2831" operator="lessThan">
      <formula>0</formula>
    </cfRule>
  </conditionalFormatting>
  <conditionalFormatting sqref="H86:H1048576">
    <cfRule type="cellIs" dxfId="956" priority="2830" operator="lessThan">
      <formula>0</formula>
    </cfRule>
  </conditionalFormatting>
  <conditionalFormatting sqref="H86:H1048576">
    <cfRule type="cellIs" dxfId="955" priority="2829" operator="lessThan">
      <formula>0</formula>
    </cfRule>
  </conditionalFormatting>
  <conditionalFormatting sqref="H86:H1048576">
    <cfRule type="cellIs" dxfId="954" priority="2828" operator="lessThan">
      <formula>0</formula>
    </cfRule>
  </conditionalFormatting>
  <conditionalFormatting sqref="H86:H1048576">
    <cfRule type="cellIs" dxfId="953" priority="2827" operator="lessThan">
      <formula>0</formula>
    </cfRule>
  </conditionalFormatting>
  <conditionalFormatting sqref="H86:H1048576">
    <cfRule type="cellIs" dxfId="952" priority="2826" operator="lessThan">
      <formula>0</formula>
    </cfRule>
  </conditionalFormatting>
  <conditionalFormatting sqref="H86:H1048576">
    <cfRule type="cellIs" dxfId="951" priority="2825" operator="lessThan">
      <formula>0</formula>
    </cfRule>
  </conditionalFormatting>
  <conditionalFormatting sqref="H86:H1048576">
    <cfRule type="cellIs" dxfId="950" priority="2824" operator="lessThan">
      <formula>0</formula>
    </cfRule>
  </conditionalFormatting>
  <conditionalFormatting sqref="H86:H1048576">
    <cfRule type="cellIs" dxfId="949" priority="2823" operator="lessThan">
      <formula>0</formula>
    </cfRule>
  </conditionalFormatting>
  <conditionalFormatting sqref="H86:H1048576">
    <cfRule type="cellIs" dxfId="948" priority="2822" operator="lessThan">
      <formula>0</formula>
    </cfRule>
  </conditionalFormatting>
  <conditionalFormatting sqref="H10:H1048576">
    <cfRule type="cellIs" dxfId="947" priority="2821" operator="lessThan">
      <formula>0</formula>
    </cfRule>
  </conditionalFormatting>
  <conditionalFormatting sqref="H10:H1048576">
    <cfRule type="cellIs" dxfId="946" priority="2820" operator="lessThan">
      <formula>0</formula>
    </cfRule>
  </conditionalFormatting>
  <conditionalFormatting sqref="H10:H1048576">
    <cfRule type="cellIs" dxfId="945" priority="2819" operator="lessThan">
      <formula>0</formula>
    </cfRule>
  </conditionalFormatting>
  <conditionalFormatting sqref="H10:H1048576">
    <cfRule type="cellIs" dxfId="944" priority="2818" operator="lessThan">
      <formula>0</formula>
    </cfRule>
  </conditionalFormatting>
  <conditionalFormatting sqref="H10:H1048576">
    <cfRule type="cellIs" dxfId="943" priority="2817" operator="lessThan">
      <formula>0</formula>
    </cfRule>
  </conditionalFormatting>
  <conditionalFormatting sqref="H10:H1048576">
    <cfRule type="cellIs" dxfId="942" priority="2816" operator="lessThan">
      <formula>0</formula>
    </cfRule>
  </conditionalFormatting>
  <conditionalFormatting sqref="H10:H1048576">
    <cfRule type="cellIs" dxfId="941" priority="2815" operator="lessThan">
      <formula>0</formula>
    </cfRule>
  </conditionalFormatting>
  <conditionalFormatting sqref="H10:H1048576">
    <cfRule type="cellIs" dxfId="940" priority="2814" operator="lessThan">
      <formula>0</formula>
    </cfRule>
  </conditionalFormatting>
  <conditionalFormatting sqref="H10:H1048576">
    <cfRule type="cellIs" dxfId="939" priority="2813" operator="lessThan">
      <formula>0</formula>
    </cfRule>
  </conditionalFormatting>
  <conditionalFormatting sqref="H10:H1048576">
    <cfRule type="cellIs" dxfId="938" priority="2812" operator="lessThan">
      <formula>0</formula>
    </cfRule>
  </conditionalFormatting>
  <conditionalFormatting sqref="H10:H1048576">
    <cfRule type="cellIs" dxfId="937" priority="2811" operator="lessThan">
      <formula>0</formula>
    </cfRule>
  </conditionalFormatting>
  <conditionalFormatting sqref="H10:H1048576">
    <cfRule type="cellIs" dxfId="936" priority="2810" operator="lessThan">
      <formula>0</formula>
    </cfRule>
  </conditionalFormatting>
  <conditionalFormatting sqref="H10:H1048576">
    <cfRule type="cellIs" dxfId="935" priority="2809" operator="lessThan">
      <formula>0</formula>
    </cfRule>
  </conditionalFormatting>
  <conditionalFormatting sqref="H10:H1048576">
    <cfRule type="cellIs" dxfId="934" priority="2808" operator="lessThan">
      <formula>0</formula>
    </cfRule>
  </conditionalFormatting>
  <conditionalFormatting sqref="H10:H1048576">
    <cfRule type="cellIs" dxfId="933" priority="2807" operator="lessThan">
      <formula>0</formula>
    </cfRule>
  </conditionalFormatting>
  <conditionalFormatting sqref="H10:H1048576">
    <cfRule type="cellIs" dxfId="932" priority="2806" operator="lessThan">
      <formula>0</formula>
    </cfRule>
  </conditionalFormatting>
  <conditionalFormatting sqref="H10:H1048576">
    <cfRule type="cellIs" dxfId="931" priority="2805" operator="lessThan">
      <formula>0</formula>
    </cfRule>
  </conditionalFormatting>
  <conditionalFormatting sqref="H10:H1048576">
    <cfRule type="cellIs" dxfId="930" priority="2804" operator="lessThan">
      <formula>0</formula>
    </cfRule>
  </conditionalFormatting>
  <conditionalFormatting sqref="H10:H1048576">
    <cfRule type="cellIs" dxfId="929" priority="2803" operator="lessThan">
      <formula>0</formula>
    </cfRule>
  </conditionalFormatting>
  <conditionalFormatting sqref="H10:H1048576">
    <cfRule type="cellIs" dxfId="928" priority="2802" operator="lessThan">
      <formula>0</formula>
    </cfRule>
  </conditionalFormatting>
  <conditionalFormatting sqref="H10:H1048576">
    <cfRule type="cellIs" dxfId="927" priority="2801" operator="lessThan">
      <formula>0</formula>
    </cfRule>
  </conditionalFormatting>
  <conditionalFormatting sqref="H10:H1048576">
    <cfRule type="cellIs" dxfId="926" priority="2800" operator="lessThan">
      <formula>0</formula>
    </cfRule>
  </conditionalFormatting>
  <conditionalFormatting sqref="H10:H1048576">
    <cfRule type="cellIs" dxfId="925" priority="2799" operator="lessThan">
      <formula>0</formula>
    </cfRule>
  </conditionalFormatting>
  <conditionalFormatting sqref="H10:H1048576">
    <cfRule type="cellIs" dxfId="924" priority="2798" operator="lessThan">
      <formula>0</formula>
    </cfRule>
  </conditionalFormatting>
  <conditionalFormatting sqref="H10:H1048576">
    <cfRule type="cellIs" dxfId="923" priority="2797" operator="lessThan">
      <formula>0</formula>
    </cfRule>
  </conditionalFormatting>
  <conditionalFormatting sqref="H10:H1048576">
    <cfRule type="cellIs" dxfId="922" priority="2796" operator="lessThan">
      <formula>0</formula>
    </cfRule>
  </conditionalFormatting>
  <conditionalFormatting sqref="H10:H1048576">
    <cfRule type="cellIs" dxfId="921" priority="2795" operator="lessThan">
      <formula>0</formula>
    </cfRule>
  </conditionalFormatting>
  <conditionalFormatting sqref="H10:H1048576">
    <cfRule type="cellIs" dxfId="920" priority="2794" operator="lessThan">
      <formula>0</formula>
    </cfRule>
  </conditionalFormatting>
  <conditionalFormatting sqref="H10:H1048576">
    <cfRule type="cellIs" dxfId="919" priority="2793" operator="lessThan">
      <formula>0</formula>
    </cfRule>
  </conditionalFormatting>
  <conditionalFormatting sqref="H10:H1048576">
    <cfRule type="cellIs" dxfId="918" priority="2792" operator="lessThan">
      <formula>0</formula>
    </cfRule>
  </conditionalFormatting>
  <conditionalFormatting sqref="H10:H1048576">
    <cfRule type="cellIs" dxfId="917" priority="2791" operator="lessThan">
      <formula>0</formula>
    </cfRule>
  </conditionalFormatting>
  <conditionalFormatting sqref="H10:H1048576">
    <cfRule type="cellIs" dxfId="916" priority="2790" operator="lessThan">
      <formula>0</formula>
    </cfRule>
  </conditionalFormatting>
  <conditionalFormatting sqref="H10:H1048576">
    <cfRule type="cellIs" dxfId="915" priority="2789" operator="lessThan">
      <formula>0</formula>
    </cfRule>
  </conditionalFormatting>
  <conditionalFormatting sqref="H10:H1048576">
    <cfRule type="cellIs" dxfId="914" priority="2788" operator="lessThan">
      <formula>0</formula>
    </cfRule>
  </conditionalFormatting>
  <conditionalFormatting sqref="H10:H1048576">
    <cfRule type="cellIs" dxfId="913" priority="2787" operator="lessThan">
      <formula>0</formula>
    </cfRule>
  </conditionalFormatting>
  <conditionalFormatting sqref="H10:H1048576">
    <cfRule type="cellIs" dxfId="912" priority="2786" operator="lessThan">
      <formula>0</formula>
    </cfRule>
  </conditionalFormatting>
  <conditionalFormatting sqref="H10:H1048576">
    <cfRule type="cellIs" dxfId="911" priority="2785" operator="lessThan">
      <formula>0</formula>
    </cfRule>
  </conditionalFormatting>
  <conditionalFormatting sqref="H10:H1048576">
    <cfRule type="cellIs" dxfId="910" priority="2784" operator="lessThan">
      <formula>0</formula>
    </cfRule>
  </conditionalFormatting>
  <conditionalFormatting sqref="H10:H1048576">
    <cfRule type="cellIs" dxfId="909" priority="2783" operator="lessThan">
      <formula>0</formula>
    </cfRule>
  </conditionalFormatting>
  <conditionalFormatting sqref="H10:H1048576">
    <cfRule type="cellIs" dxfId="908" priority="2782" operator="lessThan">
      <formula>0</formula>
    </cfRule>
  </conditionalFormatting>
  <conditionalFormatting sqref="H10:H1048576">
    <cfRule type="cellIs" dxfId="907" priority="2781" operator="lessThan">
      <formula>0</formula>
    </cfRule>
  </conditionalFormatting>
  <conditionalFormatting sqref="H10:H1048576">
    <cfRule type="cellIs" dxfId="906" priority="2780" operator="lessThan">
      <formula>0</formula>
    </cfRule>
  </conditionalFormatting>
  <conditionalFormatting sqref="H10:H1048576">
    <cfRule type="cellIs" dxfId="905" priority="2779" operator="lessThan">
      <formula>0</formula>
    </cfRule>
  </conditionalFormatting>
  <conditionalFormatting sqref="H10:H1048576">
    <cfRule type="cellIs" dxfId="904" priority="2778" operator="lessThan">
      <formula>0</formula>
    </cfRule>
  </conditionalFormatting>
  <conditionalFormatting sqref="H10:H1048576">
    <cfRule type="cellIs" dxfId="903" priority="2777" operator="lessThan">
      <formula>0</formula>
    </cfRule>
  </conditionalFormatting>
  <conditionalFormatting sqref="H10:H1048576">
    <cfRule type="cellIs" dxfId="902" priority="2776" operator="lessThan">
      <formula>0</formula>
    </cfRule>
  </conditionalFormatting>
  <conditionalFormatting sqref="H10:H1048576">
    <cfRule type="cellIs" dxfId="901" priority="2775" operator="lessThan">
      <formula>0</formula>
    </cfRule>
  </conditionalFormatting>
  <conditionalFormatting sqref="H10:H1048576">
    <cfRule type="cellIs" dxfId="900" priority="2774" operator="lessThan">
      <formula>0</formula>
    </cfRule>
  </conditionalFormatting>
  <conditionalFormatting sqref="H10:H1048576">
    <cfRule type="cellIs" dxfId="899" priority="2773" operator="lessThan">
      <formula>0</formula>
    </cfRule>
  </conditionalFormatting>
  <conditionalFormatting sqref="H10:H1048576">
    <cfRule type="cellIs" dxfId="898" priority="2772" operator="lessThan">
      <formula>0</formula>
    </cfRule>
  </conditionalFormatting>
  <conditionalFormatting sqref="H10:H1048576">
    <cfRule type="cellIs" dxfId="897" priority="2771" operator="lessThan">
      <formula>0</formula>
    </cfRule>
  </conditionalFormatting>
  <conditionalFormatting sqref="H10:H1048576">
    <cfRule type="cellIs" dxfId="896" priority="2770" operator="lessThan">
      <formula>0</formula>
    </cfRule>
  </conditionalFormatting>
  <conditionalFormatting sqref="H10:H1048576">
    <cfRule type="cellIs" dxfId="895" priority="2769" operator="lessThan">
      <formula>0</formula>
    </cfRule>
  </conditionalFormatting>
  <conditionalFormatting sqref="H10:H1048576">
    <cfRule type="cellIs" dxfId="894" priority="2768" operator="lessThan">
      <formula>0</formula>
    </cfRule>
  </conditionalFormatting>
  <conditionalFormatting sqref="H10:H1048576">
    <cfRule type="cellIs" dxfId="893" priority="2767" operator="lessThan">
      <formula>0</formula>
    </cfRule>
  </conditionalFormatting>
  <conditionalFormatting sqref="H10:H1048576">
    <cfRule type="cellIs" dxfId="892" priority="2766" operator="lessThan">
      <formula>0</formula>
    </cfRule>
  </conditionalFormatting>
  <conditionalFormatting sqref="H10:H1048576">
    <cfRule type="cellIs" dxfId="891" priority="2765" operator="lessThan">
      <formula>0</formula>
    </cfRule>
  </conditionalFormatting>
  <conditionalFormatting sqref="H10:H1048576">
    <cfRule type="cellIs" dxfId="890" priority="2764" operator="lessThan">
      <formula>0</formula>
    </cfRule>
  </conditionalFormatting>
  <conditionalFormatting sqref="H10:H1048576">
    <cfRule type="cellIs" dxfId="889" priority="2763" operator="lessThan">
      <formula>0</formula>
    </cfRule>
  </conditionalFormatting>
  <conditionalFormatting sqref="H10:H1048576">
    <cfRule type="cellIs" dxfId="888" priority="2762" operator="lessThan">
      <formula>0</formula>
    </cfRule>
  </conditionalFormatting>
  <conditionalFormatting sqref="H10:H1048576">
    <cfRule type="cellIs" dxfId="887" priority="2761" operator="lessThan">
      <formula>0</formula>
    </cfRule>
  </conditionalFormatting>
  <conditionalFormatting sqref="H10:H1048576">
    <cfRule type="cellIs" dxfId="886" priority="2760" operator="lessThan">
      <formula>0</formula>
    </cfRule>
  </conditionalFormatting>
  <conditionalFormatting sqref="H10:H1048576">
    <cfRule type="cellIs" dxfId="885" priority="2759" operator="lessThan">
      <formula>0</formula>
    </cfRule>
  </conditionalFormatting>
  <conditionalFormatting sqref="H10:H1048576">
    <cfRule type="cellIs" dxfId="884" priority="2758" operator="lessThan">
      <formula>0</formula>
    </cfRule>
  </conditionalFormatting>
  <conditionalFormatting sqref="H10:H1048576">
    <cfRule type="cellIs" dxfId="883" priority="2757" operator="lessThan">
      <formula>0</formula>
    </cfRule>
  </conditionalFormatting>
  <conditionalFormatting sqref="H10:H1048576">
    <cfRule type="cellIs" dxfId="882" priority="2756" operator="lessThan">
      <formula>0</formula>
    </cfRule>
  </conditionalFormatting>
  <conditionalFormatting sqref="H10:H1048576">
    <cfRule type="cellIs" dxfId="881" priority="2755" operator="lessThan">
      <formula>0</formula>
    </cfRule>
  </conditionalFormatting>
  <conditionalFormatting sqref="H10:H1048576">
    <cfRule type="cellIs" dxfId="880" priority="2754" operator="lessThan">
      <formula>0</formula>
    </cfRule>
  </conditionalFormatting>
  <conditionalFormatting sqref="H10:H1048576">
    <cfRule type="cellIs" dxfId="879" priority="2753" operator="lessThan">
      <formula>0</formula>
    </cfRule>
  </conditionalFormatting>
  <conditionalFormatting sqref="H10:H1048576">
    <cfRule type="cellIs" dxfId="878" priority="2752" operator="lessThan">
      <formula>0</formula>
    </cfRule>
  </conditionalFormatting>
  <conditionalFormatting sqref="H10:H1048576">
    <cfRule type="cellIs" dxfId="877" priority="2751" operator="lessThan">
      <formula>0</formula>
    </cfRule>
  </conditionalFormatting>
  <conditionalFormatting sqref="H10:H1048576">
    <cfRule type="cellIs" dxfId="876" priority="2750" operator="lessThan">
      <formula>0</formula>
    </cfRule>
  </conditionalFormatting>
  <conditionalFormatting sqref="H10:H1048576">
    <cfRule type="cellIs" dxfId="875" priority="2749" operator="lessThan">
      <formula>0</formula>
    </cfRule>
  </conditionalFormatting>
  <conditionalFormatting sqref="H10:H1048576">
    <cfRule type="cellIs" dxfId="874" priority="2748" operator="lessThan">
      <formula>0</formula>
    </cfRule>
  </conditionalFormatting>
  <conditionalFormatting sqref="H10:H1048576">
    <cfRule type="cellIs" dxfId="873" priority="2747" operator="lessThan">
      <formula>0</formula>
    </cfRule>
  </conditionalFormatting>
  <conditionalFormatting sqref="H10:H1048576">
    <cfRule type="cellIs" dxfId="872" priority="2746" operator="lessThan">
      <formula>0</formula>
    </cfRule>
  </conditionalFormatting>
  <conditionalFormatting sqref="H10:H1048576">
    <cfRule type="cellIs" dxfId="871" priority="2745" operator="lessThan">
      <formula>0</formula>
    </cfRule>
  </conditionalFormatting>
  <conditionalFormatting sqref="H10:H1048576">
    <cfRule type="cellIs" dxfId="870" priority="2744" operator="lessThan">
      <formula>0</formula>
    </cfRule>
  </conditionalFormatting>
  <conditionalFormatting sqref="H10:H1048576">
    <cfRule type="cellIs" dxfId="869" priority="2743" operator="lessThan">
      <formula>0</formula>
    </cfRule>
  </conditionalFormatting>
  <conditionalFormatting sqref="H10:H1048576">
    <cfRule type="cellIs" dxfId="868" priority="2742" operator="lessThan">
      <formula>0</formula>
    </cfRule>
  </conditionalFormatting>
  <conditionalFormatting sqref="H10:H1048576">
    <cfRule type="cellIs" dxfId="867" priority="2741" operator="lessThan">
      <formula>0</formula>
    </cfRule>
  </conditionalFormatting>
  <conditionalFormatting sqref="H10:H1048576">
    <cfRule type="cellIs" dxfId="866" priority="2740" operator="lessThan">
      <formula>0</formula>
    </cfRule>
  </conditionalFormatting>
  <conditionalFormatting sqref="H10:H1048576">
    <cfRule type="cellIs" dxfId="865" priority="2739" operator="lessThan">
      <formula>0</formula>
    </cfRule>
  </conditionalFormatting>
  <conditionalFormatting sqref="H10:H1048576">
    <cfRule type="cellIs" dxfId="864" priority="2738" operator="lessThan">
      <formula>0</formula>
    </cfRule>
  </conditionalFormatting>
  <conditionalFormatting sqref="H10:H1048576">
    <cfRule type="cellIs" dxfId="863" priority="2737" operator="lessThan">
      <formula>0</formula>
    </cfRule>
  </conditionalFormatting>
  <conditionalFormatting sqref="H10:H1048576">
    <cfRule type="cellIs" dxfId="862" priority="2736" operator="lessThan">
      <formula>0</formula>
    </cfRule>
  </conditionalFormatting>
  <conditionalFormatting sqref="H10:H1048576">
    <cfRule type="cellIs" dxfId="861" priority="2735" operator="lessThan">
      <formula>0</formula>
    </cfRule>
  </conditionalFormatting>
  <conditionalFormatting sqref="H10:H1048576">
    <cfRule type="cellIs" dxfId="860" priority="2734" operator="lessThan">
      <formula>0</formula>
    </cfRule>
  </conditionalFormatting>
  <conditionalFormatting sqref="H10:H1048576">
    <cfRule type="cellIs" dxfId="859" priority="2733" operator="lessThan">
      <formula>0</formula>
    </cfRule>
  </conditionalFormatting>
  <conditionalFormatting sqref="H10:H1048576">
    <cfRule type="cellIs" dxfId="858" priority="2732" operator="lessThan">
      <formula>0</formula>
    </cfRule>
  </conditionalFormatting>
  <conditionalFormatting sqref="H10:H1048576">
    <cfRule type="cellIs" dxfId="857" priority="2731" operator="lessThan">
      <formula>0</formula>
    </cfRule>
  </conditionalFormatting>
  <conditionalFormatting sqref="H10:H1048576">
    <cfRule type="cellIs" dxfId="856" priority="2730" operator="lessThan">
      <formula>0</formula>
    </cfRule>
  </conditionalFormatting>
  <conditionalFormatting sqref="H10:H1048576">
    <cfRule type="cellIs" dxfId="855" priority="2729" operator="lessThan">
      <formula>0</formula>
    </cfRule>
  </conditionalFormatting>
  <conditionalFormatting sqref="H10:H1048576">
    <cfRule type="cellIs" dxfId="854" priority="2728" operator="lessThan">
      <formula>0</formula>
    </cfRule>
  </conditionalFormatting>
  <conditionalFormatting sqref="H10:H1048576">
    <cfRule type="cellIs" dxfId="853" priority="2727" operator="lessThan">
      <formula>0</formula>
    </cfRule>
  </conditionalFormatting>
  <conditionalFormatting sqref="H10:H1048576">
    <cfRule type="cellIs" dxfId="852" priority="2726" operator="lessThan">
      <formula>0</formula>
    </cfRule>
  </conditionalFormatting>
  <conditionalFormatting sqref="H10:H1048576">
    <cfRule type="cellIs" dxfId="851" priority="2725" operator="lessThan">
      <formula>0</formula>
    </cfRule>
  </conditionalFormatting>
  <conditionalFormatting sqref="H10:H1048576">
    <cfRule type="cellIs" dxfId="850" priority="2724" operator="lessThan">
      <formula>0</formula>
    </cfRule>
  </conditionalFormatting>
  <conditionalFormatting sqref="H10:H1048576">
    <cfRule type="cellIs" dxfId="849" priority="2723" operator="lessThan">
      <formula>0</formula>
    </cfRule>
  </conditionalFormatting>
  <conditionalFormatting sqref="H10:H1048576">
    <cfRule type="cellIs" dxfId="848" priority="2722" operator="lessThan">
      <formula>0</formula>
    </cfRule>
  </conditionalFormatting>
  <conditionalFormatting sqref="H10:H1048576">
    <cfRule type="cellIs" dxfId="847" priority="2721" operator="lessThan">
      <formula>0</formula>
    </cfRule>
  </conditionalFormatting>
  <conditionalFormatting sqref="H10:H1048576">
    <cfRule type="cellIs" dxfId="846" priority="2720" operator="lessThan">
      <formula>0</formula>
    </cfRule>
  </conditionalFormatting>
  <conditionalFormatting sqref="H10:H1048576">
    <cfRule type="cellIs" dxfId="845" priority="2719" operator="lessThan">
      <formula>0</formula>
    </cfRule>
  </conditionalFormatting>
  <conditionalFormatting sqref="H10:H1048576">
    <cfRule type="cellIs" dxfId="844" priority="2718" operator="lessThan">
      <formula>0</formula>
    </cfRule>
  </conditionalFormatting>
  <conditionalFormatting sqref="H10:H1048576">
    <cfRule type="cellIs" dxfId="843" priority="2717" operator="lessThan">
      <formula>0</formula>
    </cfRule>
  </conditionalFormatting>
  <conditionalFormatting sqref="H10:H1048576">
    <cfRule type="cellIs" dxfId="842" priority="2716" operator="lessThan">
      <formula>0</formula>
    </cfRule>
  </conditionalFormatting>
  <conditionalFormatting sqref="H10:H1048576">
    <cfRule type="cellIs" dxfId="841" priority="2715" operator="lessThan">
      <formula>0</formula>
    </cfRule>
  </conditionalFormatting>
  <conditionalFormatting sqref="H10:H1048576">
    <cfRule type="cellIs" dxfId="840" priority="2714" operator="lessThan">
      <formula>0</formula>
    </cfRule>
  </conditionalFormatting>
  <conditionalFormatting sqref="H10:H1048576">
    <cfRule type="cellIs" dxfId="839" priority="2713" operator="lessThan">
      <formula>0</formula>
    </cfRule>
  </conditionalFormatting>
  <conditionalFormatting sqref="H10:H1048576">
    <cfRule type="cellIs" dxfId="838" priority="2712" operator="lessThan">
      <formula>0</formula>
    </cfRule>
  </conditionalFormatting>
  <conditionalFormatting sqref="H10:H1048576">
    <cfRule type="cellIs" dxfId="837" priority="2711" operator="lessThan">
      <formula>0</formula>
    </cfRule>
  </conditionalFormatting>
  <conditionalFormatting sqref="H10:H1048576">
    <cfRule type="cellIs" dxfId="836" priority="2710" operator="lessThan">
      <formula>0</formula>
    </cfRule>
  </conditionalFormatting>
  <conditionalFormatting sqref="H10:H1048576">
    <cfRule type="cellIs" dxfId="835" priority="2709" operator="lessThan">
      <formula>0</formula>
    </cfRule>
  </conditionalFormatting>
  <conditionalFormatting sqref="H10:H1048576">
    <cfRule type="cellIs" dxfId="834" priority="2708" operator="lessThan">
      <formula>0</formula>
    </cfRule>
  </conditionalFormatting>
  <conditionalFormatting sqref="H10:H1048576">
    <cfRule type="cellIs" dxfId="833" priority="2707" operator="lessThan">
      <formula>0</formula>
    </cfRule>
  </conditionalFormatting>
  <conditionalFormatting sqref="H10:H1048576">
    <cfRule type="cellIs" dxfId="832" priority="2706" operator="lessThan">
      <formula>0</formula>
    </cfRule>
  </conditionalFormatting>
  <conditionalFormatting sqref="H10:H1048576">
    <cfRule type="cellIs" dxfId="831" priority="2705" operator="lessThan">
      <formula>0</formula>
    </cfRule>
  </conditionalFormatting>
  <conditionalFormatting sqref="H10:H1048576">
    <cfRule type="cellIs" dxfId="830" priority="2704" operator="lessThan">
      <formula>0</formula>
    </cfRule>
  </conditionalFormatting>
  <conditionalFormatting sqref="H10:H1048576">
    <cfRule type="cellIs" dxfId="829" priority="2703" operator="lessThan">
      <formula>0</formula>
    </cfRule>
  </conditionalFormatting>
  <conditionalFormatting sqref="H10:H1048576">
    <cfRule type="cellIs" dxfId="828" priority="2702" operator="lessThan">
      <formula>0</formula>
    </cfRule>
  </conditionalFormatting>
  <conditionalFormatting sqref="H10:H1048576">
    <cfRule type="cellIs" dxfId="827" priority="2701" operator="lessThan">
      <formula>0</formula>
    </cfRule>
  </conditionalFormatting>
  <conditionalFormatting sqref="H10:H1048576">
    <cfRule type="cellIs" dxfId="826" priority="2700" operator="lessThan">
      <formula>0</formula>
    </cfRule>
  </conditionalFormatting>
  <conditionalFormatting sqref="H10:H1048576">
    <cfRule type="cellIs" dxfId="825" priority="2699" operator="lessThan">
      <formula>0</formula>
    </cfRule>
  </conditionalFormatting>
  <conditionalFormatting sqref="H10:H1048576">
    <cfRule type="cellIs" dxfId="824" priority="2698" operator="lessThan">
      <formula>0</formula>
    </cfRule>
  </conditionalFormatting>
  <conditionalFormatting sqref="H10:H1048576">
    <cfRule type="cellIs" dxfId="823" priority="2697" operator="lessThan">
      <formula>0</formula>
    </cfRule>
  </conditionalFormatting>
  <conditionalFormatting sqref="H10:H1048576">
    <cfRule type="cellIs" dxfId="822" priority="2696" operator="lessThan">
      <formula>0</formula>
    </cfRule>
  </conditionalFormatting>
  <conditionalFormatting sqref="H10:H1048576">
    <cfRule type="cellIs" dxfId="821" priority="2695" operator="lessThan">
      <formula>0</formula>
    </cfRule>
  </conditionalFormatting>
  <conditionalFormatting sqref="H10:H1048576">
    <cfRule type="cellIs" dxfId="820" priority="2694" operator="lessThan">
      <formula>0</formula>
    </cfRule>
  </conditionalFormatting>
  <conditionalFormatting sqref="H10:H1048576">
    <cfRule type="cellIs" dxfId="819" priority="2693" operator="lessThan">
      <formula>0</formula>
    </cfRule>
  </conditionalFormatting>
  <conditionalFormatting sqref="H10:H1048576">
    <cfRule type="cellIs" dxfId="818" priority="2692" operator="lessThan">
      <formula>0</formula>
    </cfRule>
  </conditionalFormatting>
  <conditionalFormatting sqref="H10:H1048576">
    <cfRule type="cellIs" dxfId="817" priority="2691" operator="lessThan">
      <formula>0</formula>
    </cfRule>
  </conditionalFormatting>
  <conditionalFormatting sqref="H10:H1048576">
    <cfRule type="cellIs" dxfId="816" priority="2690" operator="lessThan">
      <formula>0</formula>
    </cfRule>
  </conditionalFormatting>
  <conditionalFormatting sqref="H10:H1048576">
    <cfRule type="cellIs" dxfId="815" priority="2689" operator="lessThan">
      <formula>0</formula>
    </cfRule>
  </conditionalFormatting>
  <conditionalFormatting sqref="H10:H1048576">
    <cfRule type="cellIs" dxfId="814" priority="2688" operator="lessThan">
      <formula>0</formula>
    </cfRule>
  </conditionalFormatting>
  <conditionalFormatting sqref="H10:H1048576">
    <cfRule type="cellIs" dxfId="813" priority="2687" operator="lessThan">
      <formula>0</formula>
    </cfRule>
  </conditionalFormatting>
  <conditionalFormatting sqref="H10:H1048576">
    <cfRule type="cellIs" dxfId="812" priority="2686" operator="lessThan">
      <formula>0</formula>
    </cfRule>
  </conditionalFormatting>
  <conditionalFormatting sqref="H10:H1048576">
    <cfRule type="cellIs" dxfId="811" priority="2685" operator="lessThan">
      <formula>0</formula>
    </cfRule>
  </conditionalFormatting>
  <conditionalFormatting sqref="H10:H1048576">
    <cfRule type="cellIs" dxfId="810" priority="2684" operator="lessThan">
      <formula>0</formula>
    </cfRule>
  </conditionalFormatting>
  <conditionalFormatting sqref="H10:H1048576">
    <cfRule type="cellIs" dxfId="809" priority="2683" operator="lessThan">
      <formula>0</formula>
    </cfRule>
  </conditionalFormatting>
  <conditionalFormatting sqref="H10:H1048576">
    <cfRule type="cellIs" dxfId="808" priority="2682" operator="lessThan">
      <formula>0</formula>
    </cfRule>
  </conditionalFormatting>
  <conditionalFormatting sqref="H10:H1048576">
    <cfRule type="cellIs" dxfId="807" priority="2681" operator="lessThan">
      <formula>0</formula>
    </cfRule>
  </conditionalFormatting>
  <conditionalFormatting sqref="H10:H1048576">
    <cfRule type="cellIs" dxfId="806" priority="2680" operator="lessThan">
      <formula>0</formula>
    </cfRule>
  </conditionalFormatting>
  <conditionalFormatting sqref="H10:H1048576">
    <cfRule type="cellIs" dxfId="805" priority="2679" operator="lessThan">
      <formula>0</formula>
    </cfRule>
  </conditionalFormatting>
  <conditionalFormatting sqref="H10:H1048576">
    <cfRule type="cellIs" dxfId="804" priority="2678" operator="lessThan">
      <formula>0</formula>
    </cfRule>
  </conditionalFormatting>
  <conditionalFormatting sqref="H10:H1048576">
    <cfRule type="cellIs" dxfId="803" priority="2677" operator="lessThan">
      <formula>0</formula>
    </cfRule>
  </conditionalFormatting>
  <conditionalFormatting sqref="H10:H1048576">
    <cfRule type="cellIs" dxfId="802" priority="2676" operator="lessThan">
      <formula>0</formula>
    </cfRule>
  </conditionalFormatting>
  <conditionalFormatting sqref="H10:H1048576">
    <cfRule type="cellIs" dxfId="801" priority="2675" operator="lessThan">
      <formula>0</formula>
    </cfRule>
  </conditionalFormatting>
  <conditionalFormatting sqref="H10:H1048576">
    <cfRule type="cellIs" dxfId="800" priority="2674" operator="lessThan">
      <formula>0</formula>
    </cfRule>
  </conditionalFormatting>
  <conditionalFormatting sqref="H10:H1048576">
    <cfRule type="cellIs" dxfId="799" priority="2673" operator="lessThan">
      <formula>0</formula>
    </cfRule>
  </conditionalFormatting>
  <conditionalFormatting sqref="H10:H1048576">
    <cfRule type="cellIs" dxfId="798" priority="2672" operator="lessThan">
      <formula>0</formula>
    </cfRule>
  </conditionalFormatting>
  <conditionalFormatting sqref="H10:H1048576">
    <cfRule type="cellIs" dxfId="797" priority="2671" operator="lessThan">
      <formula>0</formula>
    </cfRule>
  </conditionalFormatting>
  <conditionalFormatting sqref="H10:H1048576">
    <cfRule type="cellIs" dxfId="796" priority="2670" operator="lessThan">
      <formula>0</formula>
    </cfRule>
  </conditionalFormatting>
  <conditionalFormatting sqref="H10:H1048576">
    <cfRule type="cellIs" dxfId="795" priority="2669" operator="lessThan">
      <formula>0</formula>
    </cfRule>
  </conditionalFormatting>
  <conditionalFormatting sqref="H10:H1048576">
    <cfRule type="cellIs" dxfId="794" priority="2668" operator="lessThan">
      <formula>0</formula>
    </cfRule>
  </conditionalFormatting>
  <conditionalFormatting sqref="H10:H1048576">
    <cfRule type="cellIs" dxfId="793" priority="2667" operator="lessThan">
      <formula>0</formula>
    </cfRule>
  </conditionalFormatting>
  <conditionalFormatting sqref="H10:H1048576">
    <cfRule type="cellIs" dxfId="792" priority="2666" operator="lessThan">
      <formula>0</formula>
    </cfRule>
  </conditionalFormatting>
  <conditionalFormatting sqref="H10:H1048576">
    <cfRule type="cellIs" dxfId="791" priority="2665" operator="lessThan">
      <formula>0</formula>
    </cfRule>
  </conditionalFormatting>
  <conditionalFormatting sqref="H10:H1048576">
    <cfRule type="cellIs" dxfId="790" priority="2664" operator="lessThan">
      <formula>0</formula>
    </cfRule>
  </conditionalFormatting>
  <conditionalFormatting sqref="H10:H1048576">
    <cfRule type="cellIs" dxfId="789" priority="2663" operator="lessThan">
      <formula>0</formula>
    </cfRule>
  </conditionalFormatting>
  <conditionalFormatting sqref="H10:H1048576">
    <cfRule type="cellIs" dxfId="788" priority="2662" operator="lessThan">
      <formula>0</formula>
    </cfRule>
  </conditionalFormatting>
  <conditionalFormatting sqref="H10:H1048576">
    <cfRule type="cellIs" dxfId="787" priority="2661" operator="lessThan">
      <formula>0</formula>
    </cfRule>
  </conditionalFormatting>
  <conditionalFormatting sqref="H10:H1048576">
    <cfRule type="cellIs" dxfId="786" priority="2660" operator="lessThan">
      <formula>0</formula>
    </cfRule>
  </conditionalFormatting>
  <conditionalFormatting sqref="H10:H1048576">
    <cfRule type="cellIs" dxfId="785" priority="2659" operator="lessThan">
      <formula>0</formula>
    </cfRule>
  </conditionalFormatting>
  <conditionalFormatting sqref="H10:H1048576">
    <cfRule type="cellIs" dxfId="784" priority="2658" operator="lessThan">
      <formula>0</formula>
    </cfRule>
  </conditionalFormatting>
  <conditionalFormatting sqref="H10:H1048576">
    <cfRule type="cellIs" dxfId="783" priority="2657" operator="lessThan">
      <formula>0</formula>
    </cfRule>
  </conditionalFormatting>
  <conditionalFormatting sqref="H10:H1048576">
    <cfRule type="cellIs" dxfId="782" priority="2656" operator="lessThan">
      <formula>0</formula>
    </cfRule>
  </conditionalFormatting>
  <conditionalFormatting sqref="H10:H1048576">
    <cfRule type="cellIs" dxfId="781" priority="2655" operator="lessThan">
      <formula>0</formula>
    </cfRule>
  </conditionalFormatting>
  <conditionalFormatting sqref="H10:H1048576">
    <cfRule type="cellIs" dxfId="780" priority="2654" operator="lessThan">
      <formula>0</formula>
    </cfRule>
  </conditionalFormatting>
  <conditionalFormatting sqref="H10:H1048576">
    <cfRule type="cellIs" dxfId="779" priority="2653" operator="lessThan">
      <formula>0</formula>
    </cfRule>
  </conditionalFormatting>
  <conditionalFormatting sqref="H10:H1048576">
    <cfRule type="cellIs" dxfId="778" priority="2652" operator="lessThan">
      <formula>0</formula>
    </cfRule>
  </conditionalFormatting>
  <conditionalFormatting sqref="H10:H1048576">
    <cfRule type="cellIs" dxfId="777" priority="2651" operator="lessThan">
      <formula>0</formula>
    </cfRule>
  </conditionalFormatting>
  <conditionalFormatting sqref="H10:H1048576">
    <cfRule type="cellIs" dxfId="776" priority="2650" operator="lessThan">
      <formula>0</formula>
    </cfRule>
  </conditionalFormatting>
  <conditionalFormatting sqref="H10:H1048576">
    <cfRule type="cellIs" dxfId="775" priority="2649" operator="lessThan">
      <formula>0</formula>
    </cfRule>
  </conditionalFormatting>
  <conditionalFormatting sqref="H10:H1048576">
    <cfRule type="cellIs" dxfId="774" priority="2648" operator="lessThan">
      <formula>0</formula>
    </cfRule>
  </conditionalFormatting>
  <conditionalFormatting sqref="H10:H1048576">
    <cfRule type="cellIs" dxfId="773" priority="2647" operator="lessThan">
      <formula>0</formula>
    </cfRule>
  </conditionalFormatting>
  <conditionalFormatting sqref="H10:H1048576">
    <cfRule type="cellIs" dxfId="772" priority="2646" operator="lessThan">
      <formula>0</formula>
    </cfRule>
  </conditionalFormatting>
  <conditionalFormatting sqref="H10:H1048576">
    <cfRule type="cellIs" dxfId="771" priority="2645" operator="lessThan">
      <formula>0</formula>
    </cfRule>
  </conditionalFormatting>
  <conditionalFormatting sqref="H10:H1048576">
    <cfRule type="cellIs" dxfId="770" priority="2644" operator="lessThan">
      <formula>0</formula>
    </cfRule>
  </conditionalFormatting>
  <conditionalFormatting sqref="H10:H1048576">
    <cfRule type="cellIs" dxfId="769" priority="2643" operator="lessThan">
      <formula>0</formula>
    </cfRule>
  </conditionalFormatting>
  <conditionalFormatting sqref="H10:H1048576">
    <cfRule type="cellIs" dxfId="768" priority="2642" operator="lessThan">
      <formula>0</formula>
    </cfRule>
  </conditionalFormatting>
  <conditionalFormatting sqref="H10:H1048576">
    <cfRule type="cellIs" dxfId="767" priority="2641" operator="lessThan">
      <formula>0</formula>
    </cfRule>
  </conditionalFormatting>
  <conditionalFormatting sqref="H10:H1048576">
    <cfRule type="cellIs" dxfId="766" priority="2640" operator="lessThan">
      <formula>0</formula>
    </cfRule>
  </conditionalFormatting>
  <conditionalFormatting sqref="H10:H1048576">
    <cfRule type="cellIs" dxfId="765" priority="2639" operator="lessThan">
      <formula>0</formula>
    </cfRule>
  </conditionalFormatting>
  <conditionalFormatting sqref="H10:H1048576">
    <cfRule type="cellIs" dxfId="764" priority="2638" operator="lessThan">
      <formula>0</formula>
    </cfRule>
  </conditionalFormatting>
  <conditionalFormatting sqref="H10:H1048576">
    <cfRule type="cellIs" dxfId="763" priority="2637" operator="lessThan">
      <formula>0</formula>
    </cfRule>
  </conditionalFormatting>
  <conditionalFormatting sqref="H10:H1048576">
    <cfRule type="cellIs" dxfId="762" priority="2636" operator="lessThan">
      <formula>0</formula>
    </cfRule>
  </conditionalFormatting>
  <conditionalFormatting sqref="H10:H1048576">
    <cfRule type="cellIs" dxfId="761" priority="2635" operator="lessThan">
      <formula>0</formula>
    </cfRule>
  </conditionalFormatting>
  <conditionalFormatting sqref="H10:H1048576">
    <cfRule type="cellIs" dxfId="760" priority="2634" operator="lessThan">
      <formula>0</formula>
    </cfRule>
  </conditionalFormatting>
  <conditionalFormatting sqref="H10:H1048576">
    <cfRule type="cellIs" dxfId="759" priority="2633" operator="lessThan">
      <formula>0</formula>
    </cfRule>
  </conditionalFormatting>
  <conditionalFormatting sqref="H10:H1048576">
    <cfRule type="cellIs" dxfId="758" priority="2632" operator="lessThan">
      <formula>0</formula>
    </cfRule>
  </conditionalFormatting>
  <conditionalFormatting sqref="H10:H1048576">
    <cfRule type="cellIs" dxfId="757" priority="2631" operator="lessThan">
      <formula>0</formula>
    </cfRule>
  </conditionalFormatting>
  <conditionalFormatting sqref="H10:H1048576">
    <cfRule type="cellIs" dxfId="756" priority="2630" operator="lessThan">
      <formula>0</formula>
    </cfRule>
  </conditionalFormatting>
  <conditionalFormatting sqref="H10:H1048576">
    <cfRule type="cellIs" dxfId="755" priority="2629" operator="lessThan">
      <formula>0</formula>
    </cfRule>
  </conditionalFormatting>
  <conditionalFormatting sqref="H10:H1048576">
    <cfRule type="cellIs" dxfId="754" priority="2628" operator="lessThan">
      <formula>0</formula>
    </cfRule>
  </conditionalFormatting>
  <conditionalFormatting sqref="H10:H1048576">
    <cfRule type="cellIs" dxfId="753" priority="2627" operator="lessThan">
      <formula>0</formula>
    </cfRule>
  </conditionalFormatting>
  <conditionalFormatting sqref="H10:H1048576">
    <cfRule type="cellIs" dxfId="752" priority="2626" operator="lessThan">
      <formula>0</formula>
    </cfRule>
  </conditionalFormatting>
  <conditionalFormatting sqref="H10:H1048576">
    <cfRule type="cellIs" dxfId="751" priority="2625" operator="lessThan">
      <formula>0</formula>
    </cfRule>
  </conditionalFormatting>
  <conditionalFormatting sqref="H10:H1048576">
    <cfRule type="cellIs" dxfId="750" priority="2624" operator="lessThan">
      <formula>0</formula>
    </cfRule>
  </conditionalFormatting>
  <conditionalFormatting sqref="H10:H1048576">
    <cfRule type="cellIs" dxfId="749" priority="2623" operator="lessThan">
      <formula>0</formula>
    </cfRule>
  </conditionalFormatting>
  <conditionalFormatting sqref="H10:H1048576">
    <cfRule type="cellIs" dxfId="748" priority="2622" operator="lessThan">
      <formula>0</formula>
    </cfRule>
  </conditionalFormatting>
  <conditionalFormatting sqref="H10:H1048576">
    <cfRule type="cellIs" dxfId="747" priority="2621" operator="lessThan">
      <formula>0</formula>
    </cfRule>
  </conditionalFormatting>
  <conditionalFormatting sqref="H10:H1048576">
    <cfRule type="cellIs" dxfId="746" priority="2620" operator="lessThan">
      <formula>0</formula>
    </cfRule>
  </conditionalFormatting>
  <conditionalFormatting sqref="H10:H1048576">
    <cfRule type="cellIs" dxfId="745" priority="2619" operator="lessThan">
      <formula>0</formula>
    </cfRule>
  </conditionalFormatting>
  <conditionalFormatting sqref="H10:H1048576">
    <cfRule type="cellIs" dxfId="744" priority="2618" operator="lessThan">
      <formula>0</formula>
    </cfRule>
  </conditionalFormatting>
  <conditionalFormatting sqref="H10:H1048576">
    <cfRule type="cellIs" dxfId="743" priority="2617" operator="lessThan">
      <formula>0</formula>
    </cfRule>
  </conditionalFormatting>
  <conditionalFormatting sqref="H10:H1048576">
    <cfRule type="cellIs" dxfId="742" priority="2616" operator="lessThan">
      <formula>0</formula>
    </cfRule>
  </conditionalFormatting>
  <conditionalFormatting sqref="H10:H1048576">
    <cfRule type="cellIs" dxfId="741" priority="2615" operator="lessThan">
      <formula>0</formula>
    </cfRule>
  </conditionalFormatting>
  <conditionalFormatting sqref="H10:H1048576">
    <cfRule type="cellIs" dxfId="740" priority="2614" operator="lessThan">
      <formula>0</formula>
    </cfRule>
  </conditionalFormatting>
  <conditionalFormatting sqref="H10:H1048576">
    <cfRule type="cellIs" dxfId="739" priority="2613" operator="lessThan">
      <formula>0</formula>
    </cfRule>
  </conditionalFormatting>
  <conditionalFormatting sqref="H10:H1048576">
    <cfRule type="cellIs" dxfId="738" priority="2612" operator="lessThan">
      <formula>0</formula>
    </cfRule>
  </conditionalFormatting>
  <conditionalFormatting sqref="H10:H1048576">
    <cfRule type="cellIs" dxfId="737" priority="2611" operator="lessThan">
      <formula>0</formula>
    </cfRule>
  </conditionalFormatting>
  <conditionalFormatting sqref="H10:H1048576">
    <cfRule type="cellIs" dxfId="736" priority="2610" operator="lessThan">
      <formula>0</formula>
    </cfRule>
  </conditionalFormatting>
  <conditionalFormatting sqref="H10:H1048576">
    <cfRule type="cellIs" dxfId="735" priority="2609" operator="lessThan">
      <formula>0</formula>
    </cfRule>
  </conditionalFormatting>
  <conditionalFormatting sqref="H10:H1048576">
    <cfRule type="cellIs" dxfId="734" priority="2608" operator="lessThan">
      <formula>0</formula>
    </cfRule>
  </conditionalFormatting>
  <conditionalFormatting sqref="H10:H1048576">
    <cfRule type="cellIs" dxfId="733" priority="2607" operator="lessThan">
      <formula>0</formula>
    </cfRule>
  </conditionalFormatting>
  <conditionalFormatting sqref="H10:H1048576">
    <cfRule type="cellIs" dxfId="732" priority="2606" operator="lessThan">
      <formula>0</formula>
    </cfRule>
  </conditionalFormatting>
  <conditionalFormatting sqref="H10:H1048576">
    <cfRule type="cellIs" dxfId="731" priority="2605" operator="lessThan">
      <formula>0</formula>
    </cfRule>
  </conditionalFormatting>
  <conditionalFormatting sqref="H10:H1048576">
    <cfRule type="cellIs" dxfId="730" priority="2604" operator="lessThan">
      <formula>0</formula>
    </cfRule>
  </conditionalFormatting>
  <conditionalFormatting sqref="H10:H1048576">
    <cfRule type="cellIs" dxfId="729" priority="2603" operator="lessThan">
      <formula>0</formula>
    </cfRule>
  </conditionalFormatting>
  <conditionalFormatting sqref="H10:H1048576">
    <cfRule type="cellIs" dxfId="728" priority="2602" operator="lessThan">
      <formula>0</formula>
    </cfRule>
  </conditionalFormatting>
  <conditionalFormatting sqref="H10:H1048576">
    <cfRule type="cellIs" dxfId="727" priority="2601" operator="lessThan">
      <formula>0</formula>
    </cfRule>
  </conditionalFormatting>
  <conditionalFormatting sqref="H10:H1048576">
    <cfRule type="cellIs" dxfId="726" priority="2600" operator="lessThan">
      <formula>0</formula>
    </cfRule>
  </conditionalFormatting>
  <conditionalFormatting sqref="H10:H1048576">
    <cfRule type="cellIs" dxfId="725" priority="2599" operator="lessThan">
      <formula>0</formula>
    </cfRule>
  </conditionalFormatting>
  <conditionalFormatting sqref="H10:H1048576">
    <cfRule type="cellIs" dxfId="724" priority="2598" operator="lessThan">
      <formula>0</formula>
    </cfRule>
  </conditionalFormatting>
  <conditionalFormatting sqref="H10:H1048576">
    <cfRule type="cellIs" dxfId="723" priority="2597" operator="lessThan">
      <formula>0</formula>
    </cfRule>
  </conditionalFormatting>
  <conditionalFormatting sqref="H10:H1048576">
    <cfRule type="cellIs" dxfId="722" priority="2596" operator="lessThan">
      <formula>0</formula>
    </cfRule>
  </conditionalFormatting>
  <conditionalFormatting sqref="H10:H1048576">
    <cfRule type="cellIs" dxfId="721" priority="2595" operator="lessThan">
      <formula>0</formula>
    </cfRule>
  </conditionalFormatting>
  <conditionalFormatting sqref="H10:H1048576">
    <cfRule type="cellIs" dxfId="720" priority="2594" operator="lessThan">
      <formula>0</formula>
    </cfRule>
  </conditionalFormatting>
  <conditionalFormatting sqref="H10:H1048576">
    <cfRule type="cellIs" dxfId="719" priority="2593" operator="lessThan">
      <formula>0</formula>
    </cfRule>
  </conditionalFormatting>
  <conditionalFormatting sqref="H10:H1048576">
    <cfRule type="cellIs" dxfId="718" priority="2592" operator="lessThan">
      <formula>0</formula>
    </cfRule>
  </conditionalFormatting>
  <conditionalFormatting sqref="H10:H1048576">
    <cfRule type="cellIs" dxfId="717" priority="2591" operator="lessThan">
      <formula>0</formula>
    </cfRule>
  </conditionalFormatting>
  <conditionalFormatting sqref="H10:H1048576">
    <cfRule type="cellIs" dxfId="716" priority="2590" operator="lessThan">
      <formula>0</formula>
    </cfRule>
  </conditionalFormatting>
  <conditionalFormatting sqref="H10:H1048576">
    <cfRule type="cellIs" dxfId="715" priority="2589" operator="lessThan">
      <formula>0</formula>
    </cfRule>
  </conditionalFormatting>
  <conditionalFormatting sqref="H10:H1048576">
    <cfRule type="cellIs" dxfId="714" priority="2588" operator="lessThan">
      <formula>0</formula>
    </cfRule>
  </conditionalFormatting>
  <conditionalFormatting sqref="H10:H1048576">
    <cfRule type="cellIs" dxfId="713" priority="2587" operator="lessThan">
      <formula>0</formula>
    </cfRule>
  </conditionalFormatting>
  <conditionalFormatting sqref="H10:H1048576">
    <cfRule type="cellIs" dxfId="712" priority="2586" operator="lessThan">
      <formula>0</formula>
    </cfRule>
  </conditionalFormatting>
  <conditionalFormatting sqref="H10:H1048576">
    <cfRule type="cellIs" dxfId="711" priority="2585" operator="lessThan">
      <formula>0</formula>
    </cfRule>
  </conditionalFormatting>
  <conditionalFormatting sqref="H10:H1048576">
    <cfRule type="cellIs" dxfId="710" priority="2584" operator="lessThan">
      <formula>0</formula>
    </cfRule>
  </conditionalFormatting>
  <conditionalFormatting sqref="H10:H1048576">
    <cfRule type="cellIs" dxfId="709" priority="2583" operator="lessThan">
      <formula>0</formula>
    </cfRule>
  </conditionalFormatting>
  <conditionalFormatting sqref="H10:H1048576">
    <cfRule type="cellIs" dxfId="708" priority="2582" operator="lessThan">
      <formula>0</formula>
    </cfRule>
  </conditionalFormatting>
  <conditionalFormatting sqref="H10:H1048576">
    <cfRule type="cellIs" dxfId="707" priority="2581" operator="lessThan">
      <formula>0</formula>
    </cfRule>
  </conditionalFormatting>
  <conditionalFormatting sqref="H10:H1048576">
    <cfRule type="cellIs" dxfId="706" priority="2580" operator="lessThan">
      <formula>0</formula>
    </cfRule>
  </conditionalFormatting>
  <conditionalFormatting sqref="H10:H1048576">
    <cfRule type="cellIs" dxfId="705" priority="2579" operator="lessThan">
      <formula>0</formula>
    </cfRule>
  </conditionalFormatting>
  <conditionalFormatting sqref="H10:H1048576">
    <cfRule type="cellIs" dxfId="704" priority="2578" operator="lessThan">
      <formula>0</formula>
    </cfRule>
  </conditionalFormatting>
  <conditionalFormatting sqref="H10:H1048576">
    <cfRule type="cellIs" dxfId="703" priority="2577" operator="lessThan">
      <formula>0</formula>
    </cfRule>
  </conditionalFormatting>
  <conditionalFormatting sqref="H10:H1048576">
    <cfRule type="cellIs" dxfId="702" priority="2576" operator="lessThan">
      <formula>0</formula>
    </cfRule>
  </conditionalFormatting>
  <conditionalFormatting sqref="H10:H1048576">
    <cfRule type="cellIs" dxfId="701" priority="2575" operator="lessThan">
      <formula>0</formula>
    </cfRule>
  </conditionalFormatting>
  <conditionalFormatting sqref="H10:H1048576">
    <cfRule type="cellIs" dxfId="700" priority="2574" operator="lessThan">
      <formula>0</formula>
    </cfRule>
  </conditionalFormatting>
  <conditionalFormatting sqref="H10:H1048576">
    <cfRule type="cellIs" dxfId="699" priority="2573" operator="lessThan">
      <formula>0</formula>
    </cfRule>
  </conditionalFormatting>
  <conditionalFormatting sqref="H10:H1048576">
    <cfRule type="cellIs" dxfId="698" priority="2572" operator="lessThan">
      <formula>0</formula>
    </cfRule>
  </conditionalFormatting>
  <conditionalFormatting sqref="H10:H1048576">
    <cfRule type="cellIs" dxfId="697" priority="2571" operator="lessThan">
      <formula>0</formula>
    </cfRule>
  </conditionalFormatting>
  <conditionalFormatting sqref="H10:H1048576">
    <cfRule type="cellIs" dxfId="696" priority="2570" operator="lessThan">
      <formula>0</formula>
    </cfRule>
  </conditionalFormatting>
  <conditionalFormatting sqref="H10:H1048576">
    <cfRule type="cellIs" dxfId="695" priority="2569" operator="lessThan">
      <formula>0</formula>
    </cfRule>
  </conditionalFormatting>
  <conditionalFormatting sqref="H10:H1048576">
    <cfRule type="cellIs" dxfId="694" priority="2568" operator="lessThan">
      <formula>0</formula>
    </cfRule>
  </conditionalFormatting>
  <conditionalFormatting sqref="H10:H1048576">
    <cfRule type="cellIs" dxfId="693" priority="2567" operator="lessThan">
      <formula>0</formula>
    </cfRule>
  </conditionalFormatting>
  <conditionalFormatting sqref="H10:H1048576">
    <cfRule type="cellIs" dxfId="692" priority="2566" operator="lessThan">
      <formula>0</formula>
    </cfRule>
  </conditionalFormatting>
  <conditionalFormatting sqref="H10:H1048576">
    <cfRule type="cellIs" dxfId="691" priority="2565" operator="lessThan">
      <formula>0</formula>
    </cfRule>
  </conditionalFormatting>
  <conditionalFormatting sqref="H10:H1048576">
    <cfRule type="cellIs" dxfId="690" priority="2564" operator="lessThan">
      <formula>0</formula>
    </cfRule>
  </conditionalFormatting>
  <conditionalFormatting sqref="H10:H1048576">
    <cfRule type="cellIs" dxfId="689" priority="2563" operator="lessThan">
      <formula>0</formula>
    </cfRule>
  </conditionalFormatting>
  <conditionalFormatting sqref="H10:H1048576">
    <cfRule type="cellIs" dxfId="688" priority="2562" operator="lessThan">
      <formula>0</formula>
    </cfRule>
  </conditionalFormatting>
  <conditionalFormatting sqref="H10:H1048576">
    <cfRule type="cellIs" dxfId="687" priority="2561" operator="lessThan">
      <formula>0</formula>
    </cfRule>
  </conditionalFormatting>
  <conditionalFormatting sqref="H10:H1048576">
    <cfRule type="cellIs" dxfId="686" priority="2560" operator="lessThan">
      <formula>0</formula>
    </cfRule>
  </conditionalFormatting>
  <conditionalFormatting sqref="H10:H1048576">
    <cfRule type="cellIs" dxfId="685" priority="2559" operator="lessThan">
      <formula>0</formula>
    </cfRule>
  </conditionalFormatting>
  <conditionalFormatting sqref="H10:H1048576">
    <cfRule type="cellIs" dxfId="684" priority="2558" operator="lessThan">
      <formula>0</formula>
    </cfRule>
  </conditionalFormatting>
  <conditionalFormatting sqref="H10:H1048576">
    <cfRule type="cellIs" dxfId="683" priority="2557" operator="lessThan">
      <formula>0</formula>
    </cfRule>
  </conditionalFormatting>
  <conditionalFormatting sqref="H10:H1048576">
    <cfRule type="cellIs" dxfId="682" priority="2556" operator="lessThan">
      <formula>0</formula>
    </cfRule>
  </conditionalFormatting>
  <conditionalFormatting sqref="H10:H1048576">
    <cfRule type="cellIs" dxfId="681" priority="2555" operator="lessThan">
      <formula>0</formula>
    </cfRule>
  </conditionalFormatting>
  <conditionalFormatting sqref="H10:H1048576">
    <cfRule type="cellIs" dxfId="680" priority="2554" operator="lessThan">
      <formula>0</formula>
    </cfRule>
  </conditionalFormatting>
  <conditionalFormatting sqref="H10:H1048576">
    <cfRule type="cellIs" dxfId="679" priority="2553" operator="lessThan">
      <formula>0</formula>
    </cfRule>
  </conditionalFormatting>
  <conditionalFormatting sqref="H10:H1048576">
    <cfRule type="cellIs" dxfId="678" priority="2552" operator="lessThan">
      <formula>0</formula>
    </cfRule>
  </conditionalFormatting>
  <conditionalFormatting sqref="H10:H1048576">
    <cfRule type="cellIs" dxfId="677" priority="2551" operator="lessThan">
      <formula>0</formula>
    </cfRule>
  </conditionalFormatting>
  <conditionalFormatting sqref="H10:H1048576">
    <cfRule type="cellIs" dxfId="676" priority="2550" operator="lessThan">
      <formula>0</formula>
    </cfRule>
  </conditionalFormatting>
  <conditionalFormatting sqref="H10:H1048576">
    <cfRule type="cellIs" dxfId="675" priority="2549" operator="lessThan">
      <formula>0</formula>
    </cfRule>
  </conditionalFormatting>
  <conditionalFormatting sqref="H10:H1048576">
    <cfRule type="cellIs" dxfId="674" priority="2548" operator="lessThan">
      <formula>0</formula>
    </cfRule>
  </conditionalFormatting>
  <conditionalFormatting sqref="H10:H1048576">
    <cfRule type="cellIs" dxfId="673" priority="2547" operator="lessThan">
      <formula>0</formula>
    </cfRule>
  </conditionalFormatting>
  <conditionalFormatting sqref="H10:H1048576">
    <cfRule type="cellIs" dxfId="672" priority="2546" operator="lessThan">
      <formula>0</formula>
    </cfRule>
  </conditionalFormatting>
  <conditionalFormatting sqref="H10:H1048576">
    <cfRule type="cellIs" dxfId="671" priority="2545" operator="lessThan">
      <formula>0</formula>
    </cfRule>
  </conditionalFormatting>
  <conditionalFormatting sqref="H10:H1048576">
    <cfRule type="cellIs" dxfId="670" priority="2544" operator="lessThan">
      <formula>0</formula>
    </cfRule>
  </conditionalFormatting>
  <conditionalFormatting sqref="H10:H1048576">
    <cfRule type="cellIs" dxfId="669" priority="2543" operator="lessThan">
      <formula>0</formula>
    </cfRule>
  </conditionalFormatting>
  <conditionalFormatting sqref="H10:H1048576">
    <cfRule type="cellIs" dxfId="668" priority="2542" operator="lessThan">
      <formula>0</formula>
    </cfRule>
  </conditionalFormatting>
  <conditionalFormatting sqref="H10:H1048576">
    <cfRule type="cellIs" dxfId="667" priority="2541" operator="lessThan">
      <formula>0</formula>
    </cfRule>
  </conditionalFormatting>
  <conditionalFormatting sqref="H10:H1048576">
    <cfRule type="cellIs" dxfId="666" priority="2540" operator="lessThan">
      <formula>0</formula>
    </cfRule>
  </conditionalFormatting>
  <conditionalFormatting sqref="H10:H1048576">
    <cfRule type="cellIs" dxfId="665" priority="2539" operator="lessThan">
      <formula>0</formula>
    </cfRule>
  </conditionalFormatting>
  <conditionalFormatting sqref="H10:H1048576">
    <cfRule type="cellIs" dxfId="664" priority="2538" operator="lessThan">
      <formula>0</formula>
    </cfRule>
  </conditionalFormatting>
  <conditionalFormatting sqref="H10:H1048576">
    <cfRule type="cellIs" dxfId="663" priority="2537" operator="lessThan">
      <formula>0</formula>
    </cfRule>
  </conditionalFormatting>
  <conditionalFormatting sqref="H10:H1048576">
    <cfRule type="cellIs" dxfId="662" priority="2536" operator="lessThan">
      <formula>0</formula>
    </cfRule>
  </conditionalFormatting>
  <conditionalFormatting sqref="H10:H1048576">
    <cfRule type="cellIs" dxfId="661" priority="2535" operator="lessThan">
      <formula>0</formula>
    </cfRule>
  </conditionalFormatting>
  <conditionalFormatting sqref="H10:H1048576">
    <cfRule type="cellIs" dxfId="660" priority="2534" operator="lessThan">
      <formula>0</formula>
    </cfRule>
  </conditionalFormatting>
  <conditionalFormatting sqref="H10:H1048576">
    <cfRule type="cellIs" dxfId="659" priority="2533" operator="lessThan">
      <formula>0</formula>
    </cfRule>
  </conditionalFormatting>
  <conditionalFormatting sqref="H10:H1048576">
    <cfRule type="cellIs" dxfId="658" priority="2532" operator="lessThan">
      <formula>0</formula>
    </cfRule>
  </conditionalFormatting>
  <conditionalFormatting sqref="H10:H1048576">
    <cfRule type="cellIs" dxfId="657" priority="2531" operator="lessThan">
      <formula>0</formula>
    </cfRule>
  </conditionalFormatting>
  <conditionalFormatting sqref="H10:H1048576">
    <cfRule type="cellIs" dxfId="656" priority="2530" operator="lessThan">
      <formula>0</formula>
    </cfRule>
  </conditionalFormatting>
  <conditionalFormatting sqref="H10:H1048576">
    <cfRule type="cellIs" dxfId="655" priority="2529" operator="lessThan">
      <formula>0</formula>
    </cfRule>
  </conditionalFormatting>
  <conditionalFormatting sqref="H10:H1048576">
    <cfRule type="cellIs" dxfId="654" priority="2528" operator="lessThan">
      <formula>0</formula>
    </cfRule>
  </conditionalFormatting>
  <conditionalFormatting sqref="H10:H1048576">
    <cfRule type="cellIs" dxfId="653" priority="2527" operator="lessThan">
      <formula>0</formula>
    </cfRule>
  </conditionalFormatting>
  <conditionalFormatting sqref="H10:H1048576">
    <cfRule type="cellIs" dxfId="652" priority="2526" operator="lessThan">
      <formula>0</formula>
    </cfRule>
  </conditionalFormatting>
  <conditionalFormatting sqref="H10:H1048576">
    <cfRule type="cellIs" dxfId="651" priority="2525" operator="lessThan">
      <formula>0</formula>
    </cfRule>
  </conditionalFormatting>
  <conditionalFormatting sqref="H10:H1048576">
    <cfRule type="cellIs" dxfId="650" priority="2524" operator="lessThan">
      <formula>0</formula>
    </cfRule>
  </conditionalFormatting>
  <conditionalFormatting sqref="H10:H1048576">
    <cfRule type="cellIs" dxfId="649" priority="2523" operator="lessThan">
      <formula>0</formula>
    </cfRule>
  </conditionalFormatting>
  <conditionalFormatting sqref="H10:H1048576">
    <cfRule type="cellIs" dxfId="648" priority="2522" operator="lessThan">
      <formula>0</formula>
    </cfRule>
  </conditionalFormatting>
  <conditionalFormatting sqref="H10:H1048576">
    <cfRule type="cellIs" dxfId="647" priority="2521" operator="lessThan">
      <formula>0</formula>
    </cfRule>
  </conditionalFormatting>
  <conditionalFormatting sqref="H10:H1048576">
    <cfRule type="cellIs" dxfId="646" priority="2520" operator="lessThan">
      <formula>0</formula>
    </cfRule>
  </conditionalFormatting>
  <conditionalFormatting sqref="H10:H1048576">
    <cfRule type="cellIs" dxfId="645" priority="2519" operator="lessThan">
      <formula>0</formula>
    </cfRule>
  </conditionalFormatting>
  <conditionalFormatting sqref="H10:H1048576">
    <cfRule type="cellIs" dxfId="644" priority="2518" operator="lessThan">
      <formula>0</formula>
    </cfRule>
  </conditionalFormatting>
  <conditionalFormatting sqref="H10:H1048576">
    <cfRule type="cellIs" dxfId="643" priority="2517" operator="lessThan">
      <formula>0</formula>
    </cfRule>
  </conditionalFormatting>
  <conditionalFormatting sqref="H10:H1048576">
    <cfRule type="cellIs" dxfId="642" priority="2516" operator="lessThan">
      <formula>0</formula>
    </cfRule>
  </conditionalFormatting>
  <conditionalFormatting sqref="H10:H1048576">
    <cfRule type="cellIs" dxfId="641" priority="2515" operator="lessThan">
      <formula>0</formula>
    </cfRule>
  </conditionalFormatting>
  <conditionalFormatting sqref="H10:H1048576">
    <cfRule type="cellIs" dxfId="640" priority="2514" operator="lessThan">
      <formula>0</formula>
    </cfRule>
  </conditionalFormatting>
  <conditionalFormatting sqref="H10:H1048576">
    <cfRule type="cellIs" dxfId="639" priority="2513" operator="lessThan">
      <formula>0</formula>
    </cfRule>
  </conditionalFormatting>
  <conditionalFormatting sqref="H10:H1048576">
    <cfRule type="cellIs" dxfId="638" priority="2512" operator="lessThan">
      <formula>0</formula>
    </cfRule>
  </conditionalFormatting>
  <conditionalFormatting sqref="H10:H1048576">
    <cfRule type="cellIs" dxfId="637" priority="2511" operator="lessThan">
      <formula>0</formula>
    </cfRule>
  </conditionalFormatting>
  <conditionalFormatting sqref="H10:H1048576">
    <cfRule type="cellIs" dxfId="636" priority="2510" operator="lessThan">
      <formula>0</formula>
    </cfRule>
  </conditionalFormatting>
  <conditionalFormatting sqref="H10:H1048576">
    <cfRule type="cellIs" dxfId="635" priority="2509" operator="lessThan">
      <formula>0</formula>
    </cfRule>
  </conditionalFormatting>
  <conditionalFormatting sqref="H10:H1048576">
    <cfRule type="cellIs" dxfId="634" priority="2508" operator="lessThan">
      <formula>0</formula>
    </cfRule>
  </conditionalFormatting>
  <conditionalFormatting sqref="H10:H1048576">
    <cfRule type="cellIs" dxfId="633" priority="2507" operator="lessThan">
      <formula>0</formula>
    </cfRule>
  </conditionalFormatting>
  <conditionalFormatting sqref="H10:H1048576">
    <cfRule type="cellIs" dxfId="632" priority="2506" operator="lessThan">
      <formula>0</formula>
    </cfRule>
  </conditionalFormatting>
  <conditionalFormatting sqref="H10:H1048576">
    <cfRule type="cellIs" dxfId="631" priority="2505" operator="lessThan">
      <formula>0</formula>
    </cfRule>
  </conditionalFormatting>
  <conditionalFormatting sqref="H10:H1048576">
    <cfRule type="cellIs" dxfId="630" priority="2504" operator="lessThan">
      <formula>0</formula>
    </cfRule>
  </conditionalFormatting>
  <conditionalFormatting sqref="H10:H1048576">
    <cfRule type="cellIs" dxfId="629" priority="2503" operator="lessThan">
      <formula>0</formula>
    </cfRule>
  </conditionalFormatting>
  <conditionalFormatting sqref="H10:H1048576">
    <cfRule type="cellIs" dxfId="628" priority="2502" operator="lessThan">
      <formula>0</formula>
    </cfRule>
  </conditionalFormatting>
  <conditionalFormatting sqref="H10:H1048576">
    <cfRule type="cellIs" dxfId="627" priority="2501" operator="lessThan">
      <formula>0</formula>
    </cfRule>
  </conditionalFormatting>
  <conditionalFormatting sqref="H10:H1048576">
    <cfRule type="cellIs" dxfId="626" priority="2500" operator="lessThan">
      <formula>0</formula>
    </cfRule>
  </conditionalFormatting>
  <conditionalFormatting sqref="H10:H1048576">
    <cfRule type="cellIs" dxfId="625" priority="2499" operator="lessThan">
      <formula>0</formula>
    </cfRule>
  </conditionalFormatting>
  <conditionalFormatting sqref="H10:H1048576">
    <cfRule type="cellIs" dxfId="624" priority="2498" operator="lessThan">
      <formula>0</formula>
    </cfRule>
  </conditionalFormatting>
  <conditionalFormatting sqref="H10:H1048576">
    <cfRule type="cellIs" dxfId="623" priority="2497" operator="lessThan">
      <formula>0</formula>
    </cfRule>
  </conditionalFormatting>
  <conditionalFormatting sqref="H10:H1048576">
    <cfRule type="cellIs" dxfId="622" priority="2496" operator="lessThan">
      <formula>0</formula>
    </cfRule>
  </conditionalFormatting>
  <conditionalFormatting sqref="H10:H1048576">
    <cfRule type="cellIs" dxfId="621" priority="2495" operator="lessThan">
      <formula>0</formula>
    </cfRule>
  </conditionalFormatting>
  <conditionalFormatting sqref="H10:H1048576">
    <cfRule type="cellIs" dxfId="620" priority="2494" operator="lessThan">
      <formula>0</formula>
    </cfRule>
  </conditionalFormatting>
  <conditionalFormatting sqref="H10:H1048576">
    <cfRule type="cellIs" dxfId="619" priority="2493" operator="lessThan">
      <formula>0</formula>
    </cfRule>
  </conditionalFormatting>
  <conditionalFormatting sqref="H10:H1048576">
    <cfRule type="cellIs" dxfId="618" priority="2492" operator="lessThan">
      <formula>0</formula>
    </cfRule>
  </conditionalFormatting>
  <conditionalFormatting sqref="H10:H1048576">
    <cfRule type="cellIs" dxfId="617" priority="2491" operator="lessThan">
      <formula>0</formula>
    </cfRule>
  </conditionalFormatting>
  <conditionalFormatting sqref="H10:H1048576">
    <cfRule type="cellIs" dxfId="616" priority="2490" operator="lessThan">
      <formula>0</formula>
    </cfRule>
  </conditionalFormatting>
  <conditionalFormatting sqref="H10:H1048576">
    <cfRule type="cellIs" dxfId="615" priority="2489" operator="lessThan">
      <formula>0</formula>
    </cfRule>
  </conditionalFormatting>
  <conditionalFormatting sqref="H10:H1048576">
    <cfRule type="cellIs" dxfId="614" priority="2488" operator="lessThan">
      <formula>0</formula>
    </cfRule>
  </conditionalFormatting>
  <conditionalFormatting sqref="H10:H1048576">
    <cfRule type="cellIs" dxfId="613" priority="2487" operator="lessThan">
      <formula>0</formula>
    </cfRule>
  </conditionalFormatting>
  <conditionalFormatting sqref="H10:H1048576">
    <cfRule type="cellIs" dxfId="612" priority="2486" operator="lessThan">
      <formula>0</formula>
    </cfRule>
  </conditionalFormatting>
  <conditionalFormatting sqref="H10:H1048576">
    <cfRule type="cellIs" dxfId="611" priority="2485" operator="lessThan">
      <formula>0</formula>
    </cfRule>
  </conditionalFormatting>
  <conditionalFormatting sqref="H10:H1048576">
    <cfRule type="cellIs" dxfId="610" priority="2484" operator="lessThan">
      <formula>0</formula>
    </cfRule>
  </conditionalFormatting>
  <conditionalFormatting sqref="H10:H1048576">
    <cfRule type="cellIs" dxfId="609" priority="2483" operator="lessThan">
      <formula>0</formula>
    </cfRule>
  </conditionalFormatting>
  <conditionalFormatting sqref="H10:H1048576">
    <cfRule type="cellIs" dxfId="608" priority="2482" operator="lessThan">
      <formula>0</formula>
    </cfRule>
  </conditionalFormatting>
  <conditionalFormatting sqref="H10:H1048576">
    <cfRule type="cellIs" dxfId="607" priority="2481" operator="lessThan">
      <formula>0</formula>
    </cfRule>
  </conditionalFormatting>
  <conditionalFormatting sqref="H10:H1048576">
    <cfRule type="cellIs" dxfId="606" priority="2480" operator="lessThan">
      <formula>0</formula>
    </cfRule>
  </conditionalFormatting>
  <conditionalFormatting sqref="H10:H1048576">
    <cfRule type="cellIs" dxfId="605" priority="2479" operator="lessThan">
      <formula>0</formula>
    </cfRule>
  </conditionalFormatting>
  <conditionalFormatting sqref="H10:H1048576">
    <cfRule type="cellIs" dxfId="604" priority="2478" operator="lessThan">
      <formula>0</formula>
    </cfRule>
  </conditionalFormatting>
  <conditionalFormatting sqref="H10:H1048576">
    <cfRule type="cellIs" dxfId="603" priority="2477" operator="lessThan">
      <formula>0</formula>
    </cfRule>
  </conditionalFormatting>
  <conditionalFormatting sqref="H10:H1048576">
    <cfRule type="cellIs" dxfId="602" priority="2476" operator="lessThan">
      <formula>0</formula>
    </cfRule>
  </conditionalFormatting>
  <conditionalFormatting sqref="H10:H1048576">
    <cfRule type="cellIs" dxfId="601" priority="2475" operator="lessThan">
      <formula>0</formula>
    </cfRule>
  </conditionalFormatting>
  <conditionalFormatting sqref="H10:H1048576">
    <cfRule type="cellIs" dxfId="600" priority="2474" operator="lessThan">
      <formula>0</formula>
    </cfRule>
  </conditionalFormatting>
  <conditionalFormatting sqref="H10:H1048576">
    <cfRule type="cellIs" dxfId="599" priority="2473" operator="lessThan">
      <formula>0</formula>
    </cfRule>
  </conditionalFormatting>
  <conditionalFormatting sqref="H10:H1048576">
    <cfRule type="cellIs" dxfId="598" priority="2472" operator="lessThan">
      <formula>0</formula>
    </cfRule>
  </conditionalFormatting>
  <conditionalFormatting sqref="H10:H1048576">
    <cfRule type="cellIs" dxfId="597" priority="2471" operator="lessThan">
      <formula>0</formula>
    </cfRule>
  </conditionalFormatting>
  <conditionalFormatting sqref="H10:H1048576">
    <cfRule type="cellIs" dxfId="596" priority="2470" operator="lessThan">
      <formula>0</formula>
    </cfRule>
  </conditionalFormatting>
  <conditionalFormatting sqref="H10:H1048576">
    <cfRule type="cellIs" dxfId="595" priority="2469" operator="lessThan">
      <formula>0</formula>
    </cfRule>
  </conditionalFormatting>
  <conditionalFormatting sqref="H10:H1048576">
    <cfRule type="cellIs" dxfId="594" priority="2468" operator="lessThan">
      <formula>0</formula>
    </cfRule>
  </conditionalFormatting>
  <conditionalFormatting sqref="H10:H1048576">
    <cfRule type="cellIs" dxfId="593" priority="2467" operator="lessThan">
      <formula>0</formula>
    </cfRule>
  </conditionalFormatting>
  <conditionalFormatting sqref="H10:H1048576">
    <cfRule type="cellIs" dxfId="592" priority="2466" operator="lessThan">
      <formula>0</formula>
    </cfRule>
  </conditionalFormatting>
  <conditionalFormatting sqref="H10:H1048576">
    <cfRule type="cellIs" dxfId="591" priority="2465" operator="lessThan">
      <formula>0</formula>
    </cfRule>
  </conditionalFormatting>
  <conditionalFormatting sqref="H10:H1048576">
    <cfRule type="cellIs" dxfId="590" priority="2464" operator="lessThan">
      <formula>0</formula>
    </cfRule>
  </conditionalFormatting>
  <conditionalFormatting sqref="H10:H1048576">
    <cfRule type="cellIs" dxfId="589" priority="2463" operator="lessThan">
      <formula>0</formula>
    </cfRule>
  </conditionalFormatting>
  <conditionalFormatting sqref="H10:H1048576">
    <cfRule type="cellIs" dxfId="588" priority="2462" operator="lessThan">
      <formula>0</formula>
    </cfRule>
  </conditionalFormatting>
  <conditionalFormatting sqref="H10:H1048576">
    <cfRule type="cellIs" dxfId="587" priority="2461" operator="lessThan">
      <formula>0</formula>
    </cfRule>
  </conditionalFormatting>
  <conditionalFormatting sqref="H10:H1048576">
    <cfRule type="cellIs" dxfId="586" priority="2460" operator="lessThan">
      <formula>0</formula>
    </cfRule>
  </conditionalFormatting>
  <conditionalFormatting sqref="H10:H1048576">
    <cfRule type="cellIs" dxfId="585" priority="2459" operator="lessThan">
      <formula>0</formula>
    </cfRule>
  </conditionalFormatting>
  <conditionalFormatting sqref="H10:H1048576">
    <cfRule type="cellIs" dxfId="584" priority="2458" operator="lessThan">
      <formula>0</formula>
    </cfRule>
  </conditionalFormatting>
  <conditionalFormatting sqref="H10:H1048576">
    <cfRule type="cellIs" dxfId="583" priority="2457" operator="lessThan">
      <formula>0</formula>
    </cfRule>
  </conditionalFormatting>
  <conditionalFormatting sqref="H10:H1048576">
    <cfRule type="cellIs" dxfId="582" priority="2456" operator="lessThan">
      <formula>0</formula>
    </cfRule>
  </conditionalFormatting>
  <conditionalFormatting sqref="H10:H1048576">
    <cfRule type="cellIs" dxfId="581" priority="2455" operator="lessThan">
      <formula>0</formula>
    </cfRule>
  </conditionalFormatting>
  <conditionalFormatting sqref="H10:H1048576">
    <cfRule type="cellIs" dxfId="580" priority="2454" operator="lessThan">
      <formula>0</formula>
    </cfRule>
  </conditionalFormatting>
  <conditionalFormatting sqref="H10:H1048576">
    <cfRule type="cellIs" dxfId="579" priority="2453" operator="lessThan">
      <formula>0</formula>
    </cfRule>
  </conditionalFormatting>
  <conditionalFormatting sqref="H10:H1048576">
    <cfRule type="cellIs" dxfId="578" priority="2452" operator="lessThan">
      <formula>0</formula>
    </cfRule>
  </conditionalFormatting>
  <conditionalFormatting sqref="H10:H1048576">
    <cfRule type="cellIs" dxfId="577" priority="2451" operator="lessThan">
      <formula>0</formula>
    </cfRule>
  </conditionalFormatting>
  <conditionalFormatting sqref="H10:H1048576">
    <cfRule type="cellIs" dxfId="576" priority="2450" operator="lessThan">
      <formula>0</formula>
    </cfRule>
  </conditionalFormatting>
  <conditionalFormatting sqref="H10:H1048576">
    <cfRule type="cellIs" dxfId="575" priority="2449" operator="lessThan">
      <formula>0</formula>
    </cfRule>
  </conditionalFormatting>
  <conditionalFormatting sqref="H10:H1048576">
    <cfRule type="cellIs" dxfId="574" priority="2448" operator="lessThan">
      <formula>0</formula>
    </cfRule>
  </conditionalFormatting>
  <conditionalFormatting sqref="H10:H1048576">
    <cfRule type="cellIs" dxfId="573" priority="2447" operator="lessThan">
      <formula>0</formula>
    </cfRule>
  </conditionalFormatting>
  <conditionalFormatting sqref="H10:H1048576">
    <cfRule type="cellIs" dxfId="572" priority="2446" operator="lessThan">
      <formula>0</formula>
    </cfRule>
  </conditionalFormatting>
  <conditionalFormatting sqref="H10:H1048576">
    <cfRule type="cellIs" dxfId="571" priority="2445" operator="lessThan">
      <formula>0</formula>
    </cfRule>
  </conditionalFormatting>
  <conditionalFormatting sqref="H10:H1048576">
    <cfRule type="cellIs" dxfId="570" priority="2444" operator="lessThan">
      <formula>0</formula>
    </cfRule>
  </conditionalFormatting>
  <conditionalFormatting sqref="H10:H1048576">
    <cfRule type="cellIs" dxfId="569" priority="2443" operator="lessThan">
      <formula>0</formula>
    </cfRule>
  </conditionalFormatting>
  <conditionalFormatting sqref="H10:H1048576">
    <cfRule type="cellIs" dxfId="568" priority="2442" operator="lessThan">
      <formula>0</formula>
    </cfRule>
  </conditionalFormatting>
  <conditionalFormatting sqref="H10:H1048576">
    <cfRule type="cellIs" dxfId="567" priority="2441" operator="lessThan">
      <formula>0</formula>
    </cfRule>
  </conditionalFormatting>
  <conditionalFormatting sqref="H10:H1048576">
    <cfRule type="cellIs" dxfId="566" priority="2440" operator="lessThan">
      <formula>0</formula>
    </cfRule>
  </conditionalFormatting>
  <conditionalFormatting sqref="H10:H1048576">
    <cfRule type="cellIs" dxfId="565" priority="2439" operator="lessThan">
      <formula>0</formula>
    </cfRule>
  </conditionalFormatting>
  <conditionalFormatting sqref="H10:H1048576">
    <cfRule type="cellIs" dxfId="564" priority="2438" operator="lessThan">
      <formula>0</formula>
    </cfRule>
  </conditionalFormatting>
  <conditionalFormatting sqref="H10:H1048576">
    <cfRule type="cellIs" dxfId="563" priority="2437" operator="lessThan">
      <formula>0</formula>
    </cfRule>
  </conditionalFormatting>
  <conditionalFormatting sqref="H10:H1048576">
    <cfRule type="cellIs" dxfId="562" priority="2436" operator="lessThan">
      <formula>0</formula>
    </cfRule>
  </conditionalFormatting>
  <conditionalFormatting sqref="H10:H1048576">
    <cfRule type="cellIs" dxfId="561" priority="2435" operator="lessThan">
      <formula>0</formula>
    </cfRule>
  </conditionalFormatting>
  <conditionalFormatting sqref="H10:H1048576">
    <cfRule type="cellIs" dxfId="560" priority="2434" operator="lessThan">
      <formula>0</formula>
    </cfRule>
  </conditionalFormatting>
  <conditionalFormatting sqref="H10:H1048576">
    <cfRule type="cellIs" dxfId="559" priority="2433" operator="lessThan">
      <formula>0</formula>
    </cfRule>
  </conditionalFormatting>
  <conditionalFormatting sqref="H10:H1048576">
    <cfRule type="cellIs" dxfId="558" priority="2432" operator="lessThan">
      <formula>0</formula>
    </cfRule>
  </conditionalFormatting>
  <conditionalFormatting sqref="H10:H1048576">
    <cfRule type="cellIs" dxfId="557" priority="2431" operator="lessThan">
      <formula>0</formula>
    </cfRule>
  </conditionalFormatting>
  <conditionalFormatting sqref="H10:H1048576">
    <cfRule type="cellIs" dxfId="556" priority="2430" operator="lessThan">
      <formula>0</formula>
    </cfRule>
  </conditionalFormatting>
  <conditionalFormatting sqref="H10:H1048576">
    <cfRule type="cellIs" dxfId="555" priority="2429" operator="lessThan">
      <formula>0</formula>
    </cfRule>
  </conditionalFormatting>
  <conditionalFormatting sqref="H10:H1048576">
    <cfRule type="cellIs" dxfId="554" priority="2428" operator="lessThan">
      <formula>0</formula>
    </cfRule>
  </conditionalFormatting>
  <conditionalFormatting sqref="H10:H1048576">
    <cfRule type="cellIs" dxfId="553" priority="2427" operator="lessThan">
      <formula>0</formula>
    </cfRule>
  </conditionalFormatting>
  <conditionalFormatting sqref="H10:H1048576">
    <cfRule type="cellIs" dxfId="552" priority="2426" operator="lessThan">
      <formula>0</formula>
    </cfRule>
  </conditionalFormatting>
  <conditionalFormatting sqref="H10:H1048576">
    <cfRule type="cellIs" dxfId="551" priority="2425" operator="lessThan">
      <formula>0</formula>
    </cfRule>
  </conditionalFormatting>
  <conditionalFormatting sqref="H10:H1048576">
    <cfRule type="cellIs" dxfId="550" priority="2424" operator="lessThan">
      <formula>0</formula>
    </cfRule>
  </conditionalFormatting>
  <conditionalFormatting sqref="H10:H1048576">
    <cfRule type="cellIs" dxfId="549" priority="2423" operator="lessThan">
      <formula>0</formula>
    </cfRule>
  </conditionalFormatting>
  <conditionalFormatting sqref="H10:H1048576">
    <cfRule type="cellIs" dxfId="548" priority="2422" operator="lessThan">
      <formula>0</formula>
    </cfRule>
  </conditionalFormatting>
  <conditionalFormatting sqref="H10:H1048576">
    <cfRule type="cellIs" dxfId="547" priority="2421" operator="lessThan">
      <formula>0</formula>
    </cfRule>
  </conditionalFormatting>
  <conditionalFormatting sqref="H10:H1048576">
    <cfRule type="cellIs" dxfId="546" priority="2420" operator="lessThan">
      <formula>0</formula>
    </cfRule>
  </conditionalFormatting>
  <conditionalFormatting sqref="H10:H1048576">
    <cfRule type="cellIs" dxfId="545" priority="2419" operator="lessThan">
      <formula>0</formula>
    </cfRule>
  </conditionalFormatting>
  <conditionalFormatting sqref="H10:H1048576">
    <cfRule type="cellIs" dxfId="544" priority="2418" operator="lessThan">
      <formula>0</formula>
    </cfRule>
  </conditionalFormatting>
  <conditionalFormatting sqref="H10:H1048576">
    <cfRule type="cellIs" dxfId="543" priority="2417" operator="lessThan">
      <formula>0</formula>
    </cfRule>
  </conditionalFormatting>
  <conditionalFormatting sqref="H10:H1048576">
    <cfRule type="cellIs" dxfId="542" priority="2416" operator="lessThan">
      <formula>0</formula>
    </cfRule>
  </conditionalFormatting>
  <conditionalFormatting sqref="H10:H1048576">
    <cfRule type="cellIs" dxfId="541" priority="2415" operator="lessThan">
      <formula>0</formula>
    </cfRule>
  </conditionalFormatting>
  <conditionalFormatting sqref="H10:H1048576">
    <cfRule type="cellIs" dxfId="540" priority="2414" operator="lessThan">
      <formula>0</formula>
    </cfRule>
  </conditionalFormatting>
  <conditionalFormatting sqref="H10:H1048576">
    <cfRule type="cellIs" dxfId="539" priority="2413" operator="lessThan">
      <formula>0</formula>
    </cfRule>
  </conditionalFormatting>
  <conditionalFormatting sqref="H10:H1048576">
    <cfRule type="cellIs" dxfId="538" priority="2412" operator="lessThan">
      <formula>0</formula>
    </cfRule>
  </conditionalFormatting>
  <conditionalFormatting sqref="H10:H1048576">
    <cfRule type="cellIs" dxfId="537" priority="2411" operator="lessThan">
      <formula>0</formula>
    </cfRule>
  </conditionalFormatting>
  <conditionalFormatting sqref="H10:H1048576">
    <cfRule type="cellIs" dxfId="536" priority="2410" operator="lessThan">
      <formula>0</formula>
    </cfRule>
  </conditionalFormatting>
  <conditionalFormatting sqref="H10:H1048576">
    <cfRule type="cellIs" dxfId="535" priority="2409" operator="lessThan">
      <formula>0</formula>
    </cfRule>
  </conditionalFormatting>
  <conditionalFormatting sqref="H10:H1048576">
    <cfRule type="cellIs" dxfId="534" priority="2408" operator="lessThan">
      <formula>0</formula>
    </cfRule>
  </conditionalFormatting>
  <conditionalFormatting sqref="H10:H1048576">
    <cfRule type="cellIs" dxfId="533" priority="2407" operator="lessThan">
      <formula>0</formula>
    </cfRule>
  </conditionalFormatting>
  <conditionalFormatting sqref="H10:H1048576">
    <cfRule type="cellIs" dxfId="532" priority="2406" operator="lessThan">
      <formula>0</formula>
    </cfRule>
  </conditionalFormatting>
  <conditionalFormatting sqref="H10:H1048576">
    <cfRule type="cellIs" dxfId="531" priority="2405" operator="lessThan">
      <formula>0</formula>
    </cfRule>
  </conditionalFormatting>
  <conditionalFormatting sqref="H10:H1048576">
    <cfRule type="cellIs" dxfId="530" priority="2404" operator="lessThan">
      <formula>0</formula>
    </cfRule>
  </conditionalFormatting>
  <conditionalFormatting sqref="H10:H1048576">
    <cfRule type="cellIs" dxfId="529" priority="2403" operator="lessThan">
      <formula>0</formula>
    </cfRule>
  </conditionalFormatting>
  <conditionalFormatting sqref="H10:H1048576">
    <cfRule type="cellIs" dxfId="528" priority="2402" operator="lessThan">
      <formula>0</formula>
    </cfRule>
  </conditionalFormatting>
  <conditionalFormatting sqref="H10:H1048576">
    <cfRule type="cellIs" dxfId="527" priority="2401" operator="lessThan">
      <formula>0</formula>
    </cfRule>
  </conditionalFormatting>
  <conditionalFormatting sqref="H10:H1048576">
    <cfRule type="cellIs" dxfId="526" priority="2400" operator="lessThan">
      <formula>0</formula>
    </cfRule>
  </conditionalFormatting>
  <conditionalFormatting sqref="H10:H1048576">
    <cfRule type="cellIs" dxfId="525" priority="2399" operator="lessThan">
      <formula>0</formula>
    </cfRule>
  </conditionalFormatting>
  <conditionalFormatting sqref="H10:H1048576">
    <cfRule type="cellIs" dxfId="524" priority="2398" operator="lessThan">
      <formula>0</formula>
    </cfRule>
  </conditionalFormatting>
  <conditionalFormatting sqref="H10:H1048576">
    <cfRule type="cellIs" dxfId="523" priority="2397" operator="lessThan">
      <formula>0</formula>
    </cfRule>
  </conditionalFormatting>
  <conditionalFormatting sqref="H10:H1048576">
    <cfRule type="cellIs" dxfId="522" priority="2396" operator="lessThan">
      <formula>0</formula>
    </cfRule>
  </conditionalFormatting>
  <conditionalFormatting sqref="H10:H1048576">
    <cfRule type="cellIs" dxfId="521" priority="2395" operator="lessThan">
      <formula>0</formula>
    </cfRule>
  </conditionalFormatting>
  <conditionalFormatting sqref="H10:H1048576">
    <cfRule type="cellIs" dxfId="520" priority="2394" operator="lessThan">
      <formula>0</formula>
    </cfRule>
  </conditionalFormatting>
  <conditionalFormatting sqref="H10:H1048576">
    <cfRule type="cellIs" dxfId="519" priority="2393" operator="lessThan">
      <formula>0</formula>
    </cfRule>
  </conditionalFormatting>
  <conditionalFormatting sqref="H10:H1048576">
    <cfRule type="cellIs" dxfId="518" priority="2392" operator="lessThan">
      <formula>0</formula>
    </cfRule>
  </conditionalFormatting>
  <conditionalFormatting sqref="H10:H1048576">
    <cfRule type="cellIs" dxfId="517" priority="2391" operator="lessThan">
      <formula>0</formula>
    </cfRule>
  </conditionalFormatting>
  <conditionalFormatting sqref="H10:H1048576">
    <cfRule type="cellIs" dxfId="516" priority="2390" operator="lessThan">
      <formula>0</formula>
    </cfRule>
  </conditionalFormatting>
  <conditionalFormatting sqref="H10:H1048576">
    <cfRule type="cellIs" dxfId="515" priority="2389" operator="lessThan">
      <formula>0</formula>
    </cfRule>
  </conditionalFormatting>
  <conditionalFormatting sqref="H10:H1048576">
    <cfRule type="cellIs" dxfId="514" priority="2388" operator="lessThan">
      <formula>0</formula>
    </cfRule>
  </conditionalFormatting>
  <conditionalFormatting sqref="H10:H1048576">
    <cfRule type="cellIs" dxfId="513" priority="2387" operator="lessThan">
      <formula>0</formula>
    </cfRule>
  </conditionalFormatting>
  <conditionalFormatting sqref="H10:H1048576">
    <cfRule type="cellIs" dxfId="512" priority="2386" operator="lessThan">
      <formula>0</formula>
    </cfRule>
  </conditionalFormatting>
  <conditionalFormatting sqref="H10:H1048576">
    <cfRule type="cellIs" dxfId="511" priority="2385" operator="lessThan">
      <formula>0</formula>
    </cfRule>
  </conditionalFormatting>
  <conditionalFormatting sqref="H10:H1048576">
    <cfRule type="cellIs" dxfId="510" priority="2384" operator="lessThan">
      <formula>0</formula>
    </cfRule>
  </conditionalFormatting>
  <conditionalFormatting sqref="H10:H1048576">
    <cfRule type="cellIs" dxfId="509" priority="2383" operator="lessThan">
      <formula>0</formula>
    </cfRule>
  </conditionalFormatting>
  <conditionalFormatting sqref="H10:H1048576">
    <cfRule type="cellIs" dxfId="508" priority="2382" operator="lessThan">
      <formula>0</formula>
    </cfRule>
  </conditionalFormatting>
  <conditionalFormatting sqref="H10:H1048576">
    <cfRule type="cellIs" dxfId="507" priority="2381" operator="lessThan">
      <formula>0</formula>
    </cfRule>
  </conditionalFormatting>
  <conditionalFormatting sqref="H10:H1048576">
    <cfRule type="cellIs" dxfId="506" priority="2380" operator="lessThan">
      <formula>0</formula>
    </cfRule>
  </conditionalFormatting>
  <conditionalFormatting sqref="H10:H1048576">
    <cfRule type="cellIs" dxfId="505" priority="2379" operator="lessThan">
      <formula>0</formula>
    </cfRule>
  </conditionalFormatting>
  <conditionalFormatting sqref="H10:H1048576">
    <cfRule type="cellIs" dxfId="504" priority="2378" operator="lessThan">
      <formula>0</formula>
    </cfRule>
  </conditionalFormatting>
  <conditionalFormatting sqref="H10:H1048576">
    <cfRule type="cellIs" dxfId="503" priority="2377" operator="lessThan">
      <formula>0</formula>
    </cfRule>
  </conditionalFormatting>
  <conditionalFormatting sqref="H10:H1048576">
    <cfRule type="cellIs" dxfId="502" priority="2376" operator="lessThan">
      <formula>0</formula>
    </cfRule>
  </conditionalFormatting>
  <conditionalFormatting sqref="H10:H1048576">
    <cfRule type="cellIs" dxfId="501" priority="2375" operator="lessThan">
      <formula>0</formula>
    </cfRule>
  </conditionalFormatting>
  <conditionalFormatting sqref="H10:H1048576">
    <cfRule type="cellIs" dxfId="500" priority="2374" operator="lessThan">
      <formula>0</formula>
    </cfRule>
  </conditionalFormatting>
  <conditionalFormatting sqref="H10:H1048576">
    <cfRule type="cellIs" dxfId="499" priority="2373" operator="lessThan">
      <formula>0</formula>
    </cfRule>
  </conditionalFormatting>
  <conditionalFormatting sqref="H10:H1048576">
    <cfRule type="cellIs" dxfId="498" priority="2372" operator="lessThan">
      <formula>0</formula>
    </cfRule>
  </conditionalFormatting>
  <conditionalFormatting sqref="H10:H1048576">
    <cfRule type="cellIs" dxfId="497" priority="2371" operator="lessThan">
      <formula>0</formula>
    </cfRule>
  </conditionalFormatting>
  <conditionalFormatting sqref="H10:H1048576">
    <cfRule type="cellIs" dxfId="496" priority="2370" operator="lessThan">
      <formula>0</formula>
    </cfRule>
  </conditionalFormatting>
  <conditionalFormatting sqref="H10:H1048576">
    <cfRule type="cellIs" dxfId="495" priority="2369" operator="lessThan">
      <formula>0</formula>
    </cfRule>
  </conditionalFormatting>
  <conditionalFormatting sqref="H10:H1048576">
    <cfRule type="cellIs" dxfId="494" priority="2368" operator="lessThan">
      <formula>0</formula>
    </cfRule>
  </conditionalFormatting>
  <conditionalFormatting sqref="H10:H1048576">
    <cfRule type="cellIs" dxfId="493" priority="2367" operator="lessThan">
      <formula>0</formula>
    </cfRule>
  </conditionalFormatting>
  <conditionalFormatting sqref="H10:H1048576">
    <cfRule type="cellIs" dxfId="492" priority="2366" operator="lessThan">
      <formula>0</formula>
    </cfRule>
  </conditionalFormatting>
  <conditionalFormatting sqref="H10:H1048576">
    <cfRule type="cellIs" dxfId="491" priority="2365" operator="lessThan">
      <formula>0</formula>
    </cfRule>
  </conditionalFormatting>
  <conditionalFormatting sqref="H10:H1048576">
    <cfRule type="cellIs" dxfId="490" priority="2364" operator="lessThan">
      <formula>0</formula>
    </cfRule>
  </conditionalFormatting>
  <conditionalFormatting sqref="H10:H1048576">
    <cfRule type="cellIs" dxfId="489" priority="2363" operator="lessThan">
      <formula>0</formula>
    </cfRule>
  </conditionalFormatting>
  <conditionalFormatting sqref="H10:H1048576">
    <cfRule type="cellIs" dxfId="488" priority="2362" operator="lessThan">
      <formula>0</formula>
    </cfRule>
  </conditionalFormatting>
  <conditionalFormatting sqref="H10:H1048576">
    <cfRule type="cellIs" dxfId="487" priority="2361" operator="lessThan">
      <formula>0</formula>
    </cfRule>
  </conditionalFormatting>
  <conditionalFormatting sqref="H10:H1048576">
    <cfRule type="cellIs" dxfId="486" priority="2360" operator="lessThan">
      <formula>0</formula>
    </cfRule>
  </conditionalFormatting>
  <conditionalFormatting sqref="H10:H1048576">
    <cfRule type="cellIs" dxfId="485" priority="2359" operator="lessThan">
      <formula>0</formula>
    </cfRule>
  </conditionalFormatting>
  <conditionalFormatting sqref="H10:H1048576">
    <cfRule type="cellIs" dxfId="484" priority="2358" operator="lessThan">
      <formula>0</formula>
    </cfRule>
  </conditionalFormatting>
  <conditionalFormatting sqref="H10:H1048576">
    <cfRule type="cellIs" dxfId="483" priority="2357" operator="lessThan">
      <formula>0</formula>
    </cfRule>
  </conditionalFormatting>
  <conditionalFormatting sqref="H10:H1048576">
    <cfRule type="cellIs" dxfId="482" priority="2356" operator="lessThan">
      <formula>0</formula>
    </cfRule>
  </conditionalFormatting>
  <conditionalFormatting sqref="H10:H1048576">
    <cfRule type="cellIs" dxfId="481" priority="2355" operator="lessThan">
      <formula>0</formula>
    </cfRule>
  </conditionalFormatting>
  <conditionalFormatting sqref="H10:H1048576">
    <cfRule type="cellIs" dxfId="480" priority="2354" operator="lessThan">
      <formula>0</formula>
    </cfRule>
  </conditionalFormatting>
  <conditionalFormatting sqref="H10:H1048576">
    <cfRule type="cellIs" dxfId="479" priority="2353" operator="lessThan">
      <formula>0</formula>
    </cfRule>
  </conditionalFormatting>
  <conditionalFormatting sqref="H10:H1048576">
    <cfRule type="cellIs" dxfId="478" priority="2352" operator="lessThan">
      <formula>0</formula>
    </cfRule>
  </conditionalFormatting>
  <conditionalFormatting sqref="H10:H1048576">
    <cfRule type="cellIs" dxfId="477" priority="2351" operator="lessThan">
      <formula>0</formula>
    </cfRule>
  </conditionalFormatting>
  <conditionalFormatting sqref="H10:H1048576">
    <cfRule type="cellIs" dxfId="476" priority="2350" operator="lessThan">
      <formula>0</formula>
    </cfRule>
  </conditionalFormatting>
  <conditionalFormatting sqref="H10:H1048576">
    <cfRule type="cellIs" dxfId="475" priority="2349" operator="lessThan">
      <formula>0</formula>
    </cfRule>
  </conditionalFormatting>
  <conditionalFormatting sqref="H10:H1048576">
    <cfRule type="cellIs" dxfId="474" priority="2348" operator="lessThan">
      <formula>0</formula>
    </cfRule>
  </conditionalFormatting>
  <conditionalFormatting sqref="H10:H1048576">
    <cfRule type="cellIs" dxfId="473" priority="2347" operator="lessThan">
      <formula>0</formula>
    </cfRule>
  </conditionalFormatting>
  <conditionalFormatting sqref="H10:H1048576">
    <cfRule type="cellIs" dxfId="472" priority="2346" operator="lessThan">
      <formula>0</formula>
    </cfRule>
  </conditionalFormatting>
  <conditionalFormatting sqref="H10:H1048576">
    <cfRule type="cellIs" dxfId="471" priority="2345" operator="lessThan">
      <formula>0</formula>
    </cfRule>
  </conditionalFormatting>
  <conditionalFormatting sqref="H10:H1048576">
    <cfRule type="cellIs" dxfId="470" priority="2344" operator="lessThan">
      <formula>0</formula>
    </cfRule>
  </conditionalFormatting>
  <conditionalFormatting sqref="H10:H1048576">
    <cfRule type="cellIs" dxfId="469" priority="2343" operator="lessThan">
      <formula>0</formula>
    </cfRule>
  </conditionalFormatting>
  <conditionalFormatting sqref="H10:H1048576">
    <cfRule type="cellIs" dxfId="468" priority="2342" operator="lessThan">
      <formula>0</formula>
    </cfRule>
  </conditionalFormatting>
  <conditionalFormatting sqref="H10:H1048576">
    <cfRule type="cellIs" dxfId="467" priority="2341" operator="lessThan">
      <formula>0</formula>
    </cfRule>
  </conditionalFormatting>
  <conditionalFormatting sqref="H10:H1048576">
    <cfRule type="cellIs" dxfId="466" priority="2340" operator="lessThan">
      <formula>0</formula>
    </cfRule>
  </conditionalFormatting>
  <conditionalFormatting sqref="H10:H1048576">
    <cfRule type="cellIs" dxfId="465" priority="2339" operator="lessThan">
      <formula>0</formula>
    </cfRule>
  </conditionalFormatting>
  <conditionalFormatting sqref="H10:H1048576">
    <cfRule type="cellIs" dxfId="464" priority="2338" operator="lessThan">
      <formula>0</formula>
    </cfRule>
  </conditionalFormatting>
  <conditionalFormatting sqref="H10:H1048576">
    <cfRule type="cellIs" dxfId="463" priority="2337" operator="lessThan">
      <formula>0</formula>
    </cfRule>
  </conditionalFormatting>
  <conditionalFormatting sqref="H10:H1048576">
    <cfRule type="cellIs" dxfId="462" priority="2336" operator="lessThan">
      <formula>0</formula>
    </cfRule>
  </conditionalFormatting>
  <conditionalFormatting sqref="H10:H1048576">
    <cfRule type="cellIs" dxfId="461" priority="2335" operator="lessThan">
      <formula>0</formula>
    </cfRule>
  </conditionalFormatting>
  <conditionalFormatting sqref="H10:H1048576">
    <cfRule type="cellIs" dxfId="460" priority="2334" operator="lessThan">
      <formula>0</formula>
    </cfRule>
  </conditionalFormatting>
  <conditionalFormatting sqref="H10:H1048576">
    <cfRule type="cellIs" dxfId="459" priority="2333" operator="lessThan">
      <formula>0</formula>
    </cfRule>
  </conditionalFormatting>
  <conditionalFormatting sqref="H10:H1048576">
    <cfRule type="cellIs" dxfId="458" priority="2332" operator="lessThan">
      <formula>0</formula>
    </cfRule>
  </conditionalFormatting>
  <conditionalFormatting sqref="H10:H1048576">
    <cfRule type="cellIs" dxfId="457" priority="2331" operator="lessThan">
      <formula>0</formula>
    </cfRule>
  </conditionalFormatting>
  <conditionalFormatting sqref="H10:H1048576">
    <cfRule type="cellIs" dxfId="456" priority="2330" operator="lessThan">
      <formula>0</formula>
    </cfRule>
  </conditionalFormatting>
  <conditionalFormatting sqref="H10:H1048576">
    <cfRule type="cellIs" dxfId="455" priority="2329" operator="lessThan">
      <formula>0</formula>
    </cfRule>
  </conditionalFormatting>
  <conditionalFormatting sqref="H10:H1048576">
    <cfRule type="cellIs" dxfId="454" priority="2328" operator="lessThan">
      <formula>0</formula>
    </cfRule>
  </conditionalFormatting>
  <conditionalFormatting sqref="H10:H1048576">
    <cfRule type="cellIs" dxfId="453" priority="2327" operator="lessThan">
      <formula>0</formula>
    </cfRule>
  </conditionalFormatting>
  <conditionalFormatting sqref="H10:H1048576">
    <cfRule type="cellIs" dxfId="452" priority="2326" operator="lessThan">
      <formula>0</formula>
    </cfRule>
  </conditionalFormatting>
  <conditionalFormatting sqref="H10:H1048576">
    <cfRule type="cellIs" dxfId="451" priority="2325" operator="lessThan">
      <formula>0</formula>
    </cfRule>
  </conditionalFormatting>
  <conditionalFormatting sqref="H10:H1048576">
    <cfRule type="cellIs" dxfId="450" priority="2324" operator="lessThan">
      <formula>0</formula>
    </cfRule>
  </conditionalFormatting>
  <conditionalFormatting sqref="H10:H1048576">
    <cfRule type="cellIs" dxfId="449" priority="2323" operator="lessThan">
      <formula>0</formula>
    </cfRule>
  </conditionalFormatting>
  <conditionalFormatting sqref="H10:H1048576">
    <cfRule type="cellIs" dxfId="448" priority="2322" operator="lessThan">
      <formula>0</formula>
    </cfRule>
  </conditionalFormatting>
  <conditionalFormatting sqref="H10:H1048576">
    <cfRule type="cellIs" dxfId="447" priority="2321" operator="lessThan">
      <formula>0</formula>
    </cfRule>
  </conditionalFormatting>
  <conditionalFormatting sqref="H10:H1048576">
    <cfRule type="cellIs" dxfId="446" priority="2320" operator="lessThan">
      <formula>0</formula>
    </cfRule>
  </conditionalFormatting>
  <conditionalFormatting sqref="H10:H1048576">
    <cfRule type="cellIs" dxfId="445" priority="2319" operator="lessThan">
      <formula>0</formula>
    </cfRule>
  </conditionalFormatting>
  <conditionalFormatting sqref="H10:H1048576">
    <cfRule type="cellIs" dxfId="444" priority="2318" operator="lessThan">
      <formula>0</formula>
    </cfRule>
  </conditionalFormatting>
  <conditionalFormatting sqref="H10:H1048576">
    <cfRule type="cellIs" dxfId="443" priority="2317" operator="lessThan">
      <formula>0</formula>
    </cfRule>
  </conditionalFormatting>
  <conditionalFormatting sqref="H10:H1048576">
    <cfRule type="cellIs" dxfId="442" priority="2316" operator="lessThan">
      <formula>0</formula>
    </cfRule>
  </conditionalFormatting>
  <conditionalFormatting sqref="H10:H1048576">
    <cfRule type="cellIs" dxfId="441" priority="2315" operator="lessThan">
      <formula>0</formula>
    </cfRule>
  </conditionalFormatting>
  <conditionalFormatting sqref="H10:H1048576">
    <cfRule type="cellIs" dxfId="440" priority="2314" operator="lessThan">
      <formula>0</formula>
    </cfRule>
  </conditionalFormatting>
  <conditionalFormatting sqref="H10:H1048576">
    <cfRule type="cellIs" dxfId="439" priority="2313" operator="lessThan">
      <formula>0</formula>
    </cfRule>
  </conditionalFormatting>
  <conditionalFormatting sqref="H10:H1048576">
    <cfRule type="cellIs" dxfId="438" priority="2312" operator="lessThan">
      <formula>0</formula>
    </cfRule>
  </conditionalFormatting>
  <conditionalFormatting sqref="H10:H1048576">
    <cfRule type="cellIs" dxfId="437" priority="2311" operator="lessThan">
      <formula>0</formula>
    </cfRule>
  </conditionalFormatting>
  <conditionalFormatting sqref="H10:H1048576">
    <cfRule type="cellIs" dxfId="436" priority="2310" operator="lessThan">
      <formula>0</formula>
    </cfRule>
  </conditionalFormatting>
  <conditionalFormatting sqref="H10:H1048576">
    <cfRule type="cellIs" dxfId="435" priority="2309" operator="lessThan">
      <formula>0</formula>
    </cfRule>
  </conditionalFormatting>
  <conditionalFormatting sqref="H10:H1048576">
    <cfRule type="cellIs" dxfId="434" priority="2308" operator="lessThan">
      <formula>0</formula>
    </cfRule>
  </conditionalFormatting>
  <conditionalFormatting sqref="H10:H1048576">
    <cfRule type="cellIs" dxfId="433" priority="2307" operator="lessThan">
      <formula>0</formula>
    </cfRule>
  </conditionalFormatting>
  <conditionalFormatting sqref="H10:H1048576">
    <cfRule type="cellIs" dxfId="432" priority="2306" operator="lessThan">
      <formula>0</formula>
    </cfRule>
  </conditionalFormatting>
  <conditionalFormatting sqref="H10:H1048576">
    <cfRule type="cellIs" dxfId="431" priority="2305" operator="lessThan">
      <formula>0</formula>
    </cfRule>
  </conditionalFormatting>
  <conditionalFormatting sqref="H10:H1048576">
    <cfRule type="cellIs" dxfId="430" priority="2304" operator="lessThan">
      <formula>0</formula>
    </cfRule>
  </conditionalFormatting>
  <conditionalFormatting sqref="H10:H1048576">
    <cfRule type="cellIs" dxfId="429" priority="2303" operator="lessThan">
      <formula>0</formula>
    </cfRule>
  </conditionalFormatting>
  <conditionalFormatting sqref="H10:H1048576">
    <cfRule type="cellIs" dxfId="428" priority="2302" operator="lessThan">
      <formula>0</formula>
    </cfRule>
  </conditionalFormatting>
  <conditionalFormatting sqref="H10:H1048576">
    <cfRule type="cellIs" dxfId="427" priority="2301" operator="lessThan">
      <formula>0</formula>
    </cfRule>
  </conditionalFormatting>
  <conditionalFormatting sqref="H10:H1048576">
    <cfRule type="cellIs" dxfId="426" priority="2300" operator="lessThan">
      <formula>0</formula>
    </cfRule>
  </conditionalFormatting>
  <conditionalFormatting sqref="H10:H1048576">
    <cfRule type="cellIs" dxfId="425" priority="2299" operator="lessThan">
      <formula>0</formula>
    </cfRule>
  </conditionalFormatting>
  <conditionalFormatting sqref="H10:H1048576">
    <cfRule type="cellIs" dxfId="424" priority="2298" operator="lessThan">
      <formula>0</formula>
    </cfRule>
  </conditionalFormatting>
  <conditionalFormatting sqref="H10:H1048576">
    <cfRule type="cellIs" dxfId="423" priority="2297" operator="lessThan">
      <formula>0</formula>
    </cfRule>
  </conditionalFormatting>
  <conditionalFormatting sqref="H10:H1048576">
    <cfRule type="cellIs" dxfId="422" priority="2296" operator="lessThan">
      <formula>0</formula>
    </cfRule>
  </conditionalFormatting>
  <conditionalFormatting sqref="H10:H1048576">
    <cfRule type="cellIs" dxfId="421" priority="2295" operator="lessThan">
      <formula>0</formula>
    </cfRule>
  </conditionalFormatting>
  <conditionalFormatting sqref="H10:H1048576">
    <cfRule type="cellIs" dxfId="420" priority="2294" operator="lessThan">
      <formula>0</formula>
    </cfRule>
  </conditionalFormatting>
  <conditionalFormatting sqref="H10:H1048576">
    <cfRule type="cellIs" dxfId="419" priority="2293" operator="lessThan">
      <formula>0</formula>
    </cfRule>
  </conditionalFormatting>
  <conditionalFormatting sqref="H10:H1048576">
    <cfRule type="cellIs" dxfId="418" priority="2292" operator="lessThan">
      <formula>0</formula>
    </cfRule>
  </conditionalFormatting>
  <conditionalFormatting sqref="H10:H1048576">
    <cfRule type="cellIs" dxfId="417" priority="2291" operator="lessThan">
      <formula>0</formula>
    </cfRule>
  </conditionalFormatting>
  <conditionalFormatting sqref="H10:H1048576">
    <cfRule type="cellIs" dxfId="416" priority="2290" operator="lessThan">
      <formula>0</formula>
    </cfRule>
  </conditionalFormatting>
  <conditionalFormatting sqref="H10:H1048576">
    <cfRule type="cellIs" dxfId="415" priority="2289" operator="lessThan">
      <formula>0</formula>
    </cfRule>
  </conditionalFormatting>
  <conditionalFormatting sqref="H10:H1048576">
    <cfRule type="cellIs" dxfId="414" priority="2288" operator="lessThan">
      <formula>0</formula>
    </cfRule>
  </conditionalFormatting>
  <conditionalFormatting sqref="H10:H1048576">
    <cfRule type="cellIs" dxfId="413" priority="2287" operator="lessThan">
      <formula>0</formula>
    </cfRule>
  </conditionalFormatting>
  <conditionalFormatting sqref="H10:H1048576">
    <cfRule type="cellIs" dxfId="412" priority="2286" operator="lessThan">
      <formula>0</formula>
    </cfRule>
  </conditionalFormatting>
  <conditionalFormatting sqref="H10:H1048576">
    <cfRule type="cellIs" dxfId="411" priority="2285" operator="lessThan">
      <formula>0</formula>
    </cfRule>
  </conditionalFormatting>
  <conditionalFormatting sqref="H10:H1048576">
    <cfRule type="cellIs" dxfId="410" priority="2284" operator="lessThan">
      <formula>0</formula>
    </cfRule>
  </conditionalFormatting>
  <conditionalFormatting sqref="H10:H1048576">
    <cfRule type="cellIs" dxfId="409" priority="2283" operator="lessThan">
      <formula>0</formula>
    </cfRule>
  </conditionalFormatting>
  <conditionalFormatting sqref="H10:H1048576">
    <cfRule type="cellIs" dxfId="408" priority="2282" operator="lessThan">
      <formula>0</formula>
    </cfRule>
  </conditionalFormatting>
  <conditionalFormatting sqref="H10:H1048576">
    <cfRule type="cellIs" dxfId="407" priority="2281" operator="lessThan">
      <formula>0</formula>
    </cfRule>
  </conditionalFormatting>
  <conditionalFormatting sqref="H10:H1048576">
    <cfRule type="cellIs" dxfId="406" priority="2280" operator="lessThan">
      <formula>0</formula>
    </cfRule>
  </conditionalFormatting>
  <conditionalFormatting sqref="H10:H1048576">
    <cfRule type="cellIs" dxfId="405" priority="2279" operator="lessThan">
      <formula>0</formula>
    </cfRule>
  </conditionalFormatting>
  <conditionalFormatting sqref="H10:H1048576">
    <cfRule type="cellIs" dxfId="404" priority="2278" operator="lessThan">
      <formula>0</formula>
    </cfRule>
  </conditionalFormatting>
  <conditionalFormatting sqref="H10:H1048576">
    <cfRule type="cellIs" dxfId="403" priority="2277" operator="lessThan">
      <formula>0</formula>
    </cfRule>
  </conditionalFormatting>
  <conditionalFormatting sqref="H10:H1048576">
    <cfRule type="cellIs" dxfId="402" priority="2276" operator="lessThan">
      <formula>0</formula>
    </cfRule>
  </conditionalFormatting>
  <conditionalFormatting sqref="H10:H1048576">
    <cfRule type="cellIs" dxfId="401" priority="2275" operator="lessThan">
      <formula>0</formula>
    </cfRule>
  </conditionalFormatting>
  <conditionalFormatting sqref="H10:H1048576">
    <cfRule type="cellIs" dxfId="400" priority="2274" operator="lessThan">
      <formula>0</formula>
    </cfRule>
  </conditionalFormatting>
  <conditionalFormatting sqref="H10:H1048576">
    <cfRule type="cellIs" dxfId="399" priority="2273" operator="lessThan">
      <formula>0</formula>
    </cfRule>
  </conditionalFormatting>
  <conditionalFormatting sqref="H10:H1048576">
    <cfRule type="cellIs" dxfId="398" priority="2272" operator="lessThan">
      <formula>0</formula>
    </cfRule>
  </conditionalFormatting>
  <conditionalFormatting sqref="H10:H1048576">
    <cfRule type="cellIs" dxfId="397" priority="2271" operator="lessThan">
      <formula>0</formula>
    </cfRule>
  </conditionalFormatting>
  <conditionalFormatting sqref="H10:H1048576">
    <cfRule type="cellIs" dxfId="396" priority="2270" operator="lessThan">
      <formula>0</formula>
    </cfRule>
  </conditionalFormatting>
  <conditionalFormatting sqref="H10:H1048576">
    <cfRule type="cellIs" dxfId="395" priority="2269" operator="lessThan">
      <formula>0</formula>
    </cfRule>
  </conditionalFormatting>
  <conditionalFormatting sqref="H10:H1048576">
    <cfRule type="cellIs" dxfId="394" priority="2268" operator="lessThan">
      <formula>0</formula>
    </cfRule>
  </conditionalFormatting>
  <conditionalFormatting sqref="H10:H1048576">
    <cfRule type="cellIs" dxfId="393" priority="2267" operator="lessThan">
      <formula>0</formula>
    </cfRule>
  </conditionalFormatting>
  <conditionalFormatting sqref="H10:H1048576">
    <cfRule type="cellIs" dxfId="392" priority="2266" operator="lessThan">
      <formula>0</formula>
    </cfRule>
  </conditionalFormatting>
  <conditionalFormatting sqref="H10:H1048576">
    <cfRule type="cellIs" dxfId="391" priority="2265" operator="lessThan">
      <formula>0</formula>
    </cfRule>
  </conditionalFormatting>
  <conditionalFormatting sqref="H10:H1048576">
    <cfRule type="cellIs" dxfId="390" priority="2264" operator="lessThan">
      <formula>0</formula>
    </cfRule>
  </conditionalFormatting>
  <conditionalFormatting sqref="H10:H1048576">
    <cfRule type="cellIs" dxfId="389" priority="2263" operator="lessThan">
      <formula>0</formula>
    </cfRule>
  </conditionalFormatting>
  <conditionalFormatting sqref="H10:H1048576">
    <cfRule type="cellIs" dxfId="388" priority="2262" operator="lessThan">
      <formula>0</formula>
    </cfRule>
  </conditionalFormatting>
  <conditionalFormatting sqref="H10:H1048576">
    <cfRule type="cellIs" dxfId="387" priority="2261" operator="lessThan">
      <formula>0</formula>
    </cfRule>
  </conditionalFormatting>
  <conditionalFormatting sqref="H10:H1048576">
    <cfRule type="cellIs" dxfId="386" priority="2260" operator="lessThan">
      <formula>0</formula>
    </cfRule>
  </conditionalFormatting>
  <conditionalFormatting sqref="H10:H1048576">
    <cfRule type="cellIs" dxfId="385" priority="2259" operator="lessThan">
      <formula>0</formula>
    </cfRule>
  </conditionalFormatting>
  <conditionalFormatting sqref="H10:H1048576">
    <cfRule type="cellIs" dxfId="384" priority="2258" operator="lessThan">
      <formula>0</formula>
    </cfRule>
  </conditionalFormatting>
  <conditionalFormatting sqref="H10:H1048576">
    <cfRule type="cellIs" dxfId="383" priority="2257" operator="lessThan">
      <formula>0</formula>
    </cfRule>
  </conditionalFormatting>
  <conditionalFormatting sqref="H10:H1048576">
    <cfRule type="cellIs" dxfId="382" priority="2256" operator="lessThan">
      <formula>0</formula>
    </cfRule>
  </conditionalFormatting>
  <conditionalFormatting sqref="H10:H1048576">
    <cfRule type="cellIs" dxfId="381" priority="2255" operator="lessThan">
      <formula>0</formula>
    </cfRule>
  </conditionalFormatting>
  <conditionalFormatting sqref="H10:H1048576">
    <cfRule type="cellIs" dxfId="380" priority="2254" operator="lessThan">
      <formula>0</formula>
    </cfRule>
  </conditionalFormatting>
  <conditionalFormatting sqref="H10:H1048576">
    <cfRule type="cellIs" dxfId="379" priority="2253" operator="lessThan">
      <formula>0</formula>
    </cfRule>
  </conditionalFormatting>
  <conditionalFormatting sqref="H10:H1048576">
    <cfRule type="cellIs" dxfId="378" priority="2252" operator="lessThan">
      <formula>0</formula>
    </cfRule>
  </conditionalFormatting>
  <conditionalFormatting sqref="H10:H1048576">
    <cfRule type="cellIs" dxfId="377" priority="2251" operator="lessThan">
      <formula>0</formula>
    </cfRule>
  </conditionalFormatting>
  <conditionalFormatting sqref="H10:H1048576">
    <cfRule type="cellIs" dxfId="376" priority="2250" operator="lessThan">
      <formula>0</formula>
    </cfRule>
  </conditionalFormatting>
  <conditionalFormatting sqref="H10:H1048576">
    <cfRule type="cellIs" dxfId="375" priority="2249" operator="lessThan">
      <formula>0</formula>
    </cfRule>
  </conditionalFormatting>
  <conditionalFormatting sqref="H10:H1048576">
    <cfRule type="cellIs" dxfId="374" priority="2248" operator="lessThan">
      <formula>0</formula>
    </cfRule>
  </conditionalFormatting>
  <conditionalFormatting sqref="H10:H1048576">
    <cfRule type="cellIs" dxfId="373" priority="2247" operator="lessThan">
      <formula>0</formula>
    </cfRule>
  </conditionalFormatting>
  <conditionalFormatting sqref="H10:H1048576">
    <cfRule type="cellIs" dxfId="372" priority="2246" operator="lessThan">
      <formula>0</formula>
    </cfRule>
  </conditionalFormatting>
  <conditionalFormatting sqref="H10:H1048576">
    <cfRule type="cellIs" dxfId="371" priority="2245" operator="lessThan">
      <formula>0</formula>
    </cfRule>
  </conditionalFormatting>
  <conditionalFormatting sqref="H10:H1048576">
    <cfRule type="cellIs" dxfId="370" priority="2244" operator="lessThan">
      <formula>0</formula>
    </cfRule>
  </conditionalFormatting>
  <conditionalFormatting sqref="H10:H1048576">
    <cfRule type="cellIs" dxfId="369" priority="2243" operator="lessThan">
      <formula>0</formula>
    </cfRule>
  </conditionalFormatting>
  <conditionalFormatting sqref="H10:H1048576">
    <cfRule type="cellIs" dxfId="368" priority="2242" operator="lessThan">
      <formula>0</formula>
    </cfRule>
  </conditionalFormatting>
  <conditionalFormatting sqref="H10:H1048576">
    <cfRule type="cellIs" dxfId="367" priority="2241" operator="lessThan">
      <formula>0</formula>
    </cfRule>
  </conditionalFormatting>
  <conditionalFormatting sqref="H10:H1048576">
    <cfRule type="cellIs" dxfId="366" priority="2240" operator="lessThan">
      <formula>0</formula>
    </cfRule>
  </conditionalFormatting>
  <conditionalFormatting sqref="H10:H1048576">
    <cfRule type="cellIs" dxfId="365" priority="2239" operator="lessThan">
      <formula>0</formula>
    </cfRule>
  </conditionalFormatting>
  <conditionalFormatting sqref="H10:H1048576">
    <cfRule type="cellIs" dxfId="364" priority="2238" operator="lessThan">
      <formula>0</formula>
    </cfRule>
  </conditionalFormatting>
  <conditionalFormatting sqref="H10:H1048576">
    <cfRule type="cellIs" dxfId="363" priority="2237" operator="lessThan">
      <formula>0</formula>
    </cfRule>
  </conditionalFormatting>
  <conditionalFormatting sqref="H10:H1048576">
    <cfRule type="cellIs" dxfId="362" priority="2236" operator="lessThan">
      <formula>0</formula>
    </cfRule>
  </conditionalFormatting>
  <conditionalFormatting sqref="H10:H1048576">
    <cfRule type="cellIs" dxfId="361" priority="2235" operator="lessThan">
      <formula>0</formula>
    </cfRule>
  </conditionalFormatting>
  <conditionalFormatting sqref="H10:H1048576">
    <cfRule type="cellIs" dxfId="360" priority="2234" operator="lessThan">
      <formula>0</formula>
    </cfRule>
  </conditionalFormatting>
  <conditionalFormatting sqref="H10:H1048576">
    <cfRule type="cellIs" dxfId="359" priority="2233" operator="lessThan">
      <formula>0</formula>
    </cfRule>
  </conditionalFormatting>
  <conditionalFormatting sqref="H10:H1048576">
    <cfRule type="cellIs" dxfId="358" priority="2232" operator="lessThan">
      <formula>0</formula>
    </cfRule>
  </conditionalFormatting>
  <conditionalFormatting sqref="H10:H1048576">
    <cfRule type="cellIs" dxfId="357" priority="2231" operator="lessThan">
      <formula>0</formula>
    </cfRule>
  </conditionalFormatting>
  <conditionalFormatting sqref="H10:H1048576">
    <cfRule type="cellIs" dxfId="356" priority="2230" operator="lessThan">
      <formula>0</formula>
    </cfRule>
  </conditionalFormatting>
  <conditionalFormatting sqref="H10:H1048576">
    <cfRule type="cellIs" dxfId="355" priority="2229" operator="lessThan">
      <formula>0</formula>
    </cfRule>
  </conditionalFormatting>
  <conditionalFormatting sqref="H10:H1048576">
    <cfRule type="cellIs" dxfId="354" priority="2228" operator="lessThan">
      <formula>0</formula>
    </cfRule>
  </conditionalFormatting>
  <conditionalFormatting sqref="H10:H1048576">
    <cfRule type="cellIs" dxfId="353" priority="2227" operator="lessThan">
      <formula>0</formula>
    </cfRule>
  </conditionalFormatting>
  <conditionalFormatting sqref="H10:H1048576">
    <cfRule type="cellIs" dxfId="352" priority="2226" operator="lessThan">
      <formula>0</formula>
    </cfRule>
  </conditionalFormatting>
  <conditionalFormatting sqref="H10:H1048576">
    <cfRule type="cellIs" dxfId="351" priority="2225" operator="lessThan">
      <formula>0</formula>
    </cfRule>
  </conditionalFormatting>
  <conditionalFormatting sqref="H10:H1048576">
    <cfRule type="cellIs" dxfId="350" priority="2224" operator="lessThan">
      <formula>0</formula>
    </cfRule>
  </conditionalFormatting>
  <conditionalFormatting sqref="H10:H1048576">
    <cfRule type="cellIs" dxfId="349" priority="2223" operator="lessThan">
      <formula>0</formula>
    </cfRule>
  </conditionalFormatting>
  <conditionalFormatting sqref="H10:H1048576">
    <cfRule type="cellIs" dxfId="348" priority="2222" operator="lessThan">
      <formula>0</formula>
    </cfRule>
  </conditionalFormatting>
  <conditionalFormatting sqref="H10:H1048576">
    <cfRule type="cellIs" dxfId="347" priority="2221" operator="lessThan">
      <formula>0</formula>
    </cfRule>
  </conditionalFormatting>
  <conditionalFormatting sqref="H10:H1048576">
    <cfRule type="cellIs" dxfId="346" priority="2220" operator="lessThan">
      <formula>0</formula>
    </cfRule>
  </conditionalFormatting>
  <conditionalFormatting sqref="H10:H1048576">
    <cfRule type="cellIs" dxfId="345" priority="2219" operator="lessThan">
      <formula>0</formula>
    </cfRule>
  </conditionalFormatting>
  <conditionalFormatting sqref="H10:H1048576">
    <cfRule type="cellIs" dxfId="344" priority="2218" operator="lessThan">
      <formula>0</formula>
    </cfRule>
  </conditionalFormatting>
  <conditionalFormatting sqref="H10:H1048576">
    <cfRule type="cellIs" dxfId="343" priority="2217" operator="lessThan">
      <formula>0</formula>
    </cfRule>
  </conditionalFormatting>
  <conditionalFormatting sqref="H10:H1048576">
    <cfRule type="cellIs" dxfId="342" priority="2216" operator="lessThan">
      <formula>0</formula>
    </cfRule>
  </conditionalFormatting>
  <conditionalFormatting sqref="H10:H1048576">
    <cfRule type="cellIs" dxfId="341" priority="2215" operator="lessThan">
      <formula>0</formula>
    </cfRule>
  </conditionalFormatting>
  <conditionalFormatting sqref="H10:H1048576">
    <cfRule type="cellIs" dxfId="340" priority="2214" operator="lessThan">
      <formula>0</formula>
    </cfRule>
  </conditionalFormatting>
  <conditionalFormatting sqref="H10:H1048576">
    <cfRule type="cellIs" dxfId="339" priority="2213" operator="lessThan">
      <formula>0</formula>
    </cfRule>
  </conditionalFormatting>
  <conditionalFormatting sqref="H10:H1048576">
    <cfRule type="cellIs" dxfId="338" priority="2212" operator="lessThan">
      <formula>0</formula>
    </cfRule>
  </conditionalFormatting>
  <conditionalFormatting sqref="H10:H1048576">
    <cfRule type="cellIs" dxfId="337" priority="2211" operator="lessThan">
      <formula>0</formula>
    </cfRule>
  </conditionalFormatting>
  <conditionalFormatting sqref="H10:H1048576">
    <cfRule type="cellIs" dxfId="336" priority="2210" operator="lessThan">
      <formula>0</formula>
    </cfRule>
  </conditionalFormatting>
  <conditionalFormatting sqref="H10:H1048576">
    <cfRule type="cellIs" dxfId="335" priority="2209" operator="lessThan">
      <formula>0</formula>
    </cfRule>
  </conditionalFormatting>
  <conditionalFormatting sqref="H10:H1048576">
    <cfRule type="cellIs" dxfId="334" priority="2208" operator="lessThan">
      <formula>0</formula>
    </cfRule>
  </conditionalFormatting>
  <conditionalFormatting sqref="H10:H1048576">
    <cfRule type="cellIs" dxfId="333" priority="2207" operator="lessThan">
      <formula>0</formula>
    </cfRule>
  </conditionalFormatting>
  <conditionalFormatting sqref="H10:H1048576">
    <cfRule type="cellIs" dxfId="332" priority="2206" operator="lessThan">
      <formula>0</formula>
    </cfRule>
  </conditionalFormatting>
  <conditionalFormatting sqref="H10:H1048576">
    <cfRule type="cellIs" dxfId="331" priority="2205" operator="lessThan">
      <formula>0</formula>
    </cfRule>
  </conditionalFormatting>
  <conditionalFormatting sqref="H10:H1048576">
    <cfRule type="cellIs" dxfId="330" priority="2204" operator="lessThan">
      <formula>0</formula>
    </cfRule>
  </conditionalFormatting>
  <conditionalFormatting sqref="H10:H1048576">
    <cfRule type="cellIs" dxfId="329" priority="2203" operator="lessThan">
      <formula>0</formula>
    </cfRule>
  </conditionalFormatting>
  <conditionalFormatting sqref="H10:H1048576">
    <cfRule type="cellIs" dxfId="328" priority="2202" operator="lessThan">
      <formula>0</formula>
    </cfRule>
  </conditionalFormatting>
  <conditionalFormatting sqref="H10:H1048576">
    <cfRule type="cellIs" dxfId="327" priority="2201" operator="lessThan">
      <formula>0</formula>
    </cfRule>
  </conditionalFormatting>
  <conditionalFormatting sqref="H10:H1048576">
    <cfRule type="cellIs" dxfId="326" priority="2200" operator="lessThan">
      <formula>0</formula>
    </cfRule>
  </conditionalFormatting>
  <conditionalFormatting sqref="H10:H1048576">
    <cfRule type="cellIs" dxfId="325" priority="2199" operator="lessThan">
      <formula>0</formula>
    </cfRule>
  </conditionalFormatting>
  <conditionalFormatting sqref="H10:H1048576">
    <cfRule type="cellIs" dxfId="324" priority="2198" operator="lessThan">
      <formula>0</formula>
    </cfRule>
  </conditionalFormatting>
  <conditionalFormatting sqref="H10:H1048576">
    <cfRule type="cellIs" dxfId="323" priority="2197" operator="lessThan">
      <formula>0</formula>
    </cfRule>
  </conditionalFormatting>
  <conditionalFormatting sqref="H10:H1048576">
    <cfRule type="cellIs" dxfId="322" priority="2196" operator="lessThan">
      <formula>0</formula>
    </cfRule>
  </conditionalFormatting>
  <conditionalFormatting sqref="H10:H1048576">
    <cfRule type="cellIs" dxfId="321" priority="2195" operator="lessThan">
      <formula>0</formula>
    </cfRule>
  </conditionalFormatting>
  <conditionalFormatting sqref="H10:H1048576">
    <cfRule type="cellIs" dxfId="320" priority="2194" operator="lessThan">
      <formula>0</formula>
    </cfRule>
  </conditionalFormatting>
  <conditionalFormatting sqref="H10:H1048576">
    <cfRule type="cellIs" dxfId="319" priority="2193" operator="lessThan">
      <formula>0</formula>
    </cfRule>
  </conditionalFormatting>
  <conditionalFormatting sqref="H10:H1048576">
    <cfRule type="cellIs" dxfId="318" priority="2192" operator="lessThan">
      <formula>0</formula>
    </cfRule>
  </conditionalFormatting>
  <conditionalFormatting sqref="H10:H1048576">
    <cfRule type="cellIs" dxfId="317" priority="2191" operator="lessThan">
      <formula>0</formula>
    </cfRule>
  </conditionalFormatting>
  <conditionalFormatting sqref="H10:H1048576">
    <cfRule type="cellIs" dxfId="316" priority="2190" operator="lessThan">
      <formula>0</formula>
    </cfRule>
  </conditionalFormatting>
  <conditionalFormatting sqref="H10:H1048576">
    <cfRule type="cellIs" dxfId="315" priority="2189" operator="lessThan">
      <formula>0</formula>
    </cfRule>
  </conditionalFormatting>
  <conditionalFormatting sqref="H10:H1048576">
    <cfRule type="cellIs" dxfId="314" priority="2188" operator="lessThan">
      <formula>0</formula>
    </cfRule>
  </conditionalFormatting>
  <conditionalFormatting sqref="H10:H1048576">
    <cfRule type="cellIs" dxfId="313" priority="2187" operator="lessThan">
      <formula>0</formula>
    </cfRule>
  </conditionalFormatting>
  <conditionalFormatting sqref="H10:H1048576">
    <cfRule type="cellIs" dxfId="312" priority="2186" operator="lessThan">
      <formula>0</formula>
    </cfRule>
  </conditionalFormatting>
  <conditionalFormatting sqref="H10:H1048576">
    <cfRule type="cellIs" dxfId="311" priority="2185" operator="lessThan">
      <formula>0</formula>
    </cfRule>
  </conditionalFormatting>
  <conditionalFormatting sqref="H10:H1048576">
    <cfRule type="cellIs" dxfId="310" priority="2184" operator="lessThan">
      <formula>0</formula>
    </cfRule>
  </conditionalFormatting>
  <conditionalFormatting sqref="H10:H1048576">
    <cfRule type="cellIs" dxfId="309" priority="2183" operator="lessThan">
      <formula>0</formula>
    </cfRule>
  </conditionalFormatting>
  <conditionalFormatting sqref="H10:H1048576">
    <cfRule type="cellIs" dxfId="308" priority="2182" operator="lessThan">
      <formula>0</formula>
    </cfRule>
  </conditionalFormatting>
  <conditionalFormatting sqref="H10:H1048576">
    <cfRule type="cellIs" dxfId="307" priority="2181" operator="lessThan">
      <formula>0</formula>
    </cfRule>
  </conditionalFormatting>
  <conditionalFormatting sqref="H10:H1048576">
    <cfRule type="cellIs" dxfId="306" priority="2180" operator="lessThan">
      <formula>0</formula>
    </cfRule>
  </conditionalFormatting>
  <conditionalFormatting sqref="H10:H1048576">
    <cfRule type="cellIs" dxfId="305" priority="2179" operator="lessThan">
      <formula>0</formula>
    </cfRule>
  </conditionalFormatting>
  <conditionalFormatting sqref="H10:H1048576">
    <cfRule type="cellIs" dxfId="304" priority="2178" operator="lessThan">
      <formula>0</formula>
    </cfRule>
  </conditionalFormatting>
  <conditionalFormatting sqref="H10:H1048576">
    <cfRule type="cellIs" dxfId="303" priority="2177" operator="lessThan">
      <formula>0</formula>
    </cfRule>
  </conditionalFormatting>
  <conditionalFormatting sqref="H10:H1048576">
    <cfRule type="cellIs" dxfId="302" priority="2176" operator="lessThan">
      <formula>0</formula>
    </cfRule>
  </conditionalFormatting>
  <conditionalFormatting sqref="H10:H1048576">
    <cfRule type="cellIs" dxfId="301" priority="2175" operator="lessThan">
      <formula>0</formula>
    </cfRule>
  </conditionalFormatting>
  <conditionalFormatting sqref="H10:H1048576">
    <cfRule type="cellIs" dxfId="300" priority="2174" operator="lessThan">
      <formula>0</formula>
    </cfRule>
  </conditionalFormatting>
  <conditionalFormatting sqref="H10:H1048576">
    <cfRule type="cellIs" dxfId="299" priority="2173" operator="lessThan">
      <formula>0</formula>
    </cfRule>
  </conditionalFormatting>
  <conditionalFormatting sqref="H10:H1048576">
    <cfRule type="cellIs" dxfId="298" priority="2172" operator="lessThan">
      <formula>0</formula>
    </cfRule>
  </conditionalFormatting>
  <conditionalFormatting sqref="H10:H1048576">
    <cfRule type="cellIs" dxfId="297" priority="2171" operator="lessThan">
      <formula>0</formula>
    </cfRule>
  </conditionalFormatting>
  <conditionalFormatting sqref="H10:H1048576">
    <cfRule type="cellIs" dxfId="296" priority="2170" operator="lessThan">
      <formula>0</formula>
    </cfRule>
  </conditionalFormatting>
  <conditionalFormatting sqref="H10:H1048576">
    <cfRule type="cellIs" dxfId="295" priority="2169" operator="lessThan">
      <formula>0</formula>
    </cfRule>
  </conditionalFormatting>
  <conditionalFormatting sqref="H10:H1048576">
    <cfRule type="cellIs" dxfId="294" priority="2168" operator="lessThan">
      <formula>0</formula>
    </cfRule>
  </conditionalFormatting>
  <conditionalFormatting sqref="H10:H1048576">
    <cfRule type="cellIs" dxfId="293" priority="2167" operator="lessThan">
      <formula>0</formula>
    </cfRule>
  </conditionalFormatting>
  <conditionalFormatting sqref="H10:H1048576">
    <cfRule type="cellIs" dxfId="292" priority="2166" operator="lessThan">
      <formula>0</formula>
    </cfRule>
  </conditionalFormatting>
  <conditionalFormatting sqref="H10:H1048576">
    <cfRule type="cellIs" dxfId="291" priority="2165" operator="lessThan">
      <formula>0</formula>
    </cfRule>
  </conditionalFormatting>
  <conditionalFormatting sqref="H10:H1048576">
    <cfRule type="cellIs" dxfId="290" priority="2164" operator="lessThan">
      <formula>0</formula>
    </cfRule>
  </conditionalFormatting>
  <conditionalFormatting sqref="H10:H1048576">
    <cfRule type="cellIs" dxfId="289" priority="2163" operator="lessThan">
      <formula>0</formula>
    </cfRule>
  </conditionalFormatting>
  <conditionalFormatting sqref="H10:H1048576">
    <cfRule type="cellIs" dxfId="288" priority="2162" operator="lessThan">
      <formula>0</formula>
    </cfRule>
  </conditionalFormatting>
  <conditionalFormatting sqref="H10:H1048576">
    <cfRule type="cellIs" dxfId="287" priority="2161" operator="lessThan">
      <formula>0</formula>
    </cfRule>
  </conditionalFormatting>
  <conditionalFormatting sqref="H10:H1048576">
    <cfRule type="cellIs" dxfId="286" priority="2160" operator="lessThan">
      <formula>0</formula>
    </cfRule>
  </conditionalFormatting>
  <conditionalFormatting sqref="H10:H1048576">
    <cfRule type="cellIs" dxfId="285" priority="2159" operator="lessThan">
      <formula>0</formula>
    </cfRule>
  </conditionalFormatting>
  <conditionalFormatting sqref="H10:H1048576">
    <cfRule type="cellIs" dxfId="284" priority="2158" operator="lessThan">
      <formula>0</formula>
    </cfRule>
  </conditionalFormatting>
  <conditionalFormatting sqref="H10:H1048576">
    <cfRule type="cellIs" dxfId="283" priority="2157" operator="lessThan">
      <formula>0</formula>
    </cfRule>
  </conditionalFormatting>
  <conditionalFormatting sqref="H10:H1048576">
    <cfRule type="cellIs" dxfId="282" priority="2156" operator="lessThan">
      <formula>0</formula>
    </cfRule>
  </conditionalFormatting>
  <conditionalFormatting sqref="H10:H1048576">
    <cfRule type="cellIs" dxfId="281" priority="2155" operator="lessThan">
      <formula>0</formula>
    </cfRule>
  </conditionalFormatting>
  <conditionalFormatting sqref="H10:H1048576">
    <cfRule type="cellIs" dxfId="280" priority="2154" operator="lessThan">
      <formula>0</formula>
    </cfRule>
  </conditionalFormatting>
  <conditionalFormatting sqref="H10:H1048576">
    <cfRule type="cellIs" dxfId="279" priority="2153" operator="lessThan">
      <formula>0</formula>
    </cfRule>
  </conditionalFormatting>
  <conditionalFormatting sqref="H10:H1048576">
    <cfRule type="cellIs" dxfId="278" priority="2152" operator="lessThan">
      <formula>0</formula>
    </cfRule>
  </conditionalFormatting>
  <conditionalFormatting sqref="H10:H1048576">
    <cfRule type="cellIs" dxfId="277" priority="2151" operator="lessThan">
      <formula>0</formula>
    </cfRule>
  </conditionalFormatting>
  <conditionalFormatting sqref="H10:H1048576">
    <cfRule type="cellIs" dxfId="276" priority="2150" operator="lessThan">
      <formula>0</formula>
    </cfRule>
  </conditionalFormatting>
  <conditionalFormatting sqref="H10:H1048576">
    <cfRule type="cellIs" dxfId="275" priority="2149" operator="lessThan">
      <formula>0</formula>
    </cfRule>
  </conditionalFormatting>
  <conditionalFormatting sqref="H10:H1048576">
    <cfRule type="cellIs" dxfId="274" priority="2148" operator="lessThan">
      <formula>0</formula>
    </cfRule>
  </conditionalFormatting>
  <conditionalFormatting sqref="H10:H1048576">
    <cfRule type="cellIs" dxfId="273" priority="2147" operator="lessThan">
      <formula>0</formula>
    </cfRule>
  </conditionalFormatting>
  <conditionalFormatting sqref="H10:H1048576">
    <cfRule type="cellIs" dxfId="272" priority="2146" operator="lessThan">
      <formula>0</formula>
    </cfRule>
  </conditionalFormatting>
  <conditionalFormatting sqref="H10:H1048576">
    <cfRule type="cellIs" dxfId="271" priority="2145" operator="lessThan">
      <formula>0</formula>
    </cfRule>
  </conditionalFormatting>
  <conditionalFormatting sqref="H10:H1048576">
    <cfRule type="cellIs" dxfId="270" priority="2144" operator="lessThan">
      <formula>0</formula>
    </cfRule>
  </conditionalFormatting>
  <conditionalFormatting sqref="H10:H1048576">
    <cfRule type="cellIs" dxfId="269" priority="2143" operator="lessThan">
      <formula>0</formula>
    </cfRule>
  </conditionalFormatting>
  <conditionalFormatting sqref="H10:H1048576">
    <cfRule type="cellIs" dxfId="268" priority="2142" operator="lessThan">
      <formula>0</formula>
    </cfRule>
  </conditionalFormatting>
  <conditionalFormatting sqref="H10:H1048576">
    <cfRule type="cellIs" dxfId="267" priority="2141" operator="lessThan">
      <formula>0</formula>
    </cfRule>
  </conditionalFormatting>
  <conditionalFormatting sqref="H10:H1048576">
    <cfRule type="cellIs" dxfId="266" priority="2140" operator="lessThan">
      <formula>0</formula>
    </cfRule>
  </conditionalFormatting>
  <conditionalFormatting sqref="H10:H1048576">
    <cfRule type="cellIs" dxfId="265" priority="2139" operator="lessThan">
      <formula>0</formula>
    </cfRule>
  </conditionalFormatting>
  <conditionalFormatting sqref="H10:H1048576">
    <cfRule type="cellIs" dxfId="264" priority="2138" operator="lessThan">
      <formula>0</formula>
    </cfRule>
  </conditionalFormatting>
  <conditionalFormatting sqref="H10:H1048576">
    <cfRule type="cellIs" dxfId="263" priority="2137" operator="lessThan">
      <formula>0</formula>
    </cfRule>
  </conditionalFormatting>
  <conditionalFormatting sqref="H10:H1048576">
    <cfRule type="cellIs" dxfId="262" priority="2136" operator="lessThan">
      <formula>0</formula>
    </cfRule>
  </conditionalFormatting>
  <conditionalFormatting sqref="H10:H1048576">
    <cfRule type="cellIs" dxfId="261" priority="2135" operator="lessThan">
      <formula>0</formula>
    </cfRule>
  </conditionalFormatting>
  <conditionalFormatting sqref="H10:H1048576">
    <cfRule type="cellIs" dxfId="260" priority="2134" operator="lessThan">
      <formula>0</formula>
    </cfRule>
  </conditionalFormatting>
  <conditionalFormatting sqref="H10:H1048576">
    <cfRule type="cellIs" dxfId="259" priority="2133" operator="lessThan">
      <formula>0</formula>
    </cfRule>
  </conditionalFormatting>
  <conditionalFormatting sqref="H10:H1048576">
    <cfRule type="cellIs" dxfId="258" priority="2132" operator="lessThan">
      <formula>0</formula>
    </cfRule>
  </conditionalFormatting>
  <conditionalFormatting sqref="H10:H1048576">
    <cfRule type="cellIs" dxfId="257" priority="2131" operator="lessThan">
      <formula>0</formula>
    </cfRule>
  </conditionalFormatting>
  <conditionalFormatting sqref="H10:H1048576">
    <cfRule type="cellIs" dxfId="256" priority="2130" operator="lessThan">
      <formula>0</formula>
    </cfRule>
  </conditionalFormatting>
  <conditionalFormatting sqref="H10:H1048576">
    <cfRule type="cellIs" dxfId="255" priority="2129" operator="lessThan">
      <formula>0</formula>
    </cfRule>
  </conditionalFormatting>
  <conditionalFormatting sqref="H10:H1048576">
    <cfRule type="cellIs" dxfId="254" priority="2128" operator="lessThan">
      <formula>0</formula>
    </cfRule>
  </conditionalFormatting>
  <conditionalFormatting sqref="H10:H1048576">
    <cfRule type="cellIs" dxfId="253" priority="2127" operator="lessThan">
      <formula>0</formula>
    </cfRule>
  </conditionalFormatting>
  <conditionalFormatting sqref="H10:H1048576">
    <cfRule type="cellIs" dxfId="252" priority="2126" operator="lessThan">
      <formula>0</formula>
    </cfRule>
  </conditionalFormatting>
  <conditionalFormatting sqref="H10:H1048576">
    <cfRule type="cellIs" dxfId="251" priority="2125" operator="lessThan">
      <formula>0</formula>
    </cfRule>
  </conditionalFormatting>
  <conditionalFormatting sqref="H10:H1048576">
    <cfRule type="cellIs" dxfId="250" priority="2124" operator="lessThan">
      <formula>0</formula>
    </cfRule>
  </conditionalFormatting>
  <conditionalFormatting sqref="H10:H1048576">
    <cfRule type="cellIs" dxfId="249" priority="2123" operator="lessThan">
      <formula>0</formula>
    </cfRule>
  </conditionalFormatting>
  <conditionalFormatting sqref="H10:H1048576">
    <cfRule type="cellIs" dxfId="248" priority="2122" operator="lessThan">
      <formula>0</formula>
    </cfRule>
  </conditionalFormatting>
  <conditionalFormatting sqref="H10:H1048576">
    <cfRule type="cellIs" dxfId="247" priority="2121" operator="lessThan">
      <formula>0</formula>
    </cfRule>
  </conditionalFormatting>
  <conditionalFormatting sqref="H10:H1048576">
    <cfRule type="cellIs" dxfId="246" priority="2120" operator="lessThan">
      <formula>0</formula>
    </cfRule>
  </conditionalFormatting>
  <conditionalFormatting sqref="H10:H1048576">
    <cfRule type="cellIs" dxfId="245" priority="2119" operator="lessThan">
      <formula>0</formula>
    </cfRule>
  </conditionalFormatting>
  <conditionalFormatting sqref="H10:H1048576">
    <cfRule type="cellIs" dxfId="244" priority="2118" operator="lessThan">
      <formula>0</formula>
    </cfRule>
  </conditionalFormatting>
  <conditionalFormatting sqref="H10:H1048576">
    <cfRule type="cellIs" dxfId="243" priority="2117" operator="lessThan">
      <formula>0</formula>
    </cfRule>
  </conditionalFormatting>
  <conditionalFormatting sqref="H10:H1048576">
    <cfRule type="cellIs" dxfId="242" priority="2116" operator="lessThan">
      <formula>0</formula>
    </cfRule>
  </conditionalFormatting>
  <conditionalFormatting sqref="H10:H1048576">
    <cfRule type="cellIs" dxfId="241" priority="2115" operator="lessThan">
      <formula>0</formula>
    </cfRule>
  </conditionalFormatting>
  <conditionalFormatting sqref="H10:H1048576">
    <cfRule type="cellIs" dxfId="240" priority="2114" operator="lessThan">
      <formula>0</formula>
    </cfRule>
  </conditionalFormatting>
  <conditionalFormatting sqref="H10:H1048576">
    <cfRule type="cellIs" dxfId="239" priority="2113" operator="lessThan">
      <formula>0</formula>
    </cfRule>
  </conditionalFormatting>
  <conditionalFormatting sqref="H10:H1048576">
    <cfRule type="cellIs" dxfId="238" priority="2112" operator="lessThan">
      <formula>0</formula>
    </cfRule>
  </conditionalFormatting>
  <conditionalFormatting sqref="H10:H1048576">
    <cfRule type="cellIs" dxfId="237" priority="2111" operator="lessThan">
      <formula>0</formula>
    </cfRule>
  </conditionalFormatting>
  <conditionalFormatting sqref="H10:H1048576">
    <cfRule type="cellIs" dxfId="236" priority="2110" operator="lessThan">
      <formula>0</formula>
    </cfRule>
  </conditionalFormatting>
  <conditionalFormatting sqref="H10:H1048576">
    <cfRule type="cellIs" dxfId="235" priority="2109" operator="lessThan">
      <formula>0</formula>
    </cfRule>
  </conditionalFormatting>
  <conditionalFormatting sqref="H10:H1048576">
    <cfRule type="cellIs" dxfId="234" priority="2108" operator="lessThan">
      <formula>0</formula>
    </cfRule>
  </conditionalFormatting>
  <conditionalFormatting sqref="H10:H1048576">
    <cfRule type="cellIs" dxfId="233" priority="2107" operator="lessThan">
      <formula>0</formula>
    </cfRule>
  </conditionalFormatting>
  <conditionalFormatting sqref="H10:H1048576">
    <cfRule type="cellIs" dxfId="232" priority="2106" operator="lessThan">
      <formula>0</formula>
    </cfRule>
  </conditionalFormatting>
  <conditionalFormatting sqref="H10:H1048576">
    <cfRule type="cellIs" dxfId="231" priority="2105" operator="lessThan">
      <formula>0</formula>
    </cfRule>
  </conditionalFormatting>
  <conditionalFormatting sqref="H10:H1048576">
    <cfRule type="cellIs" dxfId="230" priority="2104" operator="lessThan">
      <formula>0</formula>
    </cfRule>
  </conditionalFormatting>
  <conditionalFormatting sqref="H10:H1048576">
    <cfRule type="cellIs" dxfId="229" priority="2103" operator="lessThan">
      <formula>0</formula>
    </cfRule>
  </conditionalFormatting>
  <conditionalFormatting sqref="H10:H1048576">
    <cfRule type="cellIs" dxfId="228" priority="2102" operator="lessThan">
      <formula>0</formula>
    </cfRule>
  </conditionalFormatting>
  <conditionalFormatting sqref="H10:H1048576">
    <cfRule type="cellIs" dxfId="227" priority="2101" operator="lessThan">
      <formula>0</formula>
    </cfRule>
  </conditionalFormatting>
  <conditionalFormatting sqref="H10:H1048576">
    <cfRule type="cellIs" dxfId="226" priority="2100" operator="lessThan">
      <formula>0</formula>
    </cfRule>
  </conditionalFormatting>
  <conditionalFormatting sqref="H10:H1048576">
    <cfRule type="cellIs" dxfId="225" priority="2099" operator="lessThan">
      <formula>0</formula>
    </cfRule>
  </conditionalFormatting>
  <conditionalFormatting sqref="H10:H1048576">
    <cfRule type="cellIs" dxfId="224" priority="2098" operator="lessThan">
      <formula>0</formula>
    </cfRule>
  </conditionalFormatting>
  <conditionalFormatting sqref="H10:H1048576">
    <cfRule type="cellIs" dxfId="223" priority="2097" operator="lessThan">
      <formula>0</formula>
    </cfRule>
  </conditionalFormatting>
  <conditionalFormatting sqref="H10:H1048576">
    <cfRule type="cellIs" dxfId="222" priority="2096" operator="lessThan">
      <formula>0</formula>
    </cfRule>
  </conditionalFormatting>
  <conditionalFormatting sqref="H10:H1048576">
    <cfRule type="cellIs" dxfId="221" priority="2095" operator="lessThan">
      <formula>0</formula>
    </cfRule>
  </conditionalFormatting>
  <conditionalFormatting sqref="H10:H1048576">
    <cfRule type="cellIs" dxfId="220" priority="2094" operator="lessThan">
      <formula>0</formula>
    </cfRule>
  </conditionalFormatting>
  <conditionalFormatting sqref="H10:H1048576">
    <cfRule type="cellIs" dxfId="219" priority="2093" operator="lessThan">
      <formula>0</formula>
    </cfRule>
  </conditionalFormatting>
  <conditionalFormatting sqref="H10:H1048576">
    <cfRule type="cellIs" dxfId="218" priority="2092" operator="lessThan">
      <formula>0</formula>
    </cfRule>
  </conditionalFormatting>
  <conditionalFormatting sqref="H10:H1048576">
    <cfRule type="cellIs" dxfId="217" priority="2091" operator="lessThan">
      <formula>0</formula>
    </cfRule>
  </conditionalFormatting>
  <conditionalFormatting sqref="H10:H1048576">
    <cfRule type="cellIs" dxfId="216" priority="2090" operator="lessThan">
      <formula>0</formula>
    </cfRule>
  </conditionalFormatting>
  <conditionalFormatting sqref="H10:H1048576">
    <cfRule type="cellIs" dxfId="215" priority="2089" operator="lessThan">
      <formula>0</formula>
    </cfRule>
  </conditionalFormatting>
  <conditionalFormatting sqref="H10:H1048576">
    <cfRule type="cellIs" dxfId="214" priority="2088" operator="lessThan">
      <formula>0</formula>
    </cfRule>
  </conditionalFormatting>
  <conditionalFormatting sqref="H10:H1048576">
    <cfRule type="cellIs" dxfId="213" priority="2087" operator="lessThan">
      <formula>0</formula>
    </cfRule>
  </conditionalFormatting>
  <conditionalFormatting sqref="H10:H1048576">
    <cfRule type="cellIs" dxfId="212" priority="2086" operator="lessThan">
      <formula>0</formula>
    </cfRule>
  </conditionalFormatting>
  <conditionalFormatting sqref="H10:H1048576">
    <cfRule type="cellIs" dxfId="211" priority="2085" operator="lessThan">
      <formula>0</formula>
    </cfRule>
  </conditionalFormatting>
  <conditionalFormatting sqref="H10:H1048576">
    <cfRule type="cellIs" dxfId="210" priority="2084" operator="lessThan">
      <formula>0</formula>
    </cfRule>
  </conditionalFormatting>
  <conditionalFormatting sqref="H10:H1048576">
    <cfRule type="cellIs" dxfId="209" priority="2083" operator="lessThan">
      <formula>0</formula>
    </cfRule>
  </conditionalFormatting>
  <conditionalFormatting sqref="H10:H1048576">
    <cfRule type="cellIs" dxfId="208" priority="2082" operator="lessThan">
      <formula>0</formula>
    </cfRule>
  </conditionalFormatting>
  <conditionalFormatting sqref="H10:H1048576">
    <cfRule type="cellIs" dxfId="207" priority="2081" operator="lessThan">
      <formula>0</formula>
    </cfRule>
  </conditionalFormatting>
  <conditionalFormatting sqref="H10:H1048576">
    <cfRule type="cellIs" dxfId="206" priority="2080" operator="lessThan">
      <formula>0</formula>
    </cfRule>
  </conditionalFormatting>
  <conditionalFormatting sqref="H10:H1048576">
    <cfRule type="cellIs" dxfId="205" priority="2079" operator="lessThan">
      <formula>0</formula>
    </cfRule>
  </conditionalFormatting>
  <conditionalFormatting sqref="H10:H1048576">
    <cfRule type="cellIs" dxfId="204" priority="2078" operator="lessThan">
      <formula>0</formula>
    </cfRule>
  </conditionalFormatting>
  <conditionalFormatting sqref="H10:H1048576">
    <cfRule type="cellIs" dxfId="203" priority="2077" operator="lessThan">
      <formula>0</formula>
    </cfRule>
  </conditionalFormatting>
  <conditionalFormatting sqref="H1:H1048576">
    <cfRule type="cellIs" dxfId="202" priority="2076" operator="lessThan">
      <formula>0</formula>
    </cfRule>
  </conditionalFormatting>
  <conditionalFormatting sqref="H1:H1048576">
    <cfRule type="cellIs" dxfId="201" priority="2075" operator="lessThan">
      <formula>0</formula>
    </cfRule>
  </conditionalFormatting>
  <conditionalFormatting sqref="H1:H1048576">
    <cfRule type="cellIs" dxfId="200" priority="2074" operator="lessThan">
      <formula>0</formula>
    </cfRule>
  </conditionalFormatting>
  <conditionalFormatting sqref="H1:H1048576">
    <cfRule type="cellIs" dxfId="199" priority="2073" operator="lessThan">
      <formula>0</formula>
    </cfRule>
  </conditionalFormatting>
  <conditionalFormatting sqref="H1:H1048576">
    <cfRule type="cellIs" dxfId="198" priority="2072" operator="lessThan">
      <formula>0</formula>
    </cfRule>
  </conditionalFormatting>
  <conditionalFormatting sqref="H1:H1048576">
    <cfRule type="cellIs" dxfId="197" priority="2071" operator="lessThan">
      <formula>0</formula>
    </cfRule>
  </conditionalFormatting>
  <conditionalFormatting sqref="H1:H1048576">
    <cfRule type="cellIs" dxfId="196" priority="2070" operator="lessThan">
      <formula>0</formula>
    </cfRule>
  </conditionalFormatting>
  <conditionalFormatting sqref="H1:H1048576">
    <cfRule type="cellIs" dxfId="195" priority="2069" operator="lessThan">
      <formula>0</formula>
    </cfRule>
  </conditionalFormatting>
  <conditionalFormatting sqref="H1:H1048576">
    <cfRule type="cellIs" dxfId="194" priority="2068" operator="lessThan">
      <formula>0</formula>
    </cfRule>
  </conditionalFormatting>
  <conditionalFormatting sqref="H1:H1048576">
    <cfRule type="cellIs" dxfId="193" priority="2067" operator="lessThan">
      <formula>0</formula>
    </cfRule>
  </conditionalFormatting>
  <conditionalFormatting sqref="H1:H1048576">
    <cfRule type="cellIs" dxfId="192" priority="2066" operator="lessThan">
      <formula>0</formula>
    </cfRule>
  </conditionalFormatting>
  <conditionalFormatting sqref="H1:H1048576">
    <cfRule type="cellIs" dxfId="191" priority="2065" operator="lessThan">
      <formula>0</formula>
    </cfRule>
  </conditionalFormatting>
  <conditionalFormatting sqref="H1:H1048576">
    <cfRule type="cellIs" dxfId="190" priority="2064" operator="lessThan">
      <formula>0</formula>
    </cfRule>
  </conditionalFormatting>
  <conditionalFormatting sqref="H1:H1048576">
    <cfRule type="cellIs" dxfId="189" priority="2063" operator="lessThan">
      <formula>0</formula>
    </cfRule>
  </conditionalFormatting>
  <conditionalFormatting sqref="H1:H1048576">
    <cfRule type="cellIs" dxfId="188" priority="2062" operator="lessThan">
      <formula>0</formula>
    </cfRule>
  </conditionalFormatting>
  <conditionalFormatting sqref="H1:H1048576">
    <cfRule type="cellIs" dxfId="187" priority="2061" operator="lessThan">
      <formula>0</formula>
    </cfRule>
  </conditionalFormatting>
  <conditionalFormatting sqref="H1:H1048576">
    <cfRule type="cellIs" dxfId="186" priority="2060" operator="lessThan">
      <formula>0</formula>
    </cfRule>
  </conditionalFormatting>
  <conditionalFormatting sqref="H1:H1048576">
    <cfRule type="cellIs" dxfId="185" priority="2059" operator="lessThan">
      <formula>0</formula>
    </cfRule>
  </conditionalFormatting>
  <conditionalFormatting sqref="H1:H1048576">
    <cfRule type="cellIs" dxfId="184" priority="2058" operator="lessThan">
      <formula>0</formula>
    </cfRule>
  </conditionalFormatting>
  <conditionalFormatting sqref="H1:H1048576">
    <cfRule type="cellIs" dxfId="183" priority="2057" operator="lessThan">
      <formula>0</formula>
    </cfRule>
  </conditionalFormatting>
  <conditionalFormatting sqref="H1:H1048576">
    <cfRule type="cellIs" dxfId="182" priority="2056" operator="lessThan">
      <formula>0</formula>
    </cfRule>
  </conditionalFormatting>
  <conditionalFormatting sqref="H1:H1048576">
    <cfRule type="cellIs" dxfId="181" priority="2055" operator="lessThan">
      <formula>0</formula>
    </cfRule>
  </conditionalFormatting>
  <conditionalFormatting sqref="H1:H1048576">
    <cfRule type="cellIs" dxfId="180" priority="2054" operator="lessThan">
      <formula>0</formula>
    </cfRule>
  </conditionalFormatting>
  <conditionalFormatting sqref="H1:H1048576">
    <cfRule type="cellIs" dxfId="179" priority="2053" operator="lessThan">
      <formula>0</formula>
    </cfRule>
  </conditionalFormatting>
  <conditionalFormatting sqref="H1:H1048576">
    <cfRule type="cellIs" dxfId="178" priority="2052" operator="lessThan">
      <formula>0</formula>
    </cfRule>
  </conditionalFormatting>
  <conditionalFormatting sqref="H1:H1048576">
    <cfRule type="cellIs" dxfId="177" priority="2051" operator="lessThan">
      <formula>0</formula>
    </cfRule>
  </conditionalFormatting>
  <conditionalFormatting sqref="H1:H1048576">
    <cfRule type="cellIs" dxfId="176" priority="2050" operator="lessThan">
      <formula>0</formula>
    </cfRule>
  </conditionalFormatting>
  <conditionalFormatting sqref="H1:H1048576">
    <cfRule type="cellIs" dxfId="175" priority="2049" operator="lessThan">
      <formula>0</formula>
    </cfRule>
  </conditionalFormatting>
  <conditionalFormatting sqref="H1:H1048576">
    <cfRule type="cellIs" dxfId="174" priority="2048" operator="lessThan">
      <formula>0</formula>
    </cfRule>
  </conditionalFormatting>
  <conditionalFormatting sqref="H1:H1048576">
    <cfRule type="cellIs" dxfId="173" priority="2047" operator="lessThan">
      <formula>0</formula>
    </cfRule>
  </conditionalFormatting>
  <conditionalFormatting sqref="H1:H1048576">
    <cfRule type="cellIs" dxfId="172" priority="2046" operator="lessThan">
      <formula>0</formula>
    </cfRule>
  </conditionalFormatting>
  <conditionalFormatting sqref="H1:H1048576">
    <cfRule type="cellIs" dxfId="171" priority="2045" operator="lessThan">
      <formula>0</formula>
    </cfRule>
  </conditionalFormatting>
  <conditionalFormatting sqref="H1:H1048576">
    <cfRule type="cellIs" dxfId="170" priority="2044" operator="lessThan">
      <formula>0</formula>
    </cfRule>
  </conditionalFormatting>
  <conditionalFormatting sqref="H1:H1048576">
    <cfRule type="cellIs" dxfId="169" priority="2043" operator="lessThan">
      <formula>0</formula>
    </cfRule>
  </conditionalFormatting>
  <conditionalFormatting sqref="H1:H1048576">
    <cfRule type="cellIs" dxfId="168" priority="2042" operator="lessThan">
      <formula>0</formula>
    </cfRule>
  </conditionalFormatting>
  <conditionalFormatting sqref="H1:H1048576">
    <cfRule type="cellIs" dxfId="167" priority="2041" operator="lessThan">
      <formula>0</formula>
    </cfRule>
  </conditionalFormatting>
  <conditionalFormatting sqref="H1:H1048576">
    <cfRule type="cellIs" dxfId="166" priority="2040" operator="lessThan">
      <formula>0</formula>
    </cfRule>
  </conditionalFormatting>
  <conditionalFormatting sqref="H1:H1048576">
    <cfRule type="cellIs" dxfId="165" priority="2039" operator="lessThan">
      <formula>0</formula>
    </cfRule>
  </conditionalFormatting>
  <conditionalFormatting sqref="H1:H1048576">
    <cfRule type="cellIs" dxfId="164" priority="2038" operator="lessThan">
      <formula>0</formula>
    </cfRule>
  </conditionalFormatting>
  <conditionalFormatting sqref="H1:H1048576">
    <cfRule type="cellIs" dxfId="163" priority="2037" operator="lessThan">
      <formula>0</formula>
    </cfRule>
  </conditionalFormatting>
  <conditionalFormatting sqref="H1:H1048576">
    <cfRule type="cellIs" dxfId="162" priority="2036" operator="lessThan">
      <formula>0</formula>
    </cfRule>
  </conditionalFormatting>
  <conditionalFormatting sqref="H1:H1048576">
    <cfRule type="cellIs" dxfId="161" priority="2035" operator="lessThan">
      <formula>0</formula>
    </cfRule>
  </conditionalFormatting>
  <conditionalFormatting sqref="H1:H1048576">
    <cfRule type="cellIs" dxfId="160" priority="2034" operator="lessThan">
      <formula>0</formula>
    </cfRule>
  </conditionalFormatting>
  <conditionalFormatting sqref="H1:H1048576">
    <cfRule type="cellIs" dxfId="159" priority="2033" operator="lessThan">
      <formula>0</formula>
    </cfRule>
  </conditionalFormatting>
  <conditionalFormatting sqref="H1:H1048576">
    <cfRule type="cellIs" dxfId="158" priority="2032" operator="lessThan">
      <formula>0</formula>
    </cfRule>
  </conditionalFormatting>
  <conditionalFormatting sqref="H1:H1048576">
    <cfRule type="cellIs" dxfId="157" priority="2031" operator="lessThan">
      <formula>0</formula>
    </cfRule>
  </conditionalFormatting>
  <conditionalFormatting sqref="H1:H1048576">
    <cfRule type="cellIs" dxfId="156" priority="2030" operator="lessThan">
      <formula>0</formula>
    </cfRule>
  </conditionalFormatting>
  <conditionalFormatting sqref="H1:H1048576">
    <cfRule type="cellIs" dxfId="155" priority="2029" operator="lessThan">
      <formula>0</formula>
    </cfRule>
  </conditionalFormatting>
  <conditionalFormatting sqref="H1:H1048576">
    <cfRule type="cellIs" dxfId="154" priority="2028" operator="lessThan">
      <formula>0</formula>
    </cfRule>
  </conditionalFormatting>
  <conditionalFormatting sqref="H1:H1048576">
    <cfRule type="cellIs" dxfId="153" priority="2027" operator="lessThan">
      <formula>0</formula>
    </cfRule>
  </conditionalFormatting>
  <conditionalFormatting sqref="H1:H1048576">
    <cfRule type="cellIs" dxfId="152" priority="2026" operator="lessThan">
      <formula>0</formula>
    </cfRule>
  </conditionalFormatting>
  <conditionalFormatting sqref="H1:H1048576">
    <cfRule type="cellIs" dxfId="151" priority="2025" operator="lessThan">
      <formula>0</formula>
    </cfRule>
  </conditionalFormatting>
  <conditionalFormatting sqref="H1:H1048576">
    <cfRule type="cellIs" dxfId="150" priority="2024" operator="lessThan">
      <formula>0</formula>
    </cfRule>
  </conditionalFormatting>
  <conditionalFormatting sqref="H1:H1048576">
    <cfRule type="cellIs" dxfId="149" priority="2023" operator="lessThan">
      <formula>0</formula>
    </cfRule>
  </conditionalFormatting>
  <conditionalFormatting sqref="H1:H1048576">
    <cfRule type="cellIs" dxfId="148" priority="2022" operator="lessThan">
      <formula>0</formula>
    </cfRule>
  </conditionalFormatting>
  <conditionalFormatting sqref="H1:H1048576">
    <cfRule type="cellIs" dxfId="147" priority="2021" operator="lessThan">
      <formula>0</formula>
    </cfRule>
  </conditionalFormatting>
  <conditionalFormatting sqref="H1:H1048576">
    <cfRule type="cellIs" dxfId="146" priority="2020" operator="lessThan">
      <formula>0</formula>
    </cfRule>
  </conditionalFormatting>
  <conditionalFormatting sqref="H1:H1048576">
    <cfRule type="cellIs" dxfId="145" priority="2019" operator="lessThan">
      <formula>0</formula>
    </cfRule>
  </conditionalFormatting>
  <conditionalFormatting sqref="H1:H1048576">
    <cfRule type="cellIs" dxfId="144" priority="2018" operator="lessThan">
      <formula>0</formula>
    </cfRule>
  </conditionalFormatting>
  <conditionalFormatting sqref="H1:H1048576">
    <cfRule type="cellIs" dxfId="143" priority="2017" operator="lessThan">
      <formula>0</formula>
    </cfRule>
  </conditionalFormatting>
  <conditionalFormatting sqref="H1:H1048576">
    <cfRule type="cellIs" dxfId="142" priority="2016" operator="lessThan">
      <formula>0</formula>
    </cfRule>
  </conditionalFormatting>
  <conditionalFormatting sqref="H1:H1048576">
    <cfRule type="cellIs" dxfId="141" priority="2015" operator="lessThan">
      <formula>0</formula>
    </cfRule>
  </conditionalFormatting>
  <conditionalFormatting sqref="H1:H1048576">
    <cfRule type="cellIs" dxfId="140" priority="2014" operator="lessThan">
      <formula>0</formula>
    </cfRule>
  </conditionalFormatting>
  <conditionalFormatting sqref="H1:H1048576">
    <cfRule type="cellIs" dxfId="139" priority="2013" operator="lessThan">
      <formula>0</formula>
    </cfRule>
  </conditionalFormatting>
  <conditionalFormatting sqref="H1:H1048576">
    <cfRule type="cellIs" dxfId="138" priority="2012" operator="lessThan">
      <formula>0</formula>
    </cfRule>
  </conditionalFormatting>
  <conditionalFormatting sqref="H1:H1048576">
    <cfRule type="cellIs" dxfId="137" priority="2011" operator="lessThan">
      <formula>0</formula>
    </cfRule>
  </conditionalFormatting>
  <conditionalFormatting sqref="H1:H1048576">
    <cfRule type="cellIs" dxfId="136" priority="2010" operator="lessThan">
      <formula>0</formula>
    </cfRule>
  </conditionalFormatting>
  <conditionalFormatting sqref="H1:H1048576">
    <cfRule type="cellIs" dxfId="135" priority="2009" operator="lessThan">
      <formula>0</formula>
    </cfRule>
  </conditionalFormatting>
  <conditionalFormatting sqref="H1:H1048576">
    <cfRule type="cellIs" dxfId="134" priority="2008" operator="lessThan">
      <formula>0</formula>
    </cfRule>
  </conditionalFormatting>
  <conditionalFormatting sqref="H1:H1048576">
    <cfRule type="cellIs" dxfId="133" priority="2007" operator="lessThan">
      <formula>0</formula>
    </cfRule>
  </conditionalFormatting>
  <conditionalFormatting sqref="H1:H1048576">
    <cfRule type="cellIs" dxfId="132" priority="2006" operator="lessThan">
      <formula>0</formula>
    </cfRule>
  </conditionalFormatting>
  <conditionalFormatting sqref="H1:H1048576">
    <cfRule type="cellIs" dxfId="131" priority="2005" operator="lessThan">
      <formula>0</formula>
    </cfRule>
  </conditionalFormatting>
  <conditionalFormatting sqref="H1:H1048576">
    <cfRule type="cellIs" dxfId="130" priority="2004" operator="lessThan">
      <formula>0</formula>
    </cfRule>
  </conditionalFormatting>
  <conditionalFormatting sqref="H1:H1048576">
    <cfRule type="cellIs" dxfId="129" priority="2003" operator="lessThan">
      <formula>0</formula>
    </cfRule>
  </conditionalFormatting>
  <conditionalFormatting sqref="H1:H1048576">
    <cfRule type="cellIs" dxfId="128" priority="2002" operator="lessThan">
      <formula>0</formula>
    </cfRule>
  </conditionalFormatting>
  <conditionalFormatting sqref="H1:H1048576">
    <cfRule type="cellIs" dxfId="127" priority="2001" operator="lessThan">
      <formula>0</formula>
    </cfRule>
  </conditionalFormatting>
  <conditionalFormatting sqref="H1:H1048576">
    <cfRule type="cellIs" dxfId="126" priority="2000" operator="lessThan">
      <formula>0</formula>
    </cfRule>
  </conditionalFormatting>
  <conditionalFormatting sqref="H1:H1048576">
    <cfRule type="cellIs" dxfId="125" priority="1999" operator="lessThan">
      <formula>0</formula>
    </cfRule>
  </conditionalFormatting>
  <conditionalFormatting sqref="H1:H1048576">
    <cfRule type="cellIs" dxfId="124" priority="1998" operator="lessThan">
      <formula>0</formula>
    </cfRule>
  </conditionalFormatting>
  <conditionalFormatting sqref="H1:H1048576">
    <cfRule type="cellIs" dxfId="123" priority="1997" operator="lessThan">
      <formula>0</formula>
    </cfRule>
  </conditionalFormatting>
  <conditionalFormatting sqref="H1:H1048576">
    <cfRule type="cellIs" dxfId="122" priority="1996" operator="lessThan">
      <formula>0</formula>
    </cfRule>
  </conditionalFormatting>
  <conditionalFormatting sqref="H1:H1048576">
    <cfRule type="cellIs" dxfId="121" priority="1995" operator="lessThan">
      <formula>0</formula>
    </cfRule>
  </conditionalFormatting>
  <conditionalFormatting sqref="H1:H1048576">
    <cfRule type="cellIs" dxfId="120" priority="1994" operator="lessThan">
      <formula>0</formula>
    </cfRule>
  </conditionalFormatting>
  <conditionalFormatting sqref="H1:H1048576">
    <cfRule type="cellIs" dxfId="119" priority="1993" operator="lessThan">
      <formula>0</formula>
    </cfRule>
  </conditionalFormatting>
  <conditionalFormatting sqref="H1:H1048576">
    <cfRule type="cellIs" dxfId="118" priority="1992" operator="lessThan">
      <formula>0</formula>
    </cfRule>
  </conditionalFormatting>
  <conditionalFormatting sqref="H1:H1048576">
    <cfRule type="cellIs" dxfId="117" priority="1991" operator="lessThan">
      <formula>0</formula>
    </cfRule>
  </conditionalFormatting>
  <conditionalFormatting sqref="H1:H1048576">
    <cfRule type="cellIs" dxfId="116" priority="1990" operator="lessThan">
      <formula>0</formula>
    </cfRule>
  </conditionalFormatting>
  <conditionalFormatting sqref="H1:H1048576">
    <cfRule type="cellIs" dxfId="115" priority="1989" operator="lessThan">
      <formula>0</formula>
    </cfRule>
  </conditionalFormatting>
  <conditionalFormatting sqref="H1:H1048576">
    <cfRule type="cellIs" dxfId="114" priority="1988" operator="lessThan">
      <formula>0</formula>
    </cfRule>
  </conditionalFormatting>
  <conditionalFormatting sqref="H1:H1048576">
    <cfRule type="cellIs" dxfId="113" priority="1987" operator="lessThan">
      <formula>0</formula>
    </cfRule>
  </conditionalFormatting>
  <conditionalFormatting sqref="H1:H1048576">
    <cfRule type="cellIs" dxfId="112" priority="1986" operator="lessThan">
      <formula>0</formula>
    </cfRule>
  </conditionalFormatting>
  <conditionalFormatting sqref="H1:H1048576">
    <cfRule type="cellIs" dxfId="111" priority="1985" operator="lessThan">
      <formula>0</formula>
    </cfRule>
  </conditionalFormatting>
  <conditionalFormatting sqref="H1:H1048576">
    <cfRule type="cellIs" dxfId="110" priority="1984" operator="lessThan">
      <formula>0</formula>
    </cfRule>
  </conditionalFormatting>
  <conditionalFormatting sqref="H1:H1048576">
    <cfRule type="cellIs" dxfId="109" priority="1983" operator="lessThan">
      <formula>0</formula>
    </cfRule>
  </conditionalFormatting>
  <conditionalFormatting sqref="H1:H1048576">
    <cfRule type="cellIs" dxfId="108" priority="1982" operator="lessThan">
      <formula>0</formula>
    </cfRule>
  </conditionalFormatting>
  <conditionalFormatting sqref="H1:H1048576">
    <cfRule type="cellIs" dxfId="107" priority="1981" operator="lessThan">
      <formula>0</formula>
    </cfRule>
  </conditionalFormatting>
  <conditionalFormatting sqref="H1:H1048576">
    <cfRule type="cellIs" dxfId="106" priority="1980" operator="lessThan">
      <formula>0</formula>
    </cfRule>
  </conditionalFormatting>
  <conditionalFormatting sqref="H1:H1048576">
    <cfRule type="cellIs" dxfId="105" priority="1979" operator="lessThan">
      <formula>0</formula>
    </cfRule>
  </conditionalFormatting>
  <conditionalFormatting sqref="H1:H1048576">
    <cfRule type="cellIs" dxfId="104" priority="1978" operator="lessThan">
      <formula>0</formula>
    </cfRule>
  </conditionalFormatting>
  <conditionalFormatting sqref="H1:H1048576">
    <cfRule type="cellIs" dxfId="103" priority="1977" operator="lessThan">
      <formula>0</formula>
    </cfRule>
  </conditionalFormatting>
  <conditionalFormatting sqref="H1:H1048576">
    <cfRule type="cellIs" dxfId="102" priority="1976" operator="lessThan">
      <formula>0</formula>
    </cfRule>
  </conditionalFormatting>
  <conditionalFormatting sqref="H1:H1048576">
    <cfRule type="cellIs" dxfId="101" priority="1975" operator="lessThan">
      <formula>0</formula>
    </cfRule>
  </conditionalFormatting>
  <conditionalFormatting sqref="H1:H1048576">
    <cfRule type="cellIs" dxfId="100" priority="1974" operator="lessThan">
      <formula>0</formula>
    </cfRule>
  </conditionalFormatting>
  <conditionalFormatting sqref="H1:H1048576">
    <cfRule type="cellIs" dxfId="99" priority="1973" operator="lessThan">
      <formula>0</formula>
    </cfRule>
  </conditionalFormatting>
  <conditionalFormatting sqref="H1:H1048576">
    <cfRule type="cellIs" dxfId="98" priority="1972" operator="lessThan">
      <formula>0</formula>
    </cfRule>
  </conditionalFormatting>
  <conditionalFormatting sqref="H1:H1048576">
    <cfRule type="cellIs" dxfId="97" priority="1971" operator="lessThan">
      <formula>0</formula>
    </cfRule>
  </conditionalFormatting>
  <conditionalFormatting sqref="H1:H1048576">
    <cfRule type="cellIs" dxfId="96" priority="1970" operator="lessThan">
      <formula>0</formula>
    </cfRule>
  </conditionalFormatting>
  <conditionalFormatting sqref="H1:H1048576">
    <cfRule type="cellIs" dxfId="95" priority="1969" operator="lessThan">
      <formula>0</formula>
    </cfRule>
  </conditionalFormatting>
  <conditionalFormatting sqref="H1:H1048576">
    <cfRule type="cellIs" dxfId="94" priority="1968" operator="lessThan">
      <formula>0</formula>
    </cfRule>
  </conditionalFormatting>
  <conditionalFormatting sqref="H1:H1048576">
    <cfRule type="cellIs" dxfId="93" priority="1967" operator="lessThan">
      <formula>0</formula>
    </cfRule>
  </conditionalFormatting>
  <conditionalFormatting sqref="H1:H1048576">
    <cfRule type="cellIs" dxfId="92" priority="1966" operator="lessThan">
      <formula>0</formula>
    </cfRule>
  </conditionalFormatting>
  <conditionalFormatting sqref="H1:H1048576">
    <cfRule type="cellIs" dxfId="91" priority="1965" operator="lessThan">
      <formula>0</formula>
    </cfRule>
  </conditionalFormatting>
  <conditionalFormatting sqref="H1:H1048576">
    <cfRule type="cellIs" dxfId="90" priority="1964" operator="lessThan">
      <formula>0</formula>
    </cfRule>
  </conditionalFormatting>
  <conditionalFormatting sqref="H1:H1048576">
    <cfRule type="cellIs" dxfId="89" priority="1963" operator="lessThan">
      <formula>0</formula>
    </cfRule>
  </conditionalFormatting>
  <conditionalFormatting sqref="H1:H1048576">
    <cfRule type="cellIs" dxfId="88" priority="1962" operator="lessThan">
      <formula>0</formula>
    </cfRule>
  </conditionalFormatting>
  <conditionalFormatting sqref="H1:H1048576">
    <cfRule type="cellIs" dxfId="87" priority="1961" operator="lessThan">
      <formula>0</formula>
    </cfRule>
  </conditionalFormatting>
  <conditionalFormatting sqref="H1:H1048576">
    <cfRule type="cellIs" dxfId="86" priority="1960" operator="lessThan">
      <formula>0</formula>
    </cfRule>
  </conditionalFormatting>
  <conditionalFormatting sqref="H1:H1048576">
    <cfRule type="cellIs" dxfId="85" priority="1959" operator="lessThan">
      <formula>0</formula>
    </cfRule>
  </conditionalFormatting>
  <conditionalFormatting sqref="H1:H1048576">
    <cfRule type="cellIs" dxfId="84" priority="1958" operator="lessThan">
      <formula>0</formula>
    </cfRule>
  </conditionalFormatting>
  <conditionalFormatting sqref="H1:H1048576">
    <cfRule type="cellIs" dxfId="83" priority="1957" operator="lessThan">
      <formula>0</formula>
    </cfRule>
  </conditionalFormatting>
  <conditionalFormatting sqref="H1:H1048576">
    <cfRule type="cellIs" dxfId="82" priority="1956" operator="lessThan">
      <formula>0</formula>
    </cfRule>
  </conditionalFormatting>
  <conditionalFormatting sqref="H1:H1048576">
    <cfRule type="cellIs" dxfId="81" priority="1955" operator="lessThan">
      <formula>0</formula>
    </cfRule>
  </conditionalFormatting>
  <conditionalFormatting sqref="H1:H1048576">
    <cfRule type="cellIs" dxfId="80" priority="1954" operator="lessThan">
      <formula>0</formula>
    </cfRule>
  </conditionalFormatting>
  <conditionalFormatting sqref="H1:H1048576">
    <cfRule type="cellIs" dxfId="79" priority="1953" operator="lessThan">
      <formula>0</formula>
    </cfRule>
  </conditionalFormatting>
  <conditionalFormatting sqref="H1:H1048576">
    <cfRule type="cellIs" dxfId="78" priority="1952" operator="lessThan">
      <formula>0</formula>
    </cfRule>
  </conditionalFormatting>
  <conditionalFormatting sqref="H1:H1048576">
    <cfRule type="cellIs" dxfId="77" priority="1951" operator="lessThan">
      <formula>0</formula>
    </cfRule>
  </conditionalFormatting>
  <conditionalFormatting sqref="H1:H1048576">
    <cfRule type="cellIs" dxfId="76" priority="1950" operator="lessThan">
      <formula>0</formula>
    </cfRule>
  </conditionalFormatting>
  <conditionalFormatting sqref="H1:H1048576">
    <cfRule type="cellIs" dxfId="75" priority="1949" operator="lessThan">
      <formula>0</formula>
    </cfRule>
  </conditionalFormatting>
  <conditionalFormatting sqref="H1:H1048576">
    <cfRule type="cellIs" dxfId="74" priority="1948" operator="lessThan">
      <formula>0</formula>
    </cfRule>
  </conditionalFormatting>
  <conditionalFormatting sqref="H1:H1048576">
    <cfRule type="cellIs" dxfId="73" priority="1947" operator="lessThan">
      <formula>0</formula>
    </cfRule>
  </conditionalFormatting>
  <conditionalFormatting sqref="H1:H1048576">
    <cfRule type="cellIs" dxfId="72" priority="1946" operator="lessThan">
      <formula>0</formula>
    </cfRule>
  </conditionalFormatting>
  <conditionalFormatting sqref="H1:H1048576">
    <cfRule type="cellIs" dxfId="71" priority="1945" operator="lessThan">
      <formula>0</formula>
    </cfRule>
  </conditionalFormatting>
  <conditionalFormatting sqref="H1:H1048576">
    <cfRule type="cellIs" dxfId="70" priority="1944" operator="lessThan">
      <formula>0</formula>
    </cfRule>
  </conditionalFormatting>
  <conditionalFormatting sqref="H1:H1048576">
    <cfRule type="cellIs" dxfId="69" priority="1943" operator="lessThan">
      <formula>0</formula>
    </cfRule>
  </conditionalFormatting>
  <conditionalFormatting sqref="H1:H1048576">
    <cfRule type="cellIs" dxfId="68" priority="1942" operator="lessThan">
      <formula>0</formula>
    </cfRule>
  </conditionalFormatting>
  <conditionalFormatting sqref="H1:H1048576">
    <cfRule type="cellIs" dxfId="67" priority="1941" operator="lessThan">
      <formula>0</formula>
    </cfRule>
  </conditionalFormatting>
  <conditionalFormatting sqref="H1:H1048576">
    <cfRule type="cellIs" dxfId="66" priority="1940" operator="lessThan">
      <formula>0</formula>
    </cfRule>
  </conditionalFormatting>
  <conditionalFormatting sqref="H1:H1048576">
    <cfRule type="cellIs" dxfId="65" priority="1939" operator="lessThan">
      <formula>0</formula>
    </cfRule>
  </conditionalFormatting>
  <conditionalFormatting sqref="H1:H1048576">
    <cfRule type="cellIs" dxfId="64" priority="1938" operator="lessThan">
      <formula>0</formula>
    </cfRule>
  </conditionalFormatting>
  <conditionalFormatting sqref="H1:H1048576">
    <cfRule type="cellIs" dxfId="63" priority="1937" operator="lessThan">
      <formula>0</formula>
    </cfRule>
  </conditionalFormatting>
  <conditionalFormatting sqref="H1:H1048576">
    <cfRule type="cellIs" dxfId="62" priority="1936" operator="lessThan">
      <formula>0</formula>
    </cfRule>
  </conditionalFormatting>
  <conditionalFormatting sqref="H1:H1048576">
    <cfRule type="cellIs" dxfId="61" priority="1935" operator="lessThan">
      <formula>0</formula>
    </cfRule>
  </conditionalFormatting>
  <conditionalFormatting sqref="H1:H1048576">
    <cfRule type="cellIs" dxfId="60" priority="1934" operator="lessThan">
      <formula>0</formula>
    </cfRule>
  </conditionalFormatting>
  <conditionalFormatting sqref="H1:H1048576">
    <cfRule type="cellIs" dxfId="59" priority="1933" operator="lessThan">
      <formula>0</formula>
    </cfRule>
  </conditionalFormatting>
  <conditionalFormatting sqref="H1:H1048576">
    <cfRule type="cellIs" dxfId="58" priority="1932" operator="lessThan">
      <formula>0</formula>
    </cfRule>
  </conditionalFormatting>
  <conditionalFormatting sqref="H1:H1048576">
    <cfRule type="cellIs" dxfId="57" priority="1931" operator="lessThan">
      <formula>0</formula>
    </cfRule>
  </conditionalFormatting>
  <conditionalFormatting sqref="H1:H1048576">
    <cfRule type="cellIs" dxfId="56" priority="1930" operator="lessThan">
      <formula>0</formula>
    </cfRule>
  </conditionalFormatting>
  <conditionalFormatting sqref="H1:H1048576">
    <cfRule type="cellIs" dxfId="55" priority="1929" operator="lessThan">
      <formula>0</formula>
    </cfRule>
  </conditionalFormatting>
  <conditionalFormatting sqref="H1:H1048576">
    <cfRule type="cellIs" dxfId="54" priority="1928" operator="lessThan">
      <formula>0</formula>
    </cfRule>
  </conditionalFormatting>
  <conditionalFormatting sqref="H1:H1048576">
    <cfRule type="cellIs" dxfId="53" priority="1927" operator="lessThan">
      <formula>0</formula>
    </cfRule>
  </conditionalFormatting>
  <conditionalFormatting sqref="H1:H1048576">
    <cfRule type="cellIs" dxfId="52" priority="1926" operator="lessThan">
      <formula>0</formula>
    </cfRule>
  </conditionalFormatting>
  <conditionalFormatting sqref="H1:H1048576">
    <cfRule type="cellIs" dxfId="51" priority="1925" operator="lessThan">
      <formula>0</formula>
    </cfRule>
  </conditionalFormatting>
  <conditionalFormatting sqref="H1:H1048576">
    <cfRule type="cellIs" dxfId="50" priority="1924" operator="lessThan">
      <formula>0</formula>
    </cfRule>
  </conditionalFormatting>
  <conditionalFormatting sqref="H1:H1048576">
    <cfRule type="cellIs" dxfId="49" priority="1923" operator="lessThan">
      <formula>0</formula>
    </cfRule>
  </conditionalFormatting>
  <conditionalFormatting sqref="H1:H1048576">
    <cfRule type="cellIs" dxfId="48" priority="1922" operator="lessThan">
      <formula>0</formula>
    </cfRule>
  </conditionalFormatting>
  <conditionalFormatting sqref="H1:H1048576">
    <cfRule type="cellIs" dxfId="47" priority="1921" operator="lessThan">
      <formula>0</formula>
    </cfRule>
  </conditionalFormatting>
  <conditionalFormatting sqref="H1:H1048576">
    <cfRule type="cellIs" dxfId="46" priority="1920" operator="lessThan">
      <formula>0</formula>
    </cfRule>
  </conditionalFormatting>
  <conditionalFormatting sqref="H1:H1048576">
    <cfRule type="cellIs" dxfId="45" priority="1919" operator="lessThan">
      <formula>0</formula>
    </cfRule>
  </conditionalFormatting>
  <conditionalFormatting sqref="H1:H1048576">
    <cfRule type="cellIs" dxfId="44" priority="1918" operator="lessThan">
      <formula>0</formula>
    </cfRule>
  </conditionalFormatting>
  <conditionalFormatting sqref="H1:H1048576">
    <cfRule type="cellIs" dxfId="43" priority="1917" operator="lessThan">
      <formula>0</formula>
    </cfRule>
  </conditionalFormatting>
  <conditionalFormatting sqref="H1:H1048576">
    <cfRule type="cellIs" dxfId="42" priority="1916" operator="lessThan">
      <formula>0</formula>
    </cfRule>
  </conditionalFormatting>
  <conditionalFormatting sqref="H1:H1048576">
    <cfRule type="cellIs" dxfId="41" priority="1915" operator="lessThan">
      <formula>0</formula>
    </cfRule>
  </conditionalFormatting>
  <conditionalFormatting sqref="H1:H1048576">
    <cfRule type="cellIs" dxfId="40" priority="1914" operator="lessThan">
      <formula>0</formula>
    </cfRule>
  </conditionalFormatting>
  <conditionalFormatting sqref="H1:H1048576">
    <cfRule type="cellIs" dxfId="39" priority="1913" operator="lessThan">
      <formula>0</formula>
    </cfRule>
  </conditionalFormatting>
  <conditionalFormatting sqref="H1:H1048576">
    <cfRule type="cellIs" dxfId="38" priority="1912" operator="lessThan">
      <formula>0</formula>
    </cfRule>
  </conditionalFormatting>
  <conditionalFormatting sqref="H1:H1048576">
    <cfRule type="cellIs" dxfId="37" priority="1911" operator="lessThan">
      <formula>0</formula>
    </cfRule>
  </conditionalFormatting>
  <conditionalFormatting sqref="H1:H1048576">
    <cfRule type="cellIs" dxfId="36" priority="1910" operator="lessThan">
      <formula>0</formula>
    </cfRule>
  </conditionalFormatting>
  <conditionalFormatting sqref="H1:H1048576">
    <cfRule type="cellIs" dxfId="35" priority="1909" operator="lessThan">
      <formula>0</formula>
    </cfRule>
  </conditionalFormatting>
  <conditionalFormatting sqref="H1:H1048576">
    <cfRule type="cellIs" dxfId="34" priority="1908" operator="lessThan">
      <formula>0</formula>
    </cfRule>
  </conditionalFormatting>
  <conditionalFormatting sqref="H1:H1048576">
    <cfRule type="cellIs" dxfId="33" priority="1907" operator="lessThan">
      <formula>0</formula>
    </cfRule>
  </conditionalFormatting>
  <conditionalFormatting sqref="H1:H1048576">
    <cfRule type="cellIs" dxfId="32" priority="1906" operator="lessThan">
      <formula>0</formula>
    </cfRule>
  </conditionalFormatting>
  <conditionalFormatting sqref="H1:H1048576">
    <cfRule type="cellIs" dxfId="31" priority="1905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1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H18" sqref="H18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347.62</v>
      </c>
      <c r="D1" s="172">
        <f>C1/E1-1</f>
        <v>4.3917942791100728E-3</v>
      </c>
      <c r="E1" s="239">
        <f>_xll.BDP(B1&amp;" EQUITY","PX_YEST_CLOSE")</f>
        <v>346.1</v>
      </c>
      <c r="H1" t="s">
        <v>6</v>
      </c>
      <c r="I1" s="173" cm="1">
        <f t="array" ref="I1">_xll.BDP(H1&amp;" EQUITY","LAST_PRICE")</f>
        <v>85.76</v>
      </c>
      <c r="J1" s="172">
        <f>I1/K1-1</f>
        <v>1.7439791197057852E-2</v>
      </c>
      <c r="K1" s="239">
        <f>_xll.BDP(H1&amp;" EQUITY","PX_YEST_CLOSE")</f>
        <v>84.29</v>
      </c>
      <c r="O1">
        <v>3.4</v>
      </c>
      <c r="P1" s="50">
        <v>1.36</v>
      </c>
      <c r="Q1" t="s">
        <v>1922</v>
      </c>
      <c r="R1" s="5">
        <f>SUMIF($F$12:$F$40,"Long",U12:U40)</f>
        <v>9.5231535571900037E-3</v>
      </c>
      <c r="S1" s="5">
        <f>T1/R1/10000</f>
        <v>1.4852472997758588E-2</v>
      </c>
      <c r="T1" s="276">
        <f>SUMIF($F$12:$F$40,"Long",V12:V40)</f>
        <v>1.4144238106167317</v>
      </c>
      <c r="U1" s="413" t="e">
        <f>#REF!+#REF!+#REF!+#REF!+#REF!+#REF!+#REF!+#REF!+#REF!+#REF!+#REF!</f>
        <v>#REF!</v>
      </c>
      <c r="V1" s="369" t="e">
        <f>#REF!+#REF!+#REF!+#REF!+#REF!+#REF!+#REF!+#REF!+#REF!+#REF!+#REF!+V20+#REF!</f>
        <v>#REF!</v>
      </c>
      <c r="W1" s="276" t="e">
        <f>-SUM(U12:U40)/SUM(#REF!)</f>
        <v>#REF!</v>
      </c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188.85</v>
      </c>
      <c r="D2" s="172">
        <f>C2/E2-1</f>
        <v>1.2600536193029477E-2</v>
      </c>
      <c r="E2" s="239" cm="1">
        <f t="array" ref="E2">_xll.BDP(B2&amp;" EQUITY","PX_YEST_CLOSE")</f>
        <v>186.5</v>
      </c>
      <c r="H2" t="s">
        <v>95</v>
      </c>
      <c r="I2" s="173" cm="1">
        <f t="array" ref="I2">_xll.BDP(H2&amp;" EQUITY","LAST_PRICE")</f>
        <v>313.69</v>
      </c>
      <c r="J2" s="172">
        <f>I2/K2-1</f>
        <v>4.1640378548895907E-2</v>
      </c>
      <c r="K2" s="239">
        <f>_xll.BDP(H2&amp;" EQUITY","PX_YEST_CLOSE")</f>
        <v>301.14999999999998</v>
      </c>
      <c r="O2" s="50"/>
      <c r="P2" s="50">
        <f>V10+P1</f>
        <v>2.8006952434464978</v>
      </c>
      <c r="R2" s="5"/>
      <c r="S2" s="5"/>
      <c r="T2" s="276"/>
      <c r="U2" s="370"/>
      <c r="V2" s="369"/>
      <c r="W2" s="276">
        <f>W5/W6</f>
        <v>-30.394382082726569</v>
      </c>
      <c r="Z2" s="19" t="s">
        <v>1701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319.61</v>
      </c>
      <c r="D3" s="172">
        <f>C3/E3-1</f>
        <v>5.1729244134390839E-2</v>
      </c>
      <c r="E3" s="239">
        <f>_xll.BDP(B3&amp;" EQUITY","PX_YEST_CLOSE")</f>
        <v>303.89</v>
      </c>
      <c r="H3" t="s">
        <v>136</v>
      </c>
      <c r="I3" s="173" cm="1">
        <f t="array" ref="I3">_xll.BDP(H3&amp;" EQUITY","LAST_PRICE")</f>
        <v>373.36</v>
      </c>
      <c r="J3" s="172">
        <f>I3/K3-1</f>
        <v>3.6736733957182244E-2</v>
      </c>
      <c r="K3" s="239" cm="1">
        <f t="array" ref="K3">_xll.BDP(H3&amp;" EQUITY","PX_YEST_CLOSE")</f>
        <v>360.13</v>
      </c>
      <c r="L3" s="174"/>
      <c r="O3" s="5"/>
      <c r="R3" s="5"/>
      <c r="S3" s="5"/>
      <c r="T3" s="276"/>
      <c r="U3" s="276">
        <f>U5/-U6</f>
        <v>1.7713422456992376</v>
      </c>
      <c r="W3" s="45" t="s">
        <v>154</v>
      </c>
      <c r="X3" s="5">
        <f>_xll.BDP("SPY Equity","LAST_PRICE")/_xll.BDP("SPY Equity","PX_YEST_CLOSE")-1</f>
        <v>1.8330595964335394E-3</v>
      </c>
      <c r="AC3" s="93" cm="1">
        <f t="array" ref="AC3">_xll.BDP("brl Curncy","LAST_PRICE")</f>
        <v>5.4246999999999996</v>
      </c>
      <c r="AD3" s="8">
        <f>AD5*$AC$3</f>
        <v>11434768527.599998</v>
      </c>
      <c r="AF3" s="3"/>
      <c r="AG3"/>
      <c r="AH3" s="32"/>
      <c r="AI3"/>
    </row>
    <row r="4" spans="1:39" ht="30.75" thickBot="1">
      <c r="B4" t="s">
        <v>570</v>
      </c>
      <c r="C4" s="173" cm="1">
        <f t="array" ref="C4">_xll.BDP(B4&amp;" EQUITY","LAST_PRICE")</f>
        <v>315.28500000000003</v>
      </c>
      <c r="D4" s="172">
        <f>C4/E4-1</f>
        <v>0.10467397778634235</v>
      </c>
      <c r="E4" s="239" cm="1">
        <f t="array" ref="E4">_xll.BDP(B4&amp;" EQUITY","PX_YEST_CLOSE")</f>
        <v>285.41000000000003</v>
      </c>
      <c r="F4" s="7"/>
      <c r="G4" s="7"/>
      <c r="H4" t="s">
        <v>0</v>
      </c>
      <c r="I4" s="173" cm="1">
        <f t="array" ref="I4">_xll.BDP(H4&amp;" EQUITY","LAST_PRICE")</f>
        <v>683.17</v>
      </c>
      <c r="J4" s="172">
        <f t="shared" ref="J4:J8" si="0">I4/K4-1</f>
        <v>1.8330595964335394E-3</v>
      </c>
      <c r="K4" s="239" cm="1">
        <f t="array" ref="K4">_xll.BDP(H4&amp;" EQUITY","PX_YEST_CLOSE")</f>
        <v>681.92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1876</v>
      </c>
      <c r="AF4" s="3"/>
      <c r="AG4"/>
      <c r="AH4" s="32"/>
      <c r="AI4"/>
    </row>
    <row r="5" spans="1:39">
      <c r="B5" t="s">
        <v>400</v>
      </c>
      <c r="C5" s="173" cm="1">
        <f t="array" ref="C5">_xll.BDP(B5&amp;" EQUITY","LAST_PRICE")</f>
        <v>226.5</v>
      </c>
      <c r="D5" s="172">
        <f>C5/E5-1</f>
        <v>-1.8715882505848658E-2</v>
      </c>
      <c r="E5" s="239" cm="1">
        <f t="array" ref="E5">_xll.BDP(B5&amp;" EQUITY","PX_YEST_CLOSE")</f>
        <v>230.82</v>
      </c>
      <c r="H5" t="s">
        <v>3</v>
      </c>
      <c r="I5" s="175" cm="1">
        <f t="array" ref="I5">_xll.BDP(H5&amp;" EQUITY","LAST_PRICE")</f>
        <v>192.86</v>
      </c>
      <c r="J5" s="172">
        <f t="shared" si="0"/>
        <v>6.7863854666945223E-3</v>
      </c>
      <c r="K5" s="239" cm="1">
        <f t="array" ref="K5">_xll.BDP(H5&amp;" EQUITY","PX_YEST_CLOSE")</f>
        <v>191.56</v>
      </c>
      <c r="L5" s="174">
        <f>J5-J6</f>
        <v>8.7235181847032939E-3</v>
      </c>
      <c r="O5" s="27">
        <f>SUMIF(O12:O40,"&gt;0")</f>
        <v>9.9908704857874717E-3</v>
      </c>
      <c r="P5" s="20">
        <f>SUMIF($F$12:$F$40,"Long",P12:P40)</f>
        <v>0.29497096652831795</v>
      </c>
      <c r="R5" s="27">
        <f>SUMIF(R12:R40,"&gt;0")</f>
        <v>4.5639072315950425E-3</v>
      </c>
      <c r="S5" s="170">
        <f>SUMIF($F$12:$F$40,"Long",S12:S40)</f>
        <v>1.1194528440884135</v>
      </c>
      <c r="T5" t="s">
        <v>99</v>
      </c>
      <c r="U5" s="33">
        <f>SUMIF($F$12:$F$40,"Long",U12:U40)</f>
        <v>9.5231535571900037E-3</v>
      </c>
      <c r="V5" s="39">
        <f>SUMIF($F$12:$F$40,"Long",V12:V40)</f>
        <v>1.4144238106167317</v>
      </c>
      <c r="W5" s="5">
        <f>V5/U5/10000</f>
        <v>1.4852472997758588E-2</v>
      </c>
      <c r="X5" s="5">
        <f>W5-$X$3</f>
        <v>1.3019413401325048E-2</v>
      </c>
      <c r="Y5" s="55">
        <f>$U5*X5*10000</f>
        <v>1.2398587304535582</v>
      </c>
      <c r="Z5" s="9">
        <f>U5*$X$3*10000</f>
        <v>0.17456508016317335</v>
      </c>
      <c r="AA5" s="33">
        <f>SUMIF($F$12:$F$40,"Long",AA12:AA40)</f>
        <v>1.5705350220851212E-2</v>
      </c>
      <c r="AB5" s="276">
        <f>AA5/U5</f>
        <v>1.6491753626080758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271.01</v>
      </c>
      <c r="D6" s="172">
        <f t="shared" ref="D6:D9" si="1">C6/E6-1</f>
        <v>-3.1266092841905069E-3</v>
      </c>
      <c r="E6" s="239" cm="1">
        <f t="array" ref="E6">_xll.BDP(B6&amp;" EQUITY","PX_YEST_CLOSE")</f>
        <v>271.86</v>
      </c>
      <c r="H6" t="s">
        <v>135</v>
      </c>
      <c r="I6" s="176" cm="1">
        <f t="array" ref="I6">_xll.BDP(H6&amp;" EQUITY","LAST_PRICE")</f>
        <v>613.12</v>
      </c>
      <c r="J6" s="172">
        <f t="shared" si="0"/>
        <v>-1.9371327180087716E-3</v>
      </c>
      <c r="K6" s="239" cm="1">
        <f t="array" ref="K6">_xll.BDP(H6&amp;" EQUITY","PX_YEST_CLOSE")</f>
        <v>614.30999999999995</v>
      </c>
      <c r="O6" s="27">
        <f>SUMIF(O12:O40,"&lt;0")</f>
        <v>-4.7285791205437435E-3</v>
      </c>
      <c r="P6" s="20">
        <f>SUMIF($F$12:$F$40,"Short",P12:P40)</f>
        <v>8.1421590376602487E-2</v>
      </c>
      <c r="R6" s="27">
        <f>SUMIF(R12:R40,"&lt;0")</f>
        <v>-5.6792808180884885E-3</v>
      </c>
      <c r="S6" s="170">
        <f>SUMIF($F$12:$F$40,"Short",S12:S40)</f>
        <v>-5.5150157546836442E-2</v>
      </c>
      <c r="T6" t="s">
        <v>100</v>
      </c>
      <c r="U6" s="33">
        <f>SUMIF($F$12:$F$40,"Short",U12:U40)</f>
        <v>-5.3762357784397207E-3</v>
      </c>
      <c r="V6" s="39">
        <f>SUMIF($F$12:$F$40,"Short",V12:V40)</f>
        <v>2.6271432829766045E-2</v>
      </c>
      <c r="W6" s="5">
        <f>V6/U6/10000</f>
        <v>-4.886584947617473E-4</v>
      </c>
      <c r="X6" s="5">
        <f>$X$3-W6</f>
        <v>2.321718091195287E-3</v>
      </c>
      <c r="Y6" s="55">
        <f>-$U6*X6*10000</f>
        <v>0.12482103869334876</v>
      </c>
      <c r="Z6" s="9">
        <f>U6*$X$3*10000</f>
        <v>-9.8549605863582704E-2</v>
      </c>
      <c r="AA6" s="33">
        <f>SUMIF($F$12:$F$40,"Short",AA12:AA40)</f>
        <v>-5.7012524141582931E-3</v>
      </c>
      <c r="AB6" s="276">
        <f>AA6/U6</f>
        <v>1.0604543121084802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472.94</v>
      </c>
      <c r="D7" s="172">
        <f t="shared" si="1"/>
        <v>-2.2083453951449505E-2</v>
      </c>
      <c r="E7" s="239" cm="1">
        <f t="array" ref="E7">_xll.BDP(B7&amp;" EQUITY","PX_YEST_CLOSE")</f>
        <v>483.62</v>
      </c>
      <c r="H7" t="s">
        <v>143</v>
      </c>
      <c r="I7" s="175" cm="1">
        <f t="array" ref="I7">_xll.BDP(H7&amp;" EQUITY","LAST_PRICE")</f>
        <v>102.36</v>
      </c>
      <c r="J7" s="172">
        <f t="shared" si="0"/>
        <v>4.8871078095968912E-4</v>
      </c>
      <c r="K7" s="239">
        <f>_xll.BDP(H7&amp;" EQUITY","PX_YEST_CLOSE")</f>
        <v>102.31</v>
      </c>
      <c r="L7" s="174">
        <f>J7-J8</f>
        <v>-1.0154773131942463E-2</v>
      </c>
      <c r="M7"/>
      <c r="N7" s="28"/>
      <c r="O7" s="29">
        <f>O5+O6</f>
        <v>5.2622913652437282E-3</v>
      </c>
      <c r="P7" s="169">
        <f>SUM(P12:P40)</f>
        <v>0.37639255690492052</v>
      </c>
      <c r="Q7" s="28"/>
      <c r="R7" s="29">
        <f>R5+R6</f>
        <v>-1.1153735864934461E-3</v>
      </c>
      <c r="S7" s="169">
        <f>SUM(S12:S40)</f>
        <v>1.064302686541577</v>
      </c>
      <c r="T7" s="344" t="s">
        <v>66</v>
      </c>
      <c r="U7" s="345">
        <f>U5+U6</f>
        <v>4.146917778750283E-3</v>
      </c>
      <c r="V7" s="346">
        <f>V5+V6</f>
        <v>1.4406952434464977</v>
      </c>
      <c r="W7" s="44">
        <f>V7/U7/10000</f>
        <v>3.47413505719582E-2</v>
      </c>
      <c r="X7" s="44"/>
      <c r="Y7" s="56">
        <f>Y5+Y6</f>
        <v>1.364679769146907</v>
      </c>
      <c r="Z7" s="47">
        <f>Z5+Z6</f>
        <v>7.6015474299590644E-2</v>
      </c>
      <c r="AA7" s="34">
        <f>AA5+AA6</f>
        <v>1.0004097806692919E-2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315.14999999999998</v>
      </c>
      <c r="D8" s="172">
        <f t="shared" si="1"/>
        <v>6.8690095846644095E-3</v>
      </c>
      <c r="E8" s="239" cm="1">
        <f t="array" ref="E8">_xll.BDP(B8&amp;" EQUITY","PX_YEST_CLOSE")</f>
        <v>313</v>
      </c>
      <c r="F8" s="16"/>
      <c r="G8" s="16"/>
      <c r="H8" t="s">
        <v>144</v>
      </c>
      <c r="I8" s="175" cm="1">
        <f t="array" ref="I8">_xll.BDP(H8&amp;" EQUITY","LAST_PRICE")</f>
        <v>248.78</v>
      </c>
      <c r="J8" s="172">
        <f t="shared" si="0"/>
        <v>1.0643483912902152E-2</v>
      </c>
      <c r="K8" s="239" cm="1">
        <f t="array" ref="K8">_xll.BDP(H8&amp;" EQUITY","PX_YEST_CLOSE")</f>
        <v>246.16</v>
      </c>
      <c r="M8"/>
      <c r="N8" s="6"/>
      <c r="O8" s="30">
        <f>O5-O6</f>
        <v>1.4719449606331215E-2</v>
      </c>
      <c r="P8" s="31"/>
      <c r="Q8" s="6"/>
      <c r="R8" s="30">
        <f>R5-R6</f>
        <v>1.0243188049683532E-2</v>
      </c>
      <c r="S8" s="31"/>
      <c r="T8" s="6" t="s">
        <v>67</v>
      </c>
      <c r="U8" s="35">
        <f>U5-U6</f>
        <v>1.4899389335629724E-2</v>
      </c>
      <c r="V8" s="41"/>
      <c r="AA8" s="35">
        <f>AA5-AA6</f>
        <v>2.1406602635009507E-2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650.41</v>
      </c>
      <c r="D9" s="172">
        <f t="shared" si="1"/>
        <v>-1.4664666939356863E-2</v>
      </c>
      <c r="E9" s="239">
        <f>_xll.BDP(B9&amp;" EQUITY","PX_YEST_CLOSE")</f>
        <v>660.09</v>
      </c>
      <c r="F9" s="16"/>
      <c r="G9" s="16"/>
      <c r="H9" t="s">
        <v>485</v>
      </c>
      <c r="I9" s="175" cm="1">
        <f t="array" ref="I9">_xll.BDP(H9&amp;" EQUITY","LAST_PRICE")</f>
        <v>73.06</v>
      </c>
      <c r="J9" s="172">
        <f t="shared" ref="J9:J10" si="2">I9/K9-1</f>
        <v>1.7690486140130801E-2</v>
      </c>
      <c r="K9" s="239" cm="1">
        <f t="array" ref="K9">_xll.BDP(H9&amp;" EQUITY","PX_YEST_CLOSE")</f>
        <v>71.790000000000006</v>
      </c>
      <c r="N9" s="6"/>
      <c r="O9" s="30"/>
      <c r="P9" s="46"/>
      <c r="Q9" s="6"/>
      <c r="R9" s="30"/>
      <c r="S9" s="46"/>
      <c r="T9" s="339"/>
      <c r="U9" s="340"/>
      <c r="V9" s="341"/>
      <c r="W9" s="123">
        <v>10</v>
      </c>
      <c r="X9" s="221" t="s">
        <v>399</v>
      </c>
      <c r="AD9" s="18"/>
      <c r="AF9" s="3"/>
      <c r="AG9" s="276"/>
      <c r="AH9" s="32"/>
      <c r="AI9"/>
    </row>
    <row r="10" spans="1:39">
      <c r="B10" t="s">
        <v>1891</v>
      </c>
      <c r="C10" s="175" cm="1">
        <f t="array" ref="C10">_xll.BDP(B10&amp;" EQUITY","LAST_PRICE")</f>
        <v>195.71</v>
      </c>
      <c r="D10" s="172">
        <f t="shared" ref="D10" si="3">C10/E10-1</f>
        <v>4.1044584680109963E-3</v>
      </c>
      <c r="E10" s="239">
        <f>_xll.BDP(B10&amp;" EQUITY","PX_YEST_CLOSE")</f>
        <v>194.91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cm="1">
        <f t="array" ref="I10">_xll.BDP(H10&amp;" EQUITY","LAST_PRICE")</f>
        <v>85.73</v>
      </c>
      <c r="J10" s="172">
        <f t="shared" si="2"/>
        <v>-4.6636353037188272E-4</v>
      </c>
      <c r="K10" s="239">
        <f>_xll.BDP(H10&amp;" EQUITY","PX_YEST_CLOSE")</f>
        <v>85.77</v>
      </c>
      <c r="N10" s="6"/>
      <c r="P10" s="50">
        <f>SUM(Tabelad[D1 P&amp;L bps])</f>
        <v>0.37639255690492052</v>
      </c>
      <c r="Q10" s="6"/>
      <c r="S10" s="50">
        <f>SUM(Tabelad[Options P&amp;L bps])</f>
        <v>1.064302686541577</v>
      </c>
      <c r="T10" s="342" t="s">
        <v>1846</v>
      </c>
      <c r="U10" s="342">
        <f>U7+U9</f>
        <v>4.146917778750283E-3</v>
      </c>
      <c r="V10" s="343">
        <f>V7+V9</f>
        <v>1.4406952434464977</v>
      </c>
      <c r="W10" s="17">
        <f>AE7*W9/10000</f>
        <v>2254753.3050000002</v>
      </c>
      <c r="X10" s="348"/>
      <c r="Y10" s="54">
        <v>0.35</v>
      </c>
      <c r="Z10" s="38">
        <f>SUM(Tabelad[Beta Adj])</f>
        <v>1.6386433752193483</v>
      </c>
      <c r="AA10" s="71" t="e">
        <f>AA7-SUM(#REF!)</f>
        <v>#REF!</v>
      </c>
      <c r="AD10" s="15">
        <f>SUM(Tabelad[Daily P&amp;L])</f>
        <v>79340.08818403371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SUM(AH12:AH40)+#REF!+#REF!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1877</v>
      </c>
      <c r="D11" s="57" t="s">
        <v>1878</v>
      </c>
      <c r="E11" s="57" t="s">
        <v>175</v>
      </c>
      <c r="F11" s="57" t="s">
        <v>176</v>
      </c>
      <c r="G11" s="57" t="s">
        <v>177</v>
      </c>
      <c r="H11" s="57" t="s">
        <v>1708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1696</v>
      </c>
      <c r="AC11" s="57" t="s">
        <v>1700</v>
      </c>
      <c r="AD11" s="57" t="s">
        <v>1702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1805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cm="1">
        <f t="array" ref="I12">_xll.BDP(B12&amp;" Equity","LAST_PRICE")</f>
        <v>102.36</v>
      </c>
      <c r="J12" s="51">
        <f t="shared" ref="J12:J40" si="4">I12/K12-1</f>
        <v>-8.6198547215496912E-3</v>
      </c>
      <c r="K12" s="442">
        <v>103.25</v>
      </c>
      <c r="L12" s="53" cm="1">
        <f t="array" ref="L12">_xll.BDP(E12&amp;" Curncy","PX_LAST")</f>
        <v>1</v>
      </c>
      <c r="M12" s="52">
        <v>1</v>
      </c>
      <c r="N12" s="15">
        <f t="shared" ref="N12:N40" si="5">IFERROR(IF(((I12/L12)*H12*M12)&lt;&gt;0,((I12/L12)*H12*M12),0),"-")</f>
        <v>-6817176</v>
      </c>
      <c r="O12" s="358">
        <f>IFERROR(IF(Tabelad[[#This Row],[D1 Exp USD]]&lt;&gt;0,N12/$AE$7,0),"-")</f>
        <v>-3.0234686805348755E-3</v>
      </c>
      <c r="P12" s="20">
        <f>IFERROR(IF(Tabelad[[#This Row],[D1 Exp USD]]&lt;&gt;0,((I12-K12)/L12*M12*H12)/$AD$7*10000,0),"-")</f>
        <v>0.26288463517741706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0" si="6">N12+Q12</f>
        <v>-6817176</v>
      </c>
      <c r="U12" s="48">
        <f t="shared" ref="U12:U40" si="7">T12/$AE$7</f>
        <v>-3.0234686805348755E-3</v>
      </c>
      <c r="V12" s="20">
        <f t="shared" ref="V12:V40" si="8">P12+S12</f>
        <v>0.26288463517741706</v>
      </c>
      <c r="W12" s="15">
        <f t="shared" ref="W12:W40" si="9">$W$10/(I12/L12*M12)</f>
        <v>22027.679806565066</v>
      </c>
      <c r="X12" s="19"/>
      <c r="Y12" s="376">
        <f>Tabelad[[#This Row],[Exp %]]*$Y$10*$AD$7/Tabelad[[#This Row],[Price Today]]</f>
        <v>-23309.999999999996</v>
      </c>
      <c r="Z12" s="266">
        <f>Tabelad[[#This Row],[Vol 10d]]/16*Tabelad[[#This Row],[Exp %]]*100</f>
        <v>-0.16065205206073818</v>
      </c>
      <c r="AA12" s="19">
        <f>Tabelad[[#This Row],[Exp %]]*Tabelad[[#This Row],[Beta Adj2]]</f>
        <v>-3.0179925548895112E-3</v>
      </c>
      <c r="AB12" s="36">
        <f>_xll.BDP($B12&amp;" Equity","volatility_10d")</f>
        <v>8.5016023136614098</v>
      </c>
      <c r="AC12" s="36" cm="1">
        <f t="array" ref="AC12">_xll.BDP(B12&amp;" EQUITY","eqy_beta")</f>
        <v>0.99818879365921021</v>
      </c>
      <c r="AD12" s="15">
        <f>Tabelad[[#This Row],[D1 P&amp;L bps]]*$AD$5/10000</f>
        <v>55413.662556755888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1.1631339999999999E-2</v>
      </c>
      <c r="AH12" s="20">
        <f t="shared" ref="AH12:AH40" si="10">(T12*AG12)/$AD$7*10000</f>
        <v>-0.35166992202652514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v>-11612</v>
      </c>
      <c r="I13" s="36" cm="1">
        <f t="array" ref="I13">_xll.BDP(B13&amp;" Equity","LAST_PRICE")</f>
        <v>192.86</v>
      </c>
      <c r="J13" s="51">
        <f t="shared" si="4"/>
        <v>-1.8115004399358314E-3</v>
      </c>
      <c r="K13" s="442">
        <v>193.21</v>
      </c>
      <c r="L13" s="53" cm="1">
        <f t="array" ref="L13">_xll.BDP(E13&amp;" Curncy","PX_LAST")</f>
        <v>1</v>
      </c>
      <c r="M13" s="52">
        <v>1</v>
      </c>
      <c r="N13" s="15">
        <f t="shared" si="5"/>
        <v>-2239490.3200000003</v>
      </c>
      <c r="O13" s="358">
        <f>IFERROR(IF(Tabelad[[#This Row],[D1 Exp USD]]&lt;&gt;0,N13/$AE$7,0),"-")</f>
        <v>-9.9323075168970668E-4</v>
      </c>
      <c r="P13" s="20">
        <f>IFERROR(IF(Tabelad[[#This Row],[D1 Exp USD]]&lt;&gt;0,((I13-K13)/L13*M13*H13)/$AD$7*10000,0),"-")</f>
        <v>1.8025031789453055E-2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 t="shared" ref="R13:R40" si="11">Q13/$AE$7</f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6"/>
        <v>-2239490.3200000003</v>
      </c>
      <c r="U13" s="48">
        <f t="shared" si="7"/>
        <v>-9.9323075168970668E-4</v>
      </c>
      <c r="V13" s="20">
        <f t="shared" si="8"/>
        <v>1.8025031789453055E-2</v>
      </c>
      <c r="W13" s="15">
        <f t="shared" si="9"/>
        <v>11691.140231255833</v>
      </c>
      <c r="X13" s="19"/>
      <c r="Y13" s="376">
        <f>Tabelad[[#This Row],[Exp %]]*$Y$10*$AD$7/Tabelad[[#This Row],[Price Today]]</f>
        <v>-4064.2000000000007</v>
      </c>
      <c r="Z13" s="266">
        <f>Tabelad[[#This Row],[Vol 10d]]/16*Tabelad[[#This Row],[Exp %]]*100</f>
        <v>-4.7294871905857197E-2</v>
      </c>
      <c r="AA13" s="19">
        <f>Tabelad[[#This Row],[Exp %]]*Tabelad[[#This Row],[Beta Adj2]]</f>
        <v>-9.8948935639234107E-4</v>
      </c>
      <c r="AB13" s="36">
        <f>_xll.BDP($B13&amp;" Equity","volatility_10d")</f>
        <v>7.61875273400838</v>
      </c>
      <c r="AC13" s="36" cm="1">
        <f t="array" ref="AC13">_xll.BDP(B13&amp;" EQUITY","eqy_beta")</f>
        <v>0.99623310565948486</v>
      </c>
      <c r="AD13" s="15">
        <f>Tabelad[[#This Row],[D1 P&amp;L bps]]*$AD$5/10000</f>
        <v>3799.5108709242413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>
      <c r="B14" s="40" t="s">
        <v>135</v>
      </c>
      <c r="C14" t="s">
        <v>78</v>
      </c>
      <c r="E14" t="s">
        <v>194</v>
      </c>
      <c r="F14" s="22" t="s">
        <v>99</v>
      </c>
      <c r="G14" s="15"/>
      <c r="H14" s="425">
        <v>0</v>
      </c>
      <c r="I14" s="36" cm="1">
        <f t="array" ref="I14">_xll.BDP(B14&amp;" Equity","LAST_PRICE")</f>
        <v>613.12</v>
      </c>
      <c r="J14" s="51">
        <f t="shared" si="4"/>
        <v>-1.0186784624574119E-2</v>
      </c>
      <c r="K14" s="442">
        <v>619.42999999999995</v>
      </c>
      <c r="L14" s="53" cm="1">
        <f t="array" ref="L14">_xll.BDP(E14&amp;" Curncy","PX_LAST")</f>
        <v>1</v>
      </c>
      <c r="M14" s="52">
        <v>1</v>
      </c>
      <c r="N14" s="15">
        <f t="shared" si="5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-11345071.204711914</v>
      </c>
      <c r="R14" s="19">
        <f t="shared" si="11"/>
        <v>-5.0316241601925113E-3</v>
      </c>
      <c r="S14" s="20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1.2679879407028971E-2</v>
      </c>
      <c r="T14" s="13">
        <f t="shared" si="6"/>
        <v>-11345071.204711914</v>
      </c>
      <c r="U14" s="48">
        <f t="shared" si="7"/>
        <v>-5.0316241601925113E-3</v>
      </c>
      <c r="V14" s="20">
        <f t="shared" si="8"/>
        <v>1.2679879407028971E-2</v>
      </c>
      <c r="W14" s="15">
        <f t="shared" si="9"/>
        <v>3677.5073476644052</v>
      </c>
      <c r="X14" s="19"/>
      <c r="Y14" s="376">
        <f>Tabelad[[#This Row],[Exp %]]*$Y$10*$AD$7/Tabelad[[#This Row],[Price Today]]</f>
        <v>-6476.3421869277954</v>
      </c>
      <c r="Z14" s="266">
        <f>Tabelad[[#This Row],[Vol 10d]]/16*Tabelad[[#This Row],[Exp %]]*100</f>
        <v>-0.31084456744891564</v>
      </c>
      <c r="AA14" s="19">
        <f>Tabelad[[#This Row],[Exp %]]*Tabelad[[#This Row],[Beta Adj2]]</f>
        <v>-5.0365252595182793E-3</v>
      </c>
      <c r="AB14" s="36">
        <f>_xll.BDP($B14&amp;" Equity","volatility_10d")</f>
        <v>9.8845083035620895</v>
      </c>
      <c r="AC14" s="36" cm="1">
        <f t="array" ref="AC14">_xll.BDP(B14&amp;" EQUITY","eqy_beta")</f>
        <v>1.0009740591049194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9.1158799999999998E-3</v>
      </c>
      <c r="AH14" s="20">
        <f t="shared" si="10"/>
        <v>-0.45867682049415703</v>
      </c>
      <c r="AI14" s="426" t="str">
        <f>_xll.BDP(B14&amp;" Equity","DVD_EX_DT")</f>
        <v>22/12/2025</v>
      </c>
    </row>
    <row r="15" spans="1:39" s="59" customFormat="1">
      <c r="A15" s="478"/>
      <c r="B15" s="427" t="s">
        <v>135</v>
      </c>
      <c r="C15" s="59" t="s">
        <v>78</v>
      </c>
      <c r="E15" s="59" t="s">
        <v>194</v>
      </c>
      <c r="F15" s="163" t="s">
        <v>99</v>
      </c>
      <c r="G15" s="405"/>
      <c r="H15" s="479">
        <v>3261</v>
      </c>
      <c r="I15" s="14" cm="1">
        <f t="array" ref="I15">_xll.BDP(B15&amp;" Equity","LAST_PRICE")</f>
        <v>613.12</v>
      </c>
      <c r="J15" s="480">
        <f t="shared" ref="J15" si="12">I15/K15-1</f>
        <v>-1.7937804738843433E-4</v>
      </c>
      <c r="K15" s="481">
        <v>613.23</v>
      </c>
      <c r="L15" s="8" cm="1">
        <f t="array" ref="L15">_xll.BDP(E15&amp;" Curncy","PX_LAST")</f>
        <v>1</v>
      </c>
      <c r="M15" s="482">
        <v>1</v>
      </c>
      <c r="N15" s="405">
        <f t="shared" ref="N15" si="13">IFERROR(IF(((I15/L15)*H15*M15)&lt;&gt;0,((I15/L15)*H15*M15),0),"-")</f>
        <v>1999384.32</v>
      </c>
      <c r="O15" s="483">
        <f>IFERROR(IF(Tabelad[[#This Row],[D1 Exp USD]]&lt;&gt;0,N15/$AE$7,0),"-")</f>
        <v>8.8674194004563175E-4</v>
      </c>
      <c r="P15" s="484">
        <f>IFERROR(IF(Tabelad[[#This Row],[D1 Exp USD]]&lt;&gt;0,((I15-K15)/L15*M15*H15)/$AD$7*10000,0),"-")</f>
        <v>-1.5909057509954265E-3</v>
      </c>
      <c r="Q15" s="405"/>
      <c r="R15" s="128"/>
      <c r="S15" s="484"/>
      <c r="T15" s="485">
        <f t="shared" ref="T15" si="14">N15+Q15</f>
        <v>1999384.32</v>
      </c>
      <c r="U15" s="486">
        <f t="shared" ref="U15" si="15">T15/$AE$7</f>
        <v>8.8674194004563175E-4</v>
      </c>
      <c r="V15" s="484">
        <f t="shared" ref="V15" si="16">P15+S15</f>
        <v>-1.5909057509954265E-3</v>
      </c>
      <c r="W15" s="405">
        <f t="shared" ref="W15" si="17">$W$10/(I15/L15*M15)</f>
        <v>3677.5073476644052</v>
      </c>
      <c r="X15" s="128"/>
      <c r="Y15" s="487">
        <f>Tabelad[[#This Row],[Exp %]]*$Y$10*$AD$7/Tabelad[[#This Row],[Price Today]]</f>
        <v>1141.3499999999997</v>
      </c>
      <c r="Z15" s="488">
        <f>Tabelad[[#This Row],[Vol 10d]]/16*Tabelad[[#This Row],[Exp %]]*100</f>
        <v>5.4781300434361267E-2</v>
      </c>
      <c r="AA15" s="128">
        <f>Tabelad[[#This Row],[Exp %]]*Tabelad[[#This Row],[Beta Adj2]]</f>
        <v>8.8760567910604708E-4</v>
      </c>
      <c r="AB15" s="14">
        <f>_xll.BDP($B15&amp;" Equity","volatility_10d")</f>
        <v>9.8845083035620895</v>
      </c>
      <c r="AC15" s="14" cm="1">
        <f t="array" ref="AC15">_xll.BDP(B15&amp;" EQUITY","eqy_beta")</f>
        <v>1.0009740591049194</v>
      </c>
      <c r="AD15" s="405">
        <f>Tabelad[[#This Row],[D1 P&amp;L bps]]*$AD$5/10000</f>
        <v>-335.34829597692675</v>
      </c>
      <c r="AE15" s="337"/>
      <c r="AF15" s="489" t="str">
        <f>_xll.BDP(B15&amp;" Equity","EXPECTED_REPORT_DT")</f>
        <v>#N/A N/A</v>
      </c>
      <c r="AG15" s="490">
        <f>_xll.BDP(B15&amp;" Index","CHG_PCT_1D_PRE_FROM_REGULAR")/100</f>
        <v>9.1158799999999998E-3</v>
      </c>
      <c r="AH15" s="484">
        <f t="shared" ref="AH15" si="18">(T15*AG15)/$AD$7*10000</f>
        <v>8.0834331164231735E-2</v>
      </c>
      <c r="AI15" s="491" t="str">
        <f>_xll.BDP(B15&amp;" Equity","DVD_EX_DT")</f>
        <v>22/12/2025</v>
      </c>
    </row>
    <row r="16" spans="1:39">
      <c r="B16" s="40" t="s">
        <v>400</v>
      </c>
      <c r="C16" t="s">
        <v>1883</v>
      </c>
      <c r="E16" t="s">
        <v>194</v>
      </c>
      <c r="F16" s="22" t="s">
        <v>99</v>
      </c>
      <c r="G16" s="15"/>
      <c r="H16" s="425">
        <v>7500</v>
      </c>
      <c r="I16" s="36" cm="1">
        <f t="array" ref="I16">_xll.BDP(B16&amp;" Equity","LAST_PRICE")</f>
        <v>226.5</v>
      </c>
      <c r="J16" s="51">
        <f t="shared" si="4"/>
        <v>-2.5932137788672427E-2</v>
      </c>
      <c r="K16" s="442">
        <v>232.53</v>
      </c>
      <c r="L16" s="53" cm="1">
        <f t="array" ref="L16">_xll.BDP(E16&amp;" Curncy","PX_LAST")</f>
        <v>1</v>
      </c>
      <c r="M16" s="52">
        <v>1</v>
      </c>
      <c r="N16" s="15">
        <f t="shared" si="5"/>
        <v>1698750</v>
      </c>
      <c r="O16" s="358">
        <f>IFERROR(IF(Tabelad[[#This Row],[D1 Exp USD]]&lt;&gt;0,N16/$AE$7,0),"-")</f>
        <v>7.5340836455720377E-4</v>
      </c>
      <c r="P16" s="20">
        <f>IFERROR(IF(Tabelad[[#This Row],[D1 Exp USD]]&lt;&gt;0,((I16-K16)/L16*M16*H16)/$AD$7*10000,0),"-")</f>
        <v>-0.2005762665907258</v>
      </c>
      <c r="Q16" s="15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0</v>
      </c>
      <c r="R16" s="19">
        <f t="shared" si="11"/>
        <v>0</v>
      </c>
      <c r="S16" s="20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0</v>
      </c>
      <c r="T16" s="13">
        <f t="shared" si="6"/>
        <v>1698750</v>
      </c>
      <c r="U16" s="48">
        <f t="shared" si="7"/>
        <v>7.5340836455720377E-4</v>
      </c>
      <c r="V16" s="20">
        <f t="shared" si="8"/>
        <v>-0.2005762665907258</v>
      </c>
      <c r="W16" s="15">
        <f t="shared" si="9"/>
        <v>9954.7607284768219</v>
      </c>
      <c r="X16" s="19"/>
      <c r="Y16" s="376">
        <f>Tabelad[[#This Row],[Exp %]]*$Y$10*$AD$7/Tabelad[[#This Row],[Price Today]]</f>
        <v>2625</v>
      </c>
      <c r="Z16" s="266">
        <f>Tabelad[[#This Row],[Vol 10d]]/16*Tabelad[[#This Row],[Exp %]]*100</f>
        <v>7.1153317717609854E-2</v>
      </c>
      <c r="AA16" s="19">
        <f>Tabelad[[#This Row],[Exp %]]*Tabelad[[#This Row],[Beta Adj2]]</f>
        <v>9.5623934371447279E-4</v>
      </c>
      <c r="AB16" s="36">
        <f>_xll.BDP($B16&amp;" Equity","volatility_10d")</f>
        <v>15.110704062210059</v>
      </c>
      <c r="AC16" s="36" cm="1">
        <f t="array" ref="AC16">_xll.BDP(B16&amp;" EQUITY","eqy_beta")</f>
        <v>1.269217848777771</v>
      </c>
      <c r="AD16" s="15">
        <f>Tabelad[[#This Row],[D1 P&amp;L bps]]*$AD$5/10000</f>
        <v>-42279.63169567236</v>
      </c>
      <c r="AE16" s="277"/>
      <c r="AF16" s="231" t="str">
        <f>_xll.BDP(B16&amp;" Equity","EXPECTED_REPORT_DT")</f>
        <v>06/02/2026</v>
      </c>
      <c r="AG16" s="172">
        <f>_xll.BDP(B16&amp;" Index","CHG_PCT_1D_PRE_FROM_REGULAR")/100</f>
        <v>1.7762259999999999E-3</v>
      </c>
      <c r="AH16" s="20">
        <f t="shared" si="10"/>
        <v>1.3382235257439836E-2</v>
      </c>
      <c r="AI16" s="426" t="str">
        <f>_xll.BDP(B16&amp;" Equity","DVD_EX_DT")</f>
        <v>#N/A Field Not Applicable</v>
      </c>
    </row>
    <row r="17" spans="1:35">
      <c r="B17" s="40" t="s">
        <v>81</v>
      </c>
      <c r="C17" t="s">
        <v>1883</v>
      </c>
      <c r="E17" t="s">
        <v>194</v>
      </c>
      <c r="F17" s="22" t="s">
        <v>99</v>
      </c>
      <c r="G17" s="15"/>
      <c r="H17" s="425">
        <v>2500</v>
      </c>
      <c r="I17" s="36" cm="1">
        <f t="array" ref="I17">_xll.BDP(B17&amp;" Equity","LAST_PRICE")</f>
        <v>650.41</v>
      </c>
      <c r="J17" s="51">
        <f t="shared" si="4"/>
        <v>-2.3335085216607987E-2</v>
      </c>
      <c r="K17" s="442">
        <v>665.95</v>
      </c>
      <c r="L17" s="53" cm="1">
        <f t="array" ref="L17">_xll.BDP(E17&amp;" Curncy","PX_LAST")</f>
        <v>1</v>
      </c>
      <c r="M17" s="52">
        <v>1</v>
      </c>
      <c r="N17" s="15">
        <f t="shared" si="5"/>
        <v>1626025</v>
      </c>
      <c r="O17" s="358">
        <f>IFERROR(IF(Tabelad[[#This Row],[D1 Exp USD]]&lt;&gt;0,N17/$AE$7,0),"-")</f>
        <v>7.2115428166541701E-4</v>
      </c>
      <c r="P17" s="20">
        <f>IFERROR(IF(Tabelad[[#This Row],[D1 Exp USD]]&lt;&gt;0,((I17-K17)/L17*M17*H17)/$AD$7*10000,0),"-")</f>
        <v>-0.17230266350579845</v>
      </c>
      <c r="Q17" s="15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1443540.939196646</v>
      </c>
      <c r="R17" s="19">
        <f t="shared" si="11"/>
        <v>6.4022123218337892E-4</v>
      </c>
      <c r="S17" s="20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-0.16210199102025491</v>
      </c>
      <c r="T17" s="13">
        <f t="shared" si="6"/>
        <v>3069565.9391966462</v>
      </c>
      <c r="U17" s="48">
        <f t="shared" si="7"/>
        <v>1.3613755138487962E-3</v>
      </c>
      <c r="V17" s="20">
        <f t="shared" si="8"/>
        <v>-0.33440465452605339</v>
      </c>
      <c r="W17" s="15">
        <f t="shared" si="9"/>
        <v>3466.6645731154199</v>
      </c>
      <c r="X17" s="19"/>
      <c r="Y17" s="376">
        <f>Tabelad[[#This Row],[Exp %]]*$Y$10*$AD$7/Tabelad[[#This Row],[Price Today]]</f>
        <v>1651.8012925982475</v>
      </c>
      <c r="Z17" s="266">
        <f>Tabelad[[#This Row],[Vol 10d]]/16*Tabelad[[#This Row],[Exp %]]*100</f>
        <v>0.11495284110973059</v>
      </c>
      <c r="AA17" s="19">
        <f>Tabelad[[#This Row],[Exp %]]*Tabelad[[#This Row],[Beta Adj2]]</f>
        <v>1.6629238137463398E-3</v>
      </c>
      <c r="AB17" s="36">
        <f>_xll.BDP($B17&amp;" Equity","volatility_10d")</f>
        <v>13.510199346511595</v>
      </c>
      <c r="AC17" s="36" cm="1">
        <f t="array" ref="AC17">_xll.BDP(B17&amp;" EQUITY","eqy_beta")</f>
        <v>1.2215026617050171</v>
      </c>
      <c r="AD17" s="15">
        <f>Tabelad[[#This Row],[D1 P&amp;L bps]]*$AD$5/10000</f>
        <v>-36319.816282518063</v>
      </c>
      <c r="AE17" s="277"/>
      <c r="AF17" s="231" t="str">
        <f>_xll.BDP(B17&amp;" Equity","EXPECTED_REPORT_DT")</f>
        <v>29/01/2026</v>
      </c>
      <c r="AG17" s="172" t="e">
        <f>_xll.BDP(B17&amp;" Index","CHG_PCT_1D_PRE_FROM_REGULAR")/100</f>
        <v>#VALUE!</v>
      </c>
      <c r="AH17" s="20" t="e">
        <f t="shared" si="10"/>
        <v>#VALUE!</v>
      </c>
      <c r="AI17" s="426" t="str">
        <f>_xll.BDP(B17&amp;" Equity","DVD_EX_DT")</f>
        <v>15/12/2025</v>
      </c>
    </row>
    <row r="18" spans="1:35">
      <c r="A18" s="336" t="s">
        <v>1771</v>
      </c>
      <c r="B18" s="40" t="s">
        <v>2114</v>
      </c>
      <c r="C18" t="s">
        <v>2115</v>
      </c>
      <c r="E18" t="s">
        <v>194</v>
      </c>
      <c r="F18" s="22" t="s">
        <v>99</v>
      </c>
      <c r="G18" s="15"/>
      <c r="H18" s="425">
        <v>133</v>
      </c>
      <c r="I18" s="36" cm="1">
        <f t="array" ref="I18">_xll.BDP(B18&amp;" Equity","LAST_PRICE")</f>
        <v>386.11</v>
      </c>
      <c r="J18" s="51">
        <f t="shared" si="4"/>
        <v>4.0223072363812618E-2</v>
      </c>
      <c r="K18" s="442">
        <v>371.18</v>
      </c>
      <c r="L18" s="53" cm="1">
        <f t="array" ref="L18">_xll.BDP(E18&amp;" Curncy","PX_LAST")</f>
        <v>1</v>
      </c>
      <c r="M18" s="52">
        <v>1</v>
      </c>
      <c r="N18" s="15">
        <f t="shared" si="5"/>
        <v>51352.630000000005</v>
      </c>
      <c r="O18" s="358">
        <f>IFERROR(IF(Tabelad[[#This Row],[D1 Exp USD]]&lt;&gt;0,N18/$AE$7,0),"-")</f>
        <v>2.2775276517445888E-5</v>
      </c>
      <c r="P18" s="20">
        <f>IFERROR(IF(Tabelad[[#This Row],[D1 Exp USD]]&lt;&gt;0,((I18-K18)/L18*M18*H18)/$AD$7*10000,0),"-")</f>
        <v>8.8066840642684E-3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1164630.8453674614</v>
      </c>
      <c r="R18" s="19">
        <f t="shared" si="11"/>
        <v>5.165225139197485E-4</v>
      </c>
      <c r="S18" s="20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0.17862264537184025</v>
      </c>
      <c r="T18" s="13">
        <f t="shared" si="6"/>
        <v>1215983.4753674613</v>
      </c>
      <c r="U18" s="48">
        <f t="shared" si="7"/>
        <v>5.3929779043719432E-4</v>
      </c>
      <c r="V18" s="20">
        <f t="shared" si="8"/>
        <v>0.18742932943610865</v>
      </c>
      <c r="W18" s="15">
        <f t="shared" si="9"/>
        <v>5839.6656522752583</v>
      </c>
      <c r="X18" s="19"/>
      <c r="Y18" s="376">
        <f>Tabelad[[#This Row],[Exp %]]*$Y$10*$AD$7/Tabelad[[#This Row],[Price Today]]</f>
        <v>1102.2615741074083</v>
      </c>
      <c r="Z18" s="266">
        <f>Tabelad[[#This Row],[Vol 10d]]/16*Tabelad[[#This Row],[Exp %]]*100</f>
        <v>0.23022984884203435</v>
      </c>
      <c r="AA18" s="19">
        <f>Tabelad[[#This Row],[Exp %]]*Tabelad[[#This Row],[Beta Adj2]]</f>
        <v>1.0927649440169217E-3</v>
      </c>
      <c r="AB18" s="36">
        <f>_xll.BDP($B18&amp;" Equity","volatility_10d")</f>
        <v>68.305074613531986</v>
      </c>
      <c r="AC18" s="36" cm="1">
        <f t="array" ref="AC18">_xll.BDP(B18&amp;" EQUITY","eqy_beta")</f>
        <v>2.0262737274169922</v>
      </c>
      <c r="AD18" s="15">
        <f>Tabelad[[#This Row],[D1 P&amp;L bps]]*$AD$5/10000</f>
        <v>1856.3679792543874</v>
      </c>
      <c r="AE18" s="277"/>
      <c r="AF18" s="231" t="str">
        <f>_xll.BDP(B18&amp;" Equity","EXPECTED_REPORT_DT")</f>
        <v>06/02/2026</v>
      </c>
      <c r="AG18" s="172" t="e">
        <f>_xll.BDP(B18&amp;" Index","CHG_PCT_1D_PRE_FROM_REGULAR")/100</f>
        <v>#VALUE!</v>
      </c>
      <c r="AH18" s="20" t="e">
        <f t="shared" si="10"/>
        <v>#VALUE!</v>
      </c>
      <c r="AI18" s="426" t="str">
        <f>_xll.BDP(B18&amp;" Equity","DVD_EX_DT")</f>
        <v>#N/A N/A</v>
      </c>
    </row>
    <row r="19" spans="1:35" s="59" customFormat="1">
      <c r="A19" s="478" t="s">
        <v>1771</v>
      </c>
      <c r="B19" s="427" t="s">
        <v>2114</v>
      </c>
      <c r="C19" s="59" t="s">
        <v>2115</v>
      </c>
      <c r="E19" s="59" t="s">
        <v>194</v>
      </c>
      <c r="F19" s="163" t="s">
        <v>99</v>
      </c>
      <c r="G19" s="405"/>
      <c r="H19" s="479">
        <v>655</v>
      </c>
      <c r="I19" s="14" cm="1">
        <f t="array" ref="I19">_xll.BDP(B19&amp;" Equity","LAST_PRICE")</f>
        <v>386.11</v>
      </c>
      <c r="J19" s="480">
        <f t="shared" ref="J19" si="19">I19/K19-1</f>
        <v>1.2083879423328892E-2</v>
      </c>
      <c r="K19" s="481">
        <v>381.5</v>
      </c>
      <c r="L19" s="8" cm="1">
        <f t="array" ref="L19">_xll.BDP(E19&amp;" Curncy","PX_LAST")</f>
        <v>1</v>
      </c>
      <c r="M19" s="482">
        <v>1</v>
      </c>
      <c r="N19" s="405">
        <f t="shared" ref="N19" si="20">IFERROR(IF(((I19/L19)*H19*M19)&lt;&gt;0,((I19/L19)*H19*M19),0),"-")</f>
        <v>252902.05000000002</v>
      </c>
      <c r="O19" s="483">
        <f>IFERROR(IF(Tabelad[[#This Row],[D1 Exp USD]]&lt;&gt;0,N19/$AE$7,0),"-")</f>
        <v>1.1216395578140643E-4</v>
      </c>
      <c r="P19" s="484">
        <f>IFERROR(IF(Tabelad[[#This Row],[D1 Exp USD]]&lt;&gt;0,((I19-K19)/L19*M19*H19)/$AD$7*10000,0),"-")</f>
        <v>1.3391930697269823E-2</v>
      </c>
      <c r="Q19" s="405"/>
      <c r="R19" s="128"/>
      <c r="S19" s="484"/>
      <c r="T19" s="485">
        <f t="shared" ref="T19" si="21">N19+Q19</f>
        <v>252902.05000000002</v>
      </c>
      <c r="U19" s="486">
        <f t="shared" ref="U19" si="22">T19/$AE$7</f>
        <v>1.1216395578140643E-4</v>
      </c>
      <c r="V19" s="484">
        <f t="shared" ref="V19" si="23">P19+S19</f>
        <v>1.3391930697269823E-2</v>
      </c>
      <c r="W19" s="405">
        <f t="shared" ref="W19" si="24">$W$10/(I19/L19*M19)</f>
        <v>5839.6656522752583</v>
      </c>
      <c r="X19" s="128"/>
      <c r="Y19" s="487">
        <f>Tabelad[[#This Row],[Exp %]]*$Y$10*$AD$7/Tabelad[[#This Row],[Price Today]]</f>
        <v>229.25</v>
      </c>
      <c r="Z19" s="488">
        <f>Tabelad[[#This Row],[Vol 10d]]/16*Tabelad[[#This Row],[Exp %]]*100</f>
        <v>4.7883546053736681E-2</v>
      </c>
      <c r="AA19" s="128">
        <f>Tabelad[[#This Row],[Exp %]]*Tabelad[[#This Row],[Beta Adj2]]</f>
        <v>2.272748767630251E-4</v>
      </c>
      <c r="AB19" s="14">
        <f>_xll.BDP($B19&amp;" Equity","volatility_10d")</f>
        <v>68.305074613531986</v>
      </c>
      <c r="AC19" s="14" cm="1">
        <f t="array" ref="AC19">_xll.BDP(B19&amp;" EQUITY","eqy_beta")</f>
        <v>2.0262737274169922</v>
      </c>
      <c r="AD19" s="405">
        <f>Tabelad[[#This Row],[D1 P&amp;L bps]]*$AD$5/10000</f>
        <v>2822.8957852220638</v>
      </c>
      <c r="AE19" s="337"/>
      <c r="AF19" s="489" t="str">
        <f>_xll.BDP(B19&amp;" Equity","EXPECTED_REPORT_DT")</f>
        <v>06/02/2026</v>
      </c>
      <c r="AG19" s="490" t="e">
        <f>_xll.BDP(B19&amp;" Index","CHG_PCT_1D_PRE_FROM_REGULAR")/100</f>
        <v>#VALUE!</v>
      </c>
      <c r="AH19" s="484" t="e">
        <f t="shared" ref="AH19" si="25">(T19*AG19)/$AD$7*10000</f>
        <v>#VALUE!</v>
      </c>
      <c r="AI19" s="491" t="str">
        <f>_xll.BDP(B19&amp;" Equity","DVD_EX_DT")</f>
        <v>#N/A N/A</v>
      </c>
    </row>
    <row r="20" spans="1:35">
      <c r="B20" s="40" t="s">
        <v>2220</v>
      </c>
      <c r="C20" t="s">
        <v>2221</v>
      </c>
      <c r="E20" t="s">
        <v>194</v>
      </c>
      <c r="F20" s="22" t="s">
        <v>99</v>
      </c>
      <c r="G20" s="15"/>
      <c r="H20" s="425">
        <v>22000</v>
      </c>
      <c r="I20" s="36" cm="1">
        <f t="array" ref="I20">_xll.BDP(B20&amp;" Equity","LAST_PRICE")</f>
        <v>14.16</v>
      </c>
      <c r="J20" s="51">
        <f t="shared" si="4"/>
        <v>0.11496062992125999</v>
      </c>
      <c r="K20" s="442">
        <v>12.7</v>
      </c>
      <c r="L20" s="53" cm="1">
        <f t="array" ref="L20">_xll.BDP(E20&amp;" Curncy","PX_LAST")</f>
        <v>1</v>
      </c>
      <c r="M20" s="52">
        <v>1</v>
      </c>
      <c r="N20" s="15">
        <f t="shared" si="5"/>
        <v>311520</v>
      </c>
      <c r="O20" s="358">
        <f>IFERROR(IF(Tabelad[[#This Row],[D1 Exp USD]]&lt;&gt;0,N20/$AE$7,0),"-")</f>
        <v>1.3816145620418549E-4</v>
      </c>
      <c r="P20" s="20">
        <f>IFERROR(IF(Tabelad[[#This Row],[D1 Exp USD]]&lt;&gt;0,((I20-K20)/L20*M20*H20)/$AD$7*10000,0),"-")</f>
        <v>0.14245460879810096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9">
        <f t="shared" si="11"/>
        <v>0</v>
      </c>
      <c r="S20" s="20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>
        <f t="shared" si="6"/>
        <v>311520</v>
      </c>
      <c r="U20" s="48">
        <f t="shared" si="7"/>
        <v>1.3816145620418549E-4</v>
      </c>
      <c r="V20" s="20">
        <f t="shared" si="8"/>
        <v>0.14245460879810096</v>
      </c>
      <c r="W20" s="15">
        <f t="shared" si="9"/>
        <v>159233.99046610171</v>
      </c>
      <c r="X20" s="19"/>
      <c r="Y20" s="376">
        <f>Tabelad[[#This Row],[Exp %]]*$Y$10*$AD$7/Tabelad[[#This Row],[Price Today]]</f>
        <v>7699.9999999999991</v>
      </c>
      <c r="Z20" s="266">
        <f>Tabelad[[#This Row],[Vol 10d]]/16*Tabelad[[#This Row],[Exp %]]*100</f>
        <v>7.9733038096023043E-2</v>
      </c>
      <c r="AA20" s="19">
        <f>Tabelad[[#This Row],[Exp %]]*Tabelad[[#This Row],[Beta Adj2]]</f>
        <v>2.8011483021665213E-4</v>
      </c>
      <c r="AB20" s="36">
        <f>_xll.BDP($B20&amp;" Equity","volatility_10d")</f>
        <v>92.33607147647605</v>
      </c>
      <c r="AC20" s="36" cm="1">
        <f t="array" ref="AC20">_xll.BDP(B20&amp;" EQUITY","eqy_beta")</f>
        <v>2.0274455547332764</v>
      </c>
      <c r="AD20" s="15">
        <f>Tabelad[[#This Row],[D1 P&amp;L bps]]*$AD$5/10000</f>
        <v>30028.12095223874</v>
      </c>
      <c r="AE20" s="277"/>
      <c r="AF20" s="231" t="str">
        <f>_xll.BDP(B20&amp;" Equity","EXPECTED_REPORT_DT")</f>
        <v>24/02/2026</v>
      </c>
      <c r="AG20" s="172">
        <f>_xll.BDP(B20&amp;" Index","CHG_PCT_1D_PRE_FROM_REGULAR")/100</f>
        <v>2.288871E-2</v>
      </c>
      <c r="AH20" s="20">
        <f t="shared" si="10"/>
        <v>3.1623375042353026E-2</v>
      </c>
      <c r="AI20" s="426" t="str">
        <f>_xll.BDP(B20&amp;" Equity","DVD_EX_DT")</f>
        <v>12/10/2017</v>
      </c>
    </row>
    <row r="21" spans="1:35">
      <c r="B21" s="40" t="s">
        <v>94</v>
      </c>
      <c r="C21" t="s">
        <v>1884</v>
      </c>
      <c r="E21" t="s">
        <v>194</v>
      </c>
      <c r="F21" s="22" t="s">
        <v>99</v>
      </c>
      <c r="G21" s="15"/>
      <c r="H21" s="425">
        <v>23840</v>
      </c>
      <c r="I21" s="36" cm="1">
        <f t="array" ref="I21">_xll.BDP(B21&amp;" Equity","LAST_PRICE")</f>
        <v>188.85</v>
      </c>
      <c r="J21" s="51">
        <f t="shared" si="4"/>
        <v>6.9851764956809781E-3</v>
      </c>
      <c r="K21" s="442">
        <v>187.54</v>
      </c>
      <c r="L21" s="53" cm="1">
        <f t="array" ref="L21">_xll.BDP(E21&amp;" Curncy","PX_LAST")</f>
        <v>1</v>
      </c>
      <c r="M21" s="52">
        <v>1</v>
      </c>
      <c r="N21" s="15">
        <f t="shared" si="5"/>
        <v>4502184</v>
      </c>
      <c r="O21" s="358">
        <f>IFERROR(IF(Tabelad[[#This Row],[D1 Exp USD]]&lt;&gt;0,N21/$AE$7,0),"-")</f>
        <v>1.9967523675500278E-3</v>
      </c>
      <c r="P21" s="20">
        <f>IFERROR(IF(Tabelad[[#This Row],[D1 Exp USD]]&lt;&gt;0,((I21-K21)/L21*M21*H21)/$AD$7*10000,0),"-")</f>
        <v>0.13850916608369293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525369.06475201237</v>
      </c>
      <c r="R21" s="19">
        <f t="shared" si="11"/>
        <v>2.3300512015526789E-4</v>
      </c>
      <c r="S21" s="20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-5.5438437421427838E-4</v>
      </c>
      <c r="T21" s="13">
        <f t="shared" si="6"/>
        <v>5027553.0647520125</v>
      </c>
      <c r="U21" s="48">
        <f t="shared" si="7"/>
        <v>2.2297574877052956E-3</v>
      </c>
      <c r="V21" s="20">
        <f t="shared" si="8"/>
        <v>0.13795478170947864</v>
      </c>
      <c r="W21" s="15">
        <f t="shared" si="9"/>
        <v>11939.387370929309</v>
      </c>
      <c r="X21" s="19"/>
      <c r="Y21" s="376">
        <f>Tabelad[[#This Row],[Exp %]]*$Y$10*$AD$7/Tabelad[[#This Row],[Price Today]]</f>
        <v>9317.6784361302853</v>
      </c>
      <c r="Z21" s="266">
        <f>Tabelad[[#This Row],[Vol 10d]]/16*Tabelad[[#This Row],[Exp %]]*100</f>
        <v>0.38291032547579107</v>
      </c>
      <c r="AA21" s="19">
        <f>Tabelad[[#This Row],[Exp %]]*Tabelad[[#This Row],[Beta Adj2]]</f>
        <v>4.2231929635402508E-3</v>
      </c>
      <c r="AB21" s="36">
        <f>_xll.BDP($B21&amp;" Equity","volatility_10d")</f>
        <v>27.476374634434674</v>
      </c>
      <c r="AC21" s="36" cm="1">
        <f t="array" ref="AC21">_xll.BDP(B21&amp;" EQUITY","eqy_beta")</f>
        <v>1.8940144777297974</v>
      </c>
      <c r="AD21" s="15">
        <f>Tabelad[[#This Row],[D1 P&amp;L bps]]*$AD$5/10000</f>
        <v>29196.457926114501</v>
      </c>
      <c r="AE21" s="277"/>
      <c r="AF21" s="231" t="str">
        <f>_xll.BDP(B21&amp;" Equity","EXPECTED_REPORT_DT")</f>
        <v>26/02/2026</v>
      </c>
      <c r="AG21" s="172">
        <f>_xll.BDP(B21&amp;" Index","CHG_PCT_1D_PRE_FROM_REGULAR")/100</f>
        <v>1.6997310000000002E-2</v>
      </c>
      <c r="AH21" s="20">
        <f t="shared" si="10"/>
        <v>0.378998792433481</v>
      </c>
      <c r="AI21" s="426" t="str">
        <f>_xll.BDP(B21&amp;" Equity","DVD_EX_DT")</f>
        <v>04/12/2025</v>
      </c>
    </row>
    <row r="22" spans="1:35" s="59" customFormat="1">
      <c r="A22" s="478"/>
      <c r="B22" s="427" t="s">
        <v>94</v>
      </c>
      <c r="C22" s="59" t="s">
        <v>1884</v>
      </c>
      <c r="E22" s="59" t="s">
        <v>194</v>
      </c>
      <c r="F22" s="163" t="s">
        <v>99</v>
      </c>
      <c r="G22" s="405"/>
      <c r="H22" s="479">
        <v>1320</v>
      </c>
      <c r="I22" s="14" cm="1">
        <f t="array" ref="I22">_xll.BDP(B22&amp;" Equity","LAST_PRICE")</f>
        <v>188.85</v>
      </c>
      <c r="J22" s="480">
        <f t="shared" ref="J22" si="26">I22/K22-1</f>
        <v>-2.7986059773998928E-3</v>
      </c>
      <c r="K22" s="481">
        <v>189.38</v>
      </c>
      <c r="L22" s="8" cm="1">
        <f t="array" ref="L22">_xll.BDP(E22&amp;" Curncy","PX_LAST")</f>
        <v>1</v>
      </c>
      <c r="M22" s="482">
        <v>1</v>
      </c>
      <c r="N22" s="405">
        <f t="shared" ref="N22" si="27">IFERROR(IF(((I22/L22)*H22*M22)&lt;&gt;0,((I22/L22)*H22*M22),0),"-")</f>
        <v>249282</v>
      </c>
      <c r="O22" s="483">
        <f>IFERROR(IF(Tabelad[[#This Row],[D1 Exp USD]]&lt;&gt;0,N22/$AE$7,0),"-")</f>
        <v>1.1055843645830691E-4</v>
      </c>
      <c r="P22" s="484">
        <f>IFERROR(IF(Tabelad[[#This Row],[D1 Exp USD]]&lt;&gt;0,((I22-K22)/L22*M22*H22)/$AD$7*10000,0),"-")</f>
        <v>-3.1027784656024772E-3</v>
      </c>
      <c r="Q22" s="405"/>
      <c r="R22" s="128"/>
      <c r="S22" s="484"/>
      <c r="T22" s="485">
        <f t="shared" ref="T22" si="28">N22+Q22</f>
        <v>249282</v>
      </c>
      <c r="U22" s="486">
        <f t="shared" ref="U22" si="29">T22/$AE$7</f>
        <v>1.1055843645830691E-4</v>
      </c>
      <c r="V22" s="484">
        <f t="shared" ref="V22" si="30">P22+S22</f>
        <v>-3.1027784656024772E-3</v>
      </c>
      <c r="W22" s="405">
        <f t="shared" ref="W22" si="31">$W$10/(I22/L22*M22)</f>
        <v>11939.387370929309</v>
      </c>
      <c r="X22" s="128"/>
      <c r="Y22" s="487">
        <f>Tabelad[[#This Row],[Exp %]]*$Y$10*$AD$7/Tabelad[[#This Row],[Price Today]]</f>
        <v>462</v>
      </c>
      <c r="Z22" s="488">
        <f>Tabelad[[#This Row],[Vol 10d]]/16*Tabelad[[#This Row],[Exp %]]*100</f>
        <v>1.8985906369536135E-2</v>
      </c>
      <c r="AA22" s="128">
        <f>Tabelad[[#This Row],[Exp %]]*Tabelad[[#This Row],[Beta Adj2]]</f>
        <v>2.0939927928720315E-4</v>
      </c>
      <c r="AB22" s="14">
        <f>_xll.BDP($B22&amp;" Equity","volatility_10d")</f>
        <v>27.476374634434674</v>
      </c>
      <c r="AC22" s="14" cm="1">
        <f t="array" ref="AC22">_xll.BDP(B22&amp;" EQUITY","eqy_beta")</f>
        <v>1.8940144777297974</v>
      </c>
      <c r="AD22" s="405">
        <f>Tabelad[[#This Row],[D1 P&amp;L bps]]*$AD$5/10000</f>
        <v>-654.0371549871187</v>
      </c>
      <c r="AE22" s="337"/>
      <c r="AF22" s="489" t="str">
        <f>_xll.BDP(B22&amp;" Equity","EXPECTED_REPORT_DT")</f>
        <v>26/02/2026</v>
      </c>
      <c r="AG22" s="490">
        <f>_xll.BDP(B22&amp;" Index","CHG_PCT_1D_PRE_FROM_REGULAR")/100</f>
        <v>1.6997310000000002E-2</v>
      </c>
      <c r="AH22" s="484">
        <f t="shared" ref="AH22" si="32">(T22*AG22)/$AD$7*10000</f>
        <v>1.8791960175971446E-2</v>
      </c>
      <c r="AI22" s="491" t="str">
        <f>_xll.BDP(B22&amp;" Equity","DVD_EX_DT")</f>
        <v>04/12/2025</v>
      </c>
    </row>
    <row r="23" spans="1:35">
      <c r="B23" s="40" t="s">
        <v>137</v>
      </c>
      <c r="C23" t="s">
        <v>1884</v>
      </c>
      <c r="E23" t="s">
        <v>194</v>
      </c>
      <c r="F23" s="22" t="s">
        <v>99</v>
      </c>
      <c r="G23" s="15"/>
      <c r="H23" s="425">
        <v>5650</v>
      </c>
      <c r="I23" s="36" cm="1">
        <f t="array" ref="I23">_xll.BDP(B23&amp;" Equity","LAST_PRICE")</f>
        <v>347.62</v>
      </c>
      <c r="J23" s="51">
        <f t="shared" si="4"/>
        <v>-6.374160354437719E-3</v>
      </c>
      <c r="K23" s="442">
        <v>349.85</v>
      </c>
      <c r="L23" s="53" cm="1">
        <f t="array" ref="L23">_xll.BDP(E23&amp;" Curncy","PX_LAST")</f>
        <v>1</v>
      </c>
      <c r="M23" s="52">
        <v>1</v>
      </c>
      <c r="N23" s="15">
        <f t="shared" si="5"/>
        <v>1964053</v>
      </c>
      <c r="O23" s="358">
        <f>IFERROR(IF(Tabelad[[#This Row],[D1 Exp USD]]&lt;&gt;0,N23/$AE$7,0),"-")</f>
        <v>8.710722346629402E-4</v>
      </c>
      <c r="P23" s="20">
        <f>IFERROR(IF(Tabelad[[#This Row],[D1 Exp USD]]&lt;&gt;0,((I23-K23)/L23*M23*H23)/$AD$7*10000,0),"-")</f>
        <v>-5.5879727383302817E-2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335475.8650690316</v>
      </c>
      <c r="R23" s="19">
        <f t="shared" si="11"/>
        <v>1.4878606201623092E-4</v>
      </c>
      <c r="S23" s="20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-7.8722581138427564E-3</v>
      </c>
      <c r="T23" s="13">
        <f t="shared" si="6"/>
        <v>2299528.8650690317</v>
      </c>
      <c r="U23" s="48">
        <f t="shared" si="7"/>
        <v>1.0198582966791713E-3</v>
      </c>
      <c r="V23" s="20">
        <f t="shared" si="8"/>
        <v>-6.3751985497145572E-2</v>
      </c>
      <c r="W23" s="15">
        <f t="shared" si="9"/>
        <v>6486.258860249698</v>
      </c>
      <c r="X23" s="19"/>
      <c r="Y23" s="376">
        <f>Tabelad[[#This Row],[Exp %]]*$Y$10*$AD$7/Tabelad[[#This Row],[Price Today]]</f>
        <v>2315.2727195620537</v>
      </c>
      <c r="Z23" s="266">
        <f>Tabelad[[#This Row],[Vol 10d]]/16*Tabelad[[#This Row],[Exp %]]*100</f>
        <v>0.1376404633690774</v>
      </c>
      <c r="AA23" s="19">
        <f>Tabelad[[#This Row],[Exp %]]*Tabelad[[#This Row],[Beta Adj2]]</f>
        <v>2.0779465930325864E-3</v>
      </c>
      <c r="AB23" s="36">
        <f>_xll.BDP($B23&amp;" Equity","volatility_10d")</f>
        <v>21.59366081617538</v>
      </c>
      <c r="AC23" s="36" cm="1">
        <f t="array" ref="AC23">_xll.BDP(B23&amp;" EQUITY","eqy_beta")</f>
        <v>2.0374855995178223</v>
      </c>
      <c r="AD23" s="15">
        <f>Tabelad[[#This Row],[D1 P&amp;L bps]]*$AD$5/10000</f>
        <v>-11778.932438908307</v>
      </c>
      <c r="AE23" s="277"/>
      <c r="AF23" s="231" t="str">
        <f>_xll.BDP(B23&amp;" Equity","EXPECTED_REPORT_DT")</f>
        <v>06/03/2026</v>
      </c>
      <c r="AG23" s="172">
        <f>_xll.BDP(B23&amp;" Index","CHG_PCT_1D_PRE_FROM_REGULAR")/100</f>
        <v>1.964747E-2</v>
      </c>
      <c r="AH23" s="20">
        <f t="shared" si="10"/>
        <v>0.20037635288255115</v>
      </c>
      <c r="AI23" s="426" t="str">
        <f>_xll.BDP(B23&amp;" Equity","DVD_EX_DT")</f>
        <v>22/12/2025</v>
      </c>
    </row>
    <row r="24" spans="1:35" s="59" customFormat="1">
      <c r="A24" s="478"/>
      <c r="B24" s="427" t="s">
        <v>137</v>
      </c>
      <c r="C24" s="59" t="s">
        <v>1884</v>
      </c>
      <c r="E24" s="59" t="s">
        <v>194</v>
      </c>
      <c r="F24" s="163" t="s">
        <v>99</v>
      </c>
      <c r="G24" s="405"/>
      <c r="H24" s="479">
        <v>715</v>
      </c>
      <c r="I24" s="14" cm="1">
        <f t="array" ref="I24">_xll.BDP(B24&amp;" Equity","LAST_PRICE")</f>
        <v>347.62</v>
      </c>
      <c r="J24" s="480">
        <f t="shared" ref="J24" si="33">I24/K24-1</f>
        <v>-3.0686282944736298E-3</v>
      </c>
      <c r="K24" s="481">
        <v>348.69</v>
      </c>
      <c r="L24" s="8" cm="1">
        <f t="array" ref="L24">_xll.BDP(E24&amp;" Curncy","PX_LAST")</f>
        <v>1</v>
      </c>
      <c r="M24" s="482">
        <v>1</v>
      </c>
      <c r="N24" s="405">
        <f t="shared" ref="N24" si="34">IFERROR(IF(((I24/L24)*H24*M24)&lt;&gt;0,((I24/L24)*H24*M24),0),"-")</f>
        <v>248548.30000000002</v>
      </c>
      <c r="O24" s="483">
        <f>IFERROR(IF(Tabelad[[#This Row],[D1 Exp USD]]&lt;&gt;0,N24/$AE$7,0),"-")</f>
        <v>1.102330350060181E-4</v>
      </c>
      <c r="P24" s="484">
        <f>IFERROR(IF(Tabelad[[#This Row],[D1 Exp USD]]&lt;&gt;0,((I24-K24)/L24*M24*H24)/$AD$7*10000,0),"-")</f>
        <v>-3.3930541239410453E-3</v>
      </c>
      <c r="Q24" s="405"/>
      <c r="R24" s="128"/>
      <c r="S24" s="484"/>
      <c r="T24" s="485">
        <f t="shared" ref="T24" si="35">N24+Q24</f>
        <v>248548.30000000002</v>
      </c>
      <c r="U24" s="486">
        <f t="shared" ref="U24" si="36">T24/$AE$7</f>
        <v>1.102330350060181E-4</v>
      </c>
      <c r="V24" s="484">
        <f t="shared" ref="V24" si="37">P24+S24</f>
        <v>-3.3930541239410453E-3</v>
      </c>
      <c r="W24" s="405">
        <f t="shared" ref="W24" si="38">$W$10/(I24/L24*M24)</f>
        <v>6486.258860249698</v>
      </c>
      <c r="X24" s="128"/>
      <c r="Y24" s="487">
        <f>Tabelad[[#This Row],[Exp %]]*$Y$10*$AD$7/Tabelad[[#This Row],[Price Today]]</f>
        <v>250.25</v>
      </c>
      <c r="Z24" s="488">
        <f>Tabelad[[#This Row],[Vol 10d]]/16*Tabelad[[#This Row],[Exp %]]*100</f>
        <v>1.4877092304109638E-2</v>
      </c>
      <c r="AA24" s="128">
        <f>Tabelad[[#This Row],[Exp %]]*Tabelad[[#This Row],[Beta Adj2]]</f>
        <v>2.2459822141590588E-4</v>
      </c>
      <c r="AB24" s="14">
        <f>_xll.BDP($B24&amp;" Equity","volatility_10d")</f>
        <v>21.59366081617538</v>
      </c>
      <c r="AC24" s="14" cm="1">
        <f t="array" ref="AC24">_xll.BDP(B24&amp;" EQUITY","eqy_beta")</f>
        <v>2.0374855995178223</v>
      </c>
      <c r="AD24" s="405">
        <f>Tabelad[[#This Row],[D1 P&amp;L bps]]*$AD$5/10000</f>
        <v>-715.22459322883208</v>
      </c>
      <c r="AE24" s="337"/>
      <c r="AF24" s="489" t="str">
        <f>_xll.BDP(B24&amp;" Equity","EXPECTED_REPORT_DT")</f>
        <v>06/03/2026</v>
      </c>
      <c r="AG24" s="490">
        <f>_xll.BDP(B24&amp;" Index","CHG_PCT_1D_PRE_FROM_REGULAR")/100</f>
        <v>1.964747E-2</v>
      </c>
      <c r="AH24" s="484">
        <f t="shared" ref="AH24" si="39">(T24*AG24)/$AD$7*10000</f>
        <v>2.1658002482896909E-2</v>
      </c>
      <c r="AI24" s="491" t="str">
        <f>_xll.BDP(B24&amp;" Equity","DVD_EX_DT")</f>
        <v>22/12/2025</v>
      </c>
    </row>
    <row r="25" spans="1:35">
      <c r="B25" s="40" t="s">
        <v>96</v>
      </c>
      <c r="C25" t="s">
        <v>1884</v>
      </c>
      <c r="E25" t="s">
        <v>194</v>
      </c>
      <c r="F25" s="22" t="s">
        <v>99</v>
      </c>
      <c r="G25" s="15"/>
      <c r="H25" s="425">
        <v>2250</v>
      </c>
      <c r="I25" s="36" cm="1">
        <f t="array" ref="I25">_xll.BDP(B25&amp;" Equity","LAST_PRICE")</f>
        <v>319.61</v>
      </c>
      <c r="J25" s="51">
        <f t="shared" si="4"/>
        <v>6.6860271046131459E-2</v>
      </c>
      <c r="K25" s="442">
        <v>299.58</v>
      </c>
      <c r="L25" s="53" cm="1">
        <f t="array" ref="L25">_xll.BDP(E25&amp;" Curncy","PX_LAST")</f>
        <v>1</v>
      </c>
      <c r="M25" s="52">
        <v>1</v>
      </c>
      <c r="N25" s="15">
        <f t="shared" si="5"/>
        <v>719122.5</v>
      </c>
      <c r="O25" s="358">
        <f>IFERROR(IF(Tabelad[[#This Row],[D1 Exp USD]]&lt;&gt;0,N25/$AE$7,0),"-")</f>
        <v>3.1893622171672568E-4</v>
      </c>
      <c r="P25" s="20">
        <f>IFERROR(IF(Tabelad[[#This Row],[D1 Exp USD]]&lt;&gt;0,((I25-K25)/L25*M25*H25)/$AD$7*10000,0),"-")</f>
        <v>0.19987774227921604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4904766.0311952224</v>
      </c>
      <c r="R25" s="19">
        <f t="shared" si="11"/>
        <v>2.1753005174972887E-3</v>
      </c>
      <c r="S25" s="20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1.3671118668124096</v>
      </c>
      <c r="T25" s="13">
        <f t="shared" si="6"/>
        <v>5623888.5311952224</v>
      </c>
      <c r="U25" s="48">
        <f t="shared" si="7"/>
        <v>2.4942367392140146E-3</v>
      </c>
      <c r="V25" s="20">
        <f t="shared" si="8"/>
        <v>1.5669896090916255</v>
      </c>
      <c r="W25" s="15">
        <f t="shared" si="9"/>
        <v>7054.7019961828482</v>
      </c>
      <c r="X25" s="19"/>
      <c r="Y25" s="376">
        <f>Tabelad[[#This Row],[Exp %]]*$Y$10*$AD$7/Tabelad[[#This Row],[Price Today]]</f>
        <v>6158.6339160799962</v>
      </c>
      <c r="Z25" s="266">
        <f>Tabelad[[#This Row],[Vol 10d]]/16*Tabelad[[#This Row],[Exp %]]*100</f>
        <v>0.44688598649819516</v>
      </c>
      <c r="AA25" s="19">
        <f>Tabelad[[#This Row],[Exp %]]*Tabelad[[#This Row],[Beta Adj2]]</f>
        <v>3.7526848069915661E-3</v>
      </c>
      <c r="AB25" s="36">
        <f>_xll.BDP($B25&amp;" Equity","volatility_10d")</f>
        <v>28.666788807802945</v>
      </c>
      <c r="AC25" s="36" cm="1">
        <f t="array" ref="AC25">_xll.BDP(B25&amp;" EQUITY","eqy_beta")</f>
        <v>1.504542350769043</v>
      </c>
      <c r="AD25" s="15">
        <f>Tabelad[[#This Row],[D1 P&amp;L bps]]*$AD$5/10000</f>
        <v>42132.389197229772</v>
      </c>
      <c r="AE25" s="277"/>
      <c r="AF25" s="231" t="str">
        <f>_xll.BDP(B25&amp;" Equity","EXPECTED_REPORT_DT")</f>
        <v>15/01/2026</v>
      </c>
      <c r="AG25" s="172" t="e">
        <f>_xll.BDP(B25&amp;" Index","CHG_PCT_1D_PRE_FROM_REGULAR")/100</f>
        <v>#VALUE!</v>
      </c>
      <c r="AH25" s="20" t="e">
        <f t="shared" si="10"/>
        <v>#VALUE!</v>
      </c>
      <c r="AI25" s="426" t="str">
        <f>_xll.BDP(B25&amp;" Equity","DVD_EX_DT")</f>
        <v>17/03/2026</v>
      </c>
    </row>
    <row r="26" spans="1:35" s="59" customFormat="1">
      <c r="A26" s="478"/>
      <c r="B26" s="427" t="s">
        <v>96</v>
      </c>
      <c r="C26" s="59" t="s">
        <v>1884</v>
      </c>
      <c r="E26" s="59" t="s">
        <v>194</v>
      </c>
      <c r="F26" s="163" t="s">
        <v>99</v>
      </c>
      <c r="G26" s="405"/>
      <c r="H26" s="479">
        <v>2199</v>
      </c>
      <c r="I26" s="14" cm="1">
        <f t="array" ref="I26">_xll.BDP(B26&amp;" Equity","LAST_PRICE")</f>
        <v>319.61</v>
      </c>
      <c r="J26" s="480">
        <f t="shared" ref="J26" si="40">I26/K26-1</f>
        <v>5.0628930817611106E-3</v>
      </c>
      <c r="K26" s="481">
        <v>318</v>
      </c>
      <c r="L26" s="8" cm="1">
        <f t="array" ref="L26">_xll.BDP(E26&amp;" Curncy","PX_LAST")</f>
        <v>1</v>
      </c>
      <c r="M26" s="482">
        <v>1</v>
      </c>
      <c r="N26" s="405">
        <f t="shared" ref="N26" si="41">IFERROR(IF(((I26/L26)*H26*M26)&lt;&gt;0,((I26/L26)*H26*M26),0),"-")</f>
        <v>702822.39</v>
      </c>
      <c r="O26" s="483">
        <f>IFERROR(IF(Tabelad[[#This Row],[D1 Exp USD]]&lt;&gt;0,N26/$AE$7,0),"-")</f>
        <v>3.1170700069114656E-4</v>
      </c>
      <c r="P26" s="484">
        <f>IFERROR(IF(Tabelad[[#This Row],[D1 Exp USD]]&lt;&gt;0,((I26-K26)/L26*M26*H26)/$AD$7*10000,0),"-")</f>
        <v>1.5701895156996031E-2</v>
      </c>
      <c r="Q26" s="405"/>
      <c r="R26" s="128"/>
      <c r="S26" s="484"/>
      <c r="T26" s="485">
        <f t="shared" ref="T26" si="42">N26+Q26</f>
        <v>702822.39</v>
      </c>
      <c r="U26" s="486">
        <f t="shared" ref="U26" si="43">T26/$AE$7</f>
        <v>3.1170700069114656E-4</v>
      </c>
      <c r="V26" s="484">
        <f t="shared" ref="V26" si="44">P26+S26</f>
        <v>1.5701895156996031E-2</v>
      </c>
      <c r="W26" s="405">
        <f t="shared" ref="W26" si="45">$W$10/(I26/L26*M26)</f>
        <v>7054.7019961828482</v>
      </c>
      <c r="X26" s="128"/>
      <c r="Y26" s="487">
        <f>Tabelad[[#This Row],[Exp %]]*$Y$10*$AD$7/Tabelad[[#This Row],[Price Today]]</f>
        <v>769.64999999999986</v>
      </c>
      <c r="Z26" s="488">
        <f>Tabelad[[#This Row],[Vol 10d]]/16*Tabelad[[#This Row],[Exp %]]*100</f>
        <v>5.5847742242042406E-2</v>
      </c>
      <c r="AA26" s="128">
        <f>Tabelad[[#This Row],[Exp %]]*Tabelad[[#This Row],[Beta Adj2]]</f>
        <v>4.6897638357102533E-4</v>
      </c>
      <c r="AB26" s="14">
        <f>_xll.BDP($B26&amp;" Equity","volatility_10d")</f>
        <v>28.666788807802945</v>
      </c>
      <c r="AC26" s="14" cm="1">
        <f t="array" ref="AC26">_xll.BDP(B26&amp;" EQUITY","eqy_beta")</f>
        <v>1.504542350769043</v>
      </c>
      <c r="AD26" s="405">
        <f>Tabelad[[#This Row],[D1 P&amp;L bps]]*$AD$5/10000</f>
        <v>3309.8150416593189</v>
      </c>
      <c r="AE26" s="337"/>
      <c r="AF26" s="489" t="str">
        <f>_xll.BDP(B26&amp;" Equity","EXPECTED_REPORT_DT")</f>
        <v>15/01/2026</v>
      </c>
      <c r="AG26" s="490" t="e">
        <f>_xll.BDP(B26&amp;" Index","CHG_PCT_1D_PRE_FROM_REGULAR")/100</f>
        <v>#VALUE!</v>
      </c>
      <c r="AH26" s="484" t="e">
        <f t="shared" ref="AH26" si="46">(T26*AG26)/$AD$7*10000</f>
        <v>#VALUE!</v>
      </c>
      <c r="AI26" s="491" t="str">
        <f>_xll.BDP(B26&amp;" Equity","DVD_EX_DT")</f>
        <v>17/03/2026</v>
      </c>
    </row>
    <row r="27" spans="1:35">
      <c r="B27" s="40" t="s">
        <v>138</v>
      </c>
      <c r="C27" t="s">
        <v>1884</v>
      </c>
      <c r="E27" t="s">
        <v>194</v>
      </c>
      <c r="F27" s="22" t="s">
        <v>100</v>
      </c>
      <c r="G27" s="15"/>
      <c r="H27" s="425">
        <v>-1000</v>
      </c>
      <c r="I27" s="36" cm="1">
        <f t="array" ref="I27">_xll.BDP(B27&amp;" Equity","LAST_PRICE")</f>
        <v>89.363</v>
      </c>
      <c r="J27" s="51">
        <f t="shared" si="4"/>
        <v>3.0002305209773983E-2</v>
      </c>
      <c r="K27" s="442">
        <v>86.76</v>
      </c>
      <c r="L27" s="53" cm="1">
        <f t="array" ref="L27">_xll.BDP(E27&amp;" Curncy","PX_LAST")</f>
        <v>1</v>
      </c>
      <c r="M27" s="52">
        <v>1</v>
      </c>
      <c r="N27" s="15">
        <f t="shared" si="5"/>
        <v>-89363</v>
      </c>
      <c r="O27" s="358">
        <f>IFERROR(IF(Tabelad[[#This Row],[D1 Exp USD]]&lt;&gt;0,N27/$AE$7,0),"-")</f>
        <v>-3.9633160666328418E-5</v>
      </c>
      <c r="P27" s="20">
        <f>IFERROR(IF(Tabelad[[#This Row],[D1 Exp USD]]&lt;&gt;0,((I27-K27)/L27*M27*H27)/$AD$7*10000,0),"-")</f>
        <v>-1.1544500208638101E-2</v>
      </c>
      <c r="Q27" s="15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-597562.51973524701</v>
      </c>
      <c r="R27" s="19">
        <f t="shared" si="11"/>
        <v>-2.6502345884586563E-4</v>
      </c>
      <c r="S27" s="20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-0.10089795610699864</v>
      </c>
      <c r="T27" s="13">
        <f t="shared" si="6"/>
        <v>-686925.51973524701</v>
      </c>
      <c r="U27" s="48">
        <f t="shared" si="7"/>
        <v>-3.0465661951219403E-4</v>
      </c>
      <c r="V27" s="20">
        <f t="shared" si="8"/>
        <v>-0.11244245631563675</v>
      </c>
      <c r="W27" s="15">
        <f t="shared" si="9"/>
        <v>25231.396719000037</v>
      </c>
      <c r="X27" s="19"/>
      <c r="Y27" s="376">
        <f>Tabelad[[#This Row],[Exp %]]*$Y$10*$AD$7/Tabelad[[#This Row],[Price Today]]</f>
        <v>-2690.4192104935646</v>
      </c>
      <c r="Z27" s="266">
        <f>Tabelad[[#This Row],[Vol 10d]]/16*Tabelad[[#This Row],[Exp %]]*100</f>
        <v>-7.2354164014899525E-2</v>
      </c>
      <c r="AA27" s="19">
        <f>Tabelad[[#This Row],[Exp %]]*Tabelad[[#This Row],[Beta Adj2]]</f>
        <v>-6.1567279371207181E-4</v>
      </c>
      <c r="AB27" s="36">
        <f>_xll.BDP($B27&amp;" Equity","volatility_10d")</f>
        <v>37.999063538878929</v>
      </c>
      <c r="AC27" s="36" cm="1">
        <f t="array" ref="AC27">_xll.BDP(B27&amp;" EQUITY","eqy_beta")</f>
        <v>2.0208745002746582</v>
      </c>
      <c r="AD27" s="15">
        <f>Tabelad[[#This Row],[D1 P&amp;L bps]]*$AD$5/10000</f>
        <v>-2433.4744345789923</v>
      </c>
      <c r="AE27" s="277"/>
      <c r="AF27" s="231" t="str">
        <f>_xll.BDP(B27&amp;" Equity","EXPECTED_REPORT_DT")</f>
        <v>05/03/2026</v>
      </c>
      <c r="AG27" s="172">
        <f>_xll.BDP(B27&amp;" Index","CHG_PCT_1D_PRE_FROM_REGULAR")/100</f>
        <v>2.0828389999999999E-2</v>
      </c>
      <c r="AH27" s="20">
        <f t="shared" si="10"/>
        <v>-6.3455068872815865E-2</v>
      </c>
      <c r="AI27" s="426" t="str">
        <f>_xll.BDP(B27&amp;" Equity","DVD_EX_DT")</f>
        <v>09/01/2026</v>
      </c>
    </row>
    <row r="28" spans="1:35">
      <c r="B28" s="40" t="s">
        <v>136</v>
      </c>
      <c r="C28" t="s">
        <v>1884</v>
      </c>
      <c r="E28" t="s">
        <v>194</v>
      </c>
      <c r="F28" s="22" t="s">
        <v>100</v>
      </c>
      <c r="G28" s="15"/>
      <c r="H28" s="425">
        <v>0</v>
      </c>
      <c r="I28" s="36" cm="1">
        <f t="array" ref="I28">_xll.BDP(B28&amp;" Equity","LAST_PRICE")</f>
        <v>373.36</v>
      </c>
      <c r="J28" s="51">
        <f t="shared" si="4"/>
        <v>2.7662326938427295E-2</v>
      </c>
      <c r="K28" s="442">
        <v>363.31</v>
      </c>
      <c r="L28" s="53" cm="1">
        <f t="array" ref="L28">_xll.BDP(E28&amp;" Curncy","PX_LAST")</f>
        <v>1</v>
      </c>
      <c r="M28" s="52">
        <v>1</v>
      </c>
      <c r="N28" s="15">
        <f t="shared" si="5"/>
        <v>0</v>
      </c>
      <c r="O28" s="358">
        <f>IFERROR(IF(Tabelad[[#This Row],[D1 Exp USD]]&lt;&gt;0,N28/$AE$7,0),"-")</f>
        <v>0</v>
      </c>
      <c r="P28" s="20">
        <f>IFERROR(IF(Tabelad[[#This Row],[D1 Exp USD]]&lt;&gt;0,((I28-K28)/L28*M28*H28)/$AD$7*10000,0),"-")</f>
        <v>0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-319235.50302267075</v>
      </c>
      <c r="R28" s="19">
        <f t="shared" si="11"/>
        <v>-1.4158333965616284E-4</v>
      </c>
      <c r="S28" s="20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-4.6989619558402196E-2</v>
      </c>
      <c r="T28" s="13">
        <f t="shared" si="6"/>
        <v>-319235.50302267075</v>
      </c>
      <c r="U28" s="48">
        <f t="shared" si="7"/>
        <v>-1.4158333965616284E-4</v>
      </c>
      <c r="V28" s="20">
        <f t="shared" si="8"/>
        <v>-4.6989619558402196E-2</v>
      </c>
      <c r="W28" s="15">
        <f t="shared" si="9"/>
        <v>6039.0864179344335</v>
      </c>
      <c r="X28" s="19"/>
      <c r="Y28" s="376">
        <f>Tabelad[[#This Row],[Exp %]]*$Y$10*$AD$7/Tabelad[[#This Row],[Price Today]]</f>
        <v>-299.26190823316568</v>
      </c>
      <c r="Z28" s="266">
        <f>Tabelad[[#This Row],[Vol 10d]]/16*Tabelad[[#This Row],[Exp %]]*100</f>
        <v>-2.197167494586507E-2</v>
      </c>
      <c r="AA28" s="19">
        <f>Tabelad[[#This Row],[Exp %]]*Tabelad[[#This Row],[Beta Adj2]]</f>
        <v>-1.4123733964484377E-4</v>
      </c>
      <c r="AB28" s="36">
        <f>_xll.BDP($B28&amp;" Equity","volatility_10d")</f>
        <v>24.829672755818414</v>
      </c>
      <c r="AC28" s="36" cm="1">
        <f t="array" ref="AC28">_xll.BDP(B28&amp;" EQUITY","eqy_beta")</f>
        <v>0.99755620956420898</v>
      </c>
      <c r="AD28" s="15">
        <f>Tabelad[[#This Row],[D1 P&amp;L bps]]*$AD$5/10000</f>
        <v>0</v>
      </c>
      <c r="AE28" s="277"/>
      <c r="AF28" s="231" t="str">
        <f>_xll.BDP(B28&amp;" Equity","EXPECTED_REPORT_DT")</f>
        <v>#N/A N/A</v>
      </c>
      <c r="AG28" s="172">
        <f>_xll.BDP(B28&amp;" Index","CHG_PCT_1D_PRE_FROM_REGULAR")/100</f>
        <v>2.446338E-2</v>
      </c>
      <c r="AH28" s="20">
        <f t="shared" si="10"/>
        <v>-3.463607039677781E-2</v>
      </c>
      <c r="AI28" s="426" t="str">
        <f>_xll.BDP(B28&amp;" Equity","DVD_EX_DT")</f>
        <v>22/12/2025</v>
      </c>
    </row>
    <row r="29" spans="1:35">
      <c r="B29" s="40" t="s">
        <v>95</v>
      </c>
      <c r="C29" t="s">
        <v>1884</v>
      </c>
      <c r="E29" t="s">
        <v>194</v>
      </c>
      <c r="F29" s="22" t="s">
        <v>100</v>
      </c>
      <c r="G29" s="15"/>
      <c r="H29" s="425">
        <v>-4832</v>
      </c>
      <c r="I29" s="36" cm="1">
        <f t="array" ref="I29">_xll.BDP(B29&amp;" Equity","LAST_PRICE")</f>
        <v>313.69</v>
      </c>
      <c r="J29" s="51">
        <f t="shared" si="4"/>
        <v>2.8761642398005938E-2</v>
      </c>
      <c r="K29" s="442">
        <v>304.92</v>
      </c>
      <c r="L29" s="53" cm="1">
        <f t="array" ref="L29">_xll.BDP(E29&amp;" Curncy","PX_LAST")</f>
        <v>1</v>
      </c>
      <c r="M29" s="52">
        <v>1</v>
      </c>
      <c r="N29" s="15">
        <f t="shared" si="5"/>
        <v>-1515750.08</v>
      </c>
      <c r="O29" s="358">
        <f>IFERROR(IF(Tabelad[[#This Row],[D1 Exp USD]]&lt;&gt;0,N29/$AE$7,0),"-")</f>
        <v>-6.7224652765283347E-4</v>
      </c>
      <c r="P29" s="20">
        <f>IFERROR(IF(Tabelad[[#This Row],[D1 Exp USD]]&lt;&gt;0,((I29-K29)/L29*M29*H29)/$AD$7*10000,0),"-")</f>
        <v>-0.18794357638162953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 t="shared" si="11"/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>
        <f t="shared" si="6"/>
        <v>-1515750.08</v>
      </c>
      <c r="U29" s="48">
        <f t="shared" si="7"/>
        <v>-6.7224652765283347E-4</v>
      </c>
      <c r="V29" s="20">
        <f t="shared" si="8"/>
        <v>-0.18794357638162953</v>
      </c>
      <c r="W29" s="15">
        <f t="shared" si="9"/>
        <v>7187.8392840065035</v>
      </c>
      <c r="X29" s="19"/>
      <c r="Y29" s="376">
        <f>Tabelad[[#This Row],[Exp %]]*$Y$10*$AD$7/Tabelad[[#This Row],[Price Today]]</f>
        <v>-1691.2000000000003</v>
      </c>
      <c r="Z29" s="266">
        <f>Tabelad[[#This Row],[Vol 10d]]/16*Tabelad[[#This Row],[Exp %]]*100</f>
        <v>-0.11978904838019577</v>
      </c>
      <c r="AA29" s="19">
        <f>Tabelad[[#This Row],[Exp %]]*Tabelad[[#This Row],[Beta Adj2]]</f>
        <v>-6.6930766571228885E-4</v>
      </c>
      <c r="AB29" s="36">
        <f>_xll.BDP($B29&amp;" Equity","volatility_10d")</f>
        <v>28.510742640428038</v>
      </c>
      <c r="AC29" s="36" cm="1">
        <f t="array" ref="AC29">_xll.BDP(B29&amp;" EQUITY","eqy_beta")</f>
        <v>0.99562829732894897</v>
      </c>
      <c r="AD29" s="15">
        <f>Tabelad[[#This Row],[D1 P&amp;L bps]]*$AD$5/10000</f>
        <v>-39616.776820344792</v>
      </c>
      <c r="AE29" s="277"/>
      <c r="AF29" s="231" t="str">
        <f>_xll.BDP(B29&amp;" Equity","EXPECTED_REPORT_DT")</f>
        <v>#N/A N/A</v>
      </c>
      <c r="AG29" s="172" t="e">
        <f>_xll.BDP(B29&amp;" Index","CHG_PCT_1D_PRE_FROM_REGULAR")/100</f>
        <v>#VALUE!</v>
      </c>
      <c r="AH29" s="20" t="e">
        <f t="shared" si="10"/>
        <v>#VALUE!</v>
      </c>
      <c r="AI29" s="426" t="str">
        <f>_xll.BDP(B29&amp;" Equity","DVD_EX_DT")</f>
        <v>30/12/2025</v>
      </c>
    </row>
    <row r="30" spans="1:35">
      <c r="A30" s="336" t="s">
        <v>1771</v>
      </c>
      <c r="B30" s="40" t="s">
        <v>1755</v>
      </c>
      <c r="C30" t="s">
        <v>2231</v>
      </c>
      <c r="E30" t="s">
        <v>194</v>
      </c>
      <c r="F30" s="22" t="s">
        <v>99</v>
      </c>
      <c r="G30" s="15"/>
      <c r="H30" s="425">
        <v>27451</v>
      </c>
      <c r="I30" s="36" cm="1">
        <f t="array" ref="I30">_xll.BDP(B30&amp;" Equity","LAST_PRICE")</f>
        <v>102.22</v>
      </c>
      <c r="J30" s="51">
        <f t="shared" si="4"/>
        <v>3.6503751774487947E-2</v>
      </c>
      <c r="K30" s="442">
        <v>98.62</v>
      </c>
      <c r="L30" s="53" cm="1">
        <f t="array" ref="L30">_xll.BDP(E30&amp;" Curncy","PX_LAST")</f>
        <v>1</v>
      </c>
      <c r="M30" s="52">
        <v>1</v>
      </c>
      <c r="N30" s="15">
        <f t="shared" ref="N30" si="47">IFERROR(IF(((I30/L30)*H30*M30)&lt;&gt;0,((I30/L30)*H30*M30),0),"-")</f>
        <v>2806041.2199999997</v>
      </c>
      <c r="O30" s="358">
        <f>IFERROR(IF(Tabelad[[#This Row],[D1 Exp USD]]&lt;&gt;0,N30/$AE$7,0),"-")</f>
        <v>1.2445003246153352E-3</v>
      </c>
      <c r="P30" s="20">
        <f>IFERROR(IF(Tabelad[[#This Row],[D1 Exp USD]]&lt;&gt;0,((I30-K30)/L30*M30*H30)/$AD$7*10000,0),"-")</f>
        <v>0.43829007714881629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19">
        <f t="shared" ref="R30" si="48">Q30/$AE$7</f>
        <v>0</v>
      </c>
      <c r="S30" s="20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13">
        <f t="shared" ref="T30" si="49">N30+Q30</f>
        <v>2806041.2199999997</v>
      </c>
      <c r="U30" s="48">
        <f t="shared" si="7"/>
        <v>1.2445003246153352E-3</v>
      </c>
      <c r="V30" s="20">
        <f t="shared" ref="V30" si="50">P30+S30</f>
        <v>0.43829007714881629</v>
      </c>
      <c r="W30" s="15">
        <f t="shared" ref="W30" si="51">$W$10/(I30/L30*M30)</f>
        <v>22057.848806495796</v>
      </c>
      <c r="X30" s="19"/>
      <c r="Y30" s="376">
        <f>Tabelad[[#This Row],[Exp %]]*$Y$10*$AD$7/Tabelad[[#This Row],[Price Today]]</f>
        <v>9607.8499999999985</v>
      </c>
      <c r="Z30" s="266">
        <f>Tabelad[[#This Row],[Vol 10d]]/16*Tabelad[[#This Row],[Exp %]]*100</f>
        <v>0.21986374777880699</v>
      </c>
      <c r="AA30" s="19">
        <f>Tabelad[[#This Row],[Exp %]]*Tabelad[[#This Row],[Beta Adj2]]</f>
        <v>1.1490147685874004E-3</v>
      </c>
      <c r="AB30" s="36">
        <f>_xll.BDP($B30&amp;" Equity","volatility_10d")</f>
        <v>28.266926853138752</v>
      </c>
      <c r="AC30" s="36" cm="1">
        <f t="array" ref="AC30">_xll.BDP(B30&amp;" EQUITY","eqy_beta")</f>
        <v>0.92327398061752319</v>
      </c>
      <c r="AD30" s="15">
        <f>Tabelad[[#This Row],[D1 P&amp;L bps]]*$AD$5/10000</f>
        <v>92387.515994260699</v>
      </c>
      <c r="AE30" s="277"/>
      <c r="AF30" s="231" t="str">
        <f>_xll.BDP(B30&amp;" Equity","EXPECTED_REPORT_DT")</f>
        <v>#N/A N/A</v>
      </c>
      <c r="AG30" s="172">
        <f>_xll.BDP(B30&amp;" Index","CHG_PCT_1D_PRE_FROM_REGULAR")/100</f>
        <v>3.9189439999999999E-2</v>
      </c>
      <c r="AH30" s="20">
        <f t="shared" ref="AH30" si="52">(T30*AG30)/$AD$7*10000</f>
        <v>0.48771270801493199</v>
      </c>
      <c r="AI30" s="426" t="str">
        <f>_xll.BDP(B30&amp;" Equity","DVD_EX_DT")</f>
        <v>16/12/2025</v>
      </c>
    </row>
    <row r="31" spans="1:35" s="59" customFormat="1">
      <c r="A31" s="478"/>
      <c r="B31" s="492" t="s">
        <v>1762</v>
      </c>
      <c r="C31" s="59" t="s">
        <v>2231</v>
      </c>
      <c r="E31" s="59" t="s">
        <v>2188</v>
      </c>
      <c r="F31" s="163" t="s">
        <v>99</v>
      </c>
      <c r="G31" s="405"/>
      <c r="H31" s="479">
        <v>1500</v>
      </c>
      <c r="I31" s="14" cm="1">
        <f t="array" ref="I31">_xll.BDP(B31&amp;" Equity","LAST_PRICE")</f>
        <v>678000</v>
      </c>
      <c r="J31" s="480">
        <f t="shared" si="4"/>
        <v>3.9877300613496924E-2</v>
      </c>
      <c r="K31" s="481">
        <v>652000</v>
      </c>
      <c r="L31" s="8" cm="1">
        <f t="array" ref="L31">_xll.BDP(E31&amp;" Curncy","PX_LAST")</f>
        <v>1444.7</v>
      </c>
      <c r="M31" s="482">
        <v>1</v>
      </c>
      <c r="N31" s="405">
        <f t="shared" si="5"/>
        <v>703952.37765626074</v>
      </c>
      <c r="O31" s="483">
        <f>IFERROR(IF(Tabelad[[#This Row],[D1 Exp USD]]&lt;&gt;0,N31/$AE$7,0),"-")</f>
        <v>3.1220815869089535E-4</v>
      </c>
      <c r="P31" s="20">
        <f>IFERROR(IF(Tabelad[[#This Row],[D1 Exp USD]]&lt;&gt;0,((I31-K31)/L31*M31*H31)/$AD$7*10000,0),"-")</f>
        <v>0.11972584256583008</v>
      </c>
      <c r="Q31" s="40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0</v>
      </c>
      <c r="R31" s="128">
        <f t="shared" si="11"/>
        <v>0</v>
      </c>
      <c r="S31" s="484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0</v>
      </c>
      <c r="T31" s="485">
        <f t="shared" si="6"/>
        <v>703952.37765626074</v>
      </c>
      <c r="U31" s="486">
        <f t="shared" si="7"/>
        <v>3.1220815869089535E-4</v>
      </c>
      <c r="V31" s="484">
        <f t="shared" si="8"/>
        <v>0.11972584256583008</v>
      </c>
      <c r="W31" s="405">
        <f t="shared" si="9"/>
        <v>4804.4868727632747</v>
      </c>
      <c r="X31" s="128"/>
      <c r="Y31" s="487">
        <f>Tabelad[[#This Row],[Exp %]]*$Y$10*$AD$7/Tabelad[[#This Row],[Price Today]]</f>
        <v>0.36339724510278942</v>
      </c>
      <c r="Z31" s="488">
        <f>Tabelad[[#This Row],[Vol 10d]]/16*Tabelad[[#This Row],[Exp %]]*100</f>
        <v>7.713676242950164E-2</v>
      </c>
      <c r="AA31" s="128">
        <f>Tabelad[[#This Row],[Exp %]]*Tabelad[[#This Row],[Beta Adj2]]</f>
        <v>5.1061706795527671E-4</v>
      </c>
      <c r="AB31" s="14">
        <f>_xll.BDP($B31&amp;" Equity","volatility_10d")</f>
        <v>39.530940000000001</v>
      </c>
      <c r="AC31" s="14" cm="1">
        <f t="array" ref="AC31">_xll.BDP(B31&amp;" EQUITY","eqy_beta")</f>
        <v>1.635502</v>
      </c>
      <c r="AD31" s="405">
        <f>Tabelad[[#This Row],[D1 P&amp;L bps]]*$AD$5/10000</f>
        <v>25237.106135125374</v>
      </c>
      <c r="AE31" s="337"/>
      <c r="AF31" s="489" t="str">
        <f>_xll.BDP(B31&amp;" Equity","EXPECTED_REPORT_DT")</f>
        <v>22/01/2026</v>
      </c>
      <c r="AG31" s="490" t="e">
        <f>_xll.BDP(B31&amp;" Index","CHG_PCT_1D_PRE_FROM_REGULAR")/100</f>
        <v>#VALUE!</v>
      </c>
      <c r="AH31" s="484" t="e">
        <f t="shared" si="10"/>
        <v>#VALUE!</v>
      </c>
      <c r="AI31" s="491" t="str">
        <f>_xll.BDP(B31&amp;" Equity","DVD_EX_DT")</f>
        <v>27/11/2025</v>
      </c>
    </row>
    <row r="32" spans="1:35" s="59" customFormat="1">
      <c r="A32" s="478"/>
      <c r="B32" s="427" t="s">
        <v>2242</v>
      </c>
      <c r="C32" s="59" t="s">
        <v>2241</v>
      </c>
      <c r="E32" s="59" t="s">
        <v>194</v>
      </c>
      <c r="F32" s="163" t="s">
        <v>99</v>
      </c>
      <c r="G32" s="405"/>
      <c r="H32" s="479">
        <v>5766</v>
      </c>
      <c r="I32" s="14" cm="1">
        <f t="array" ref="I32">_xll.BDP(B32&amp;" Equity","LAST_PRICE")</f>
        <v>85.73</v>
      </c>
      <c r="J32" s="480">
        <f>I32/K32-1</f>
        <v>-1.278212805158907E-2</v>
      </c>
      <c r="K32" s="481">
        <v>86.84</v>
      </c>
      <c r="L32" s="8" cm="1">
        <f t="array" ref="L32">_xll.BDP(E32&amp;" Curncy","PX_LAST")</f>
        <v>1</v>
      </c>
      <c r="M32" s="482"/>
      <c r="N32" s="405">
        <f>+Tabelad[[#This Row],[Price Today]]*Tabelad[[#This Row],[Qtt Shs]]</f>
        <v>494319.18000000005</v>
      </c>
      <c r="O32" s="483">
        <f>IFERROR(IF(Tabelad[[#This Row],[D1 Exp USD]]&lt;&gt;0,N32/$AE$7,0),"-")</f>
        <v>2.1923426341313205E-4</v>
      </c>
      <c r="P32" s="20">
        <f>+Tabelad[[#This Row],[% Chg]]*Tabelad[[#This Row],[D1 Exp USD]]/AE7*10000</f>
        <v>-2.8022804282424624E-2</v>
      </c>
      <c r="Q32" s="405"/>
      <c r="R32" s="128"/>
      <c r="S32" s="484"/>
      <c r="T32" s="485">
        <f>N32+Q32</f>
        <v>494319.18000000005</v>
      </c>
      <c r="U32" s="486">
        <f>T32/$AE$7</f>
        <v>2.1923426341313205E-4</v>
      </c>
      <c r="V32" s="484">
        <f>P32+S32</f>
        <v>-2.8022804282424624E-2</v>
      </c>
      <c r="W32" s="405" t="e">
        <f>$W$10/(I32/L32*M32)</f>
        <v>#DIV/0!</v>
      </c>
      <c r="X32" s="128"/>
      <c r="Y32" s="487">
        <f>Tabelad[[#This Row],[Exp %]]*$Y$10*$AD$7/Tabelad[[#This Row],[Price Today]]</f>
        <v>2018.1000000000001</v>
      </c>
      <c r="Z32" s="488">
        <f>Tabelad[[#This Row],[Vol 10d]]/16*Tabelad[[#This Row],[Exp %]]*100</f>
        <v>5.9459590624837168E-2</v>
      </c>
      <c r="AA32" s="128">
        <f>Tabelad[[#This Row],[Exp %]]*Tabelad[[#This Row],[Beta Adj2]]</f>
        <v>2.1653638512450469E-4</v>
      </c>
      <c r="AB32" s="14">
        <f>_xll.BDP($B32&amp;" Equity","volatility_10d")</f>
        <v>43.394378013104358</v>
      </c>
      <c r="AC32" s="14">
        <f>_xll.BDP(B32&amp;" EQUITY","eqy_beta")</f>
        <v>0.98769408464431763</v>
      </c>
      <c r="AD32" s="405">
        <f>Tabelad[[#This Row],[D1 P&amp;L bps]]*$AD$5/10000</f>
        <v>-5906.9493329357128</v>
      </c>
      <c r="AE32" s="337"/>
      <c r="AF32" s="489" t="str">
        <f>_xll.BDP(B32&amp;" Equity","EXPECTED_REPORT_DT")</f>
        <v>#N/A N/A</v>
      </c>
      <c r="AG32" s="490">
        <f>_xll.BDP(B32&amp;" Index","CHG_PCT_1D_PRE_FROM_REGULAR")/100</f>
        <v>1.492371E-2</v>
      </c>
      <c r="AH32" s="484">
        <f>(T32*AG32)/$AD$7*10000</f>
        <v>3.2717885692411929E-2</v>
      </c>
      <c r="AI32" s="491" t="str">
        <f>_xll.BDP(B32&amp;" Equity","DVD_EX_DT")</f>
        <v>22/12/2025</v>
      </c>
    </row>
    <row r="33" spans="1:35" s="59" customFormat="1">
      <c r="A33" s="478"/>
      <c r="B33" s="427" t="s">
        <v>2242</v>
      </c>
      <c r="C33" s="59" t="s">
        <v>2241</v>
      </c>
      <c r="E33" s="59" t="s">
        <v>194</v>
      </c>
      <c r="F33" s="163" t="s">
        <v>99</v>
      </c>
      <c r="G33" s="405"/>
      <c r="H33" s="479">
        <v>2840</v>
      </c>
      <c r="I33" s="14" cm="1">
        <f t="array" ref="I33">_xll.BDP(B33&amp;" Equity","LAST_PRICE")</f>
        <v>85.73</v>
      </c>
      <c r="J33" s="480">
        <f>I33/K33-1</f>
        <v>-2.4687144482366308E-2</v>
      </c>
      <c r="K33" s="481">
        <v>87.9</v>
      </c>
      <c r="L33" s="8" cm="1">
        <f t="array" ref="L33">_xll.BDP(E33&amp;" Curncy","PX_LAST")</f>
        <v>1</v>
      </c>
      <c r="M33" s="482"/>
      <c r="N33" s="405">
        <f>+Tabelad[[#This Row],[Price Today]]*Tabelad[[#This Row],[Qtt Shs]]</f>
        <v>243473.2</v>
      </c>
      <c r="O33" s="483">
        <f>IFERROR(IF(Tabelad[[#This Row],[D1 Exp USD]]&lt;&gt;0,N33/$AE$7,0),"-")</f>
        <v>1.0798219009595819E-4</v>
      </c>
      <c r="P33" s="20">
        <f>+Tabelad[[#This Row],[% Chg]]*Tabelad[[#This Row],[D1 Exp USD]]/AE7*10000</f>
        <v>-2.6657719284212643E-2</v>
      </c>
      <c r="Q33" s="405"/>
      <c r="R33" s="128"/>
      <c r="S33" s="484"/>
      <c r="T33" s="485">
        <f>N33+Q33</f>
        <v>243473.2</v>
      </c>
      <c r="U33" s="486">
        <f>T33/$AE$7</f>
        <v>1.0798219009595819E-4</v>
      </c>
      <c r="V33" s="484">
        <f>P33+S33</f>
        <v>-2.6657719284212643E-2</v>
      </c>
      <c r="W33" s="405" t="e">
        <f>$W$10/(I33/L33*M33)</f>
        <v>#DIV/0!</v>
      </c>
      <c r="X33" s="128"/>
      <c r="Y33" s="487">
        <f>Tabelad[[#This Row],[Exp %]]*$Y$10*$AD$7/Tabelad[[#This Row],[Price Today]]</f>
        <v>993.99999999999989</v>
      </c>
      <c r="Z33" s="488">
        <f>Tabelad[[#This Row],[Vol 10d]]/16*Tabelad[[#This Row],[Exp %]]*100</f>
        <v>2.9286374848168144E-2</v>
      </c>
      <c r="AA33" s="128">
        <f>Tabelad[[#This Row],[Exp %]]*Tabelad[[#This Row],[Beta Adj2]]</f>
        <v>1.0665337040471613E-4</v>
      </c>
      <c r="AB33" s="14">
        <f>_xll.BDP($B33&amp;" Equity","volatility_10d")</f>
        <v>43.394378013104358</v>
      </c>
      <c r="AC33" s="14">
        <f>_xll.BDP(B33&amp;" EQUITY","eqy_beta")</f>
        <v>0.98769408464431763</v>
      </c>
      <c r="AD33" s="405">
        <f>Tabelad[[#This Row],[D1 P&amp;L bps]]*$AD$5/10000</f>
        <v>-5619.2019740946107</v>
      </c>
      <c r="AE33" s="337"/>
      <c r="AF33" s="489" t="str">
        <f>_xll.BDP(B33&amp;" Equity","EXPECTED_REPORT_DT")</f>
        <v>#N/A N/A</v>
      </c>
      <c r="AG33" s="490">
        <f>_xll.BDP(B33&amp;" Index","CHG_PCT_1D_PRE_FROM_REGULAR")/100</f>
        <v>1.492371E-2</v>
      </c>
      <c r="AH33" s="484">
        <f>(T33*AG33)/$AD$7*10000</f>
        <v>1.6114948901569524E-2</v>
      </c>
      <c r="AI33" s="491" t="str">
        <f>_xll.BDP(B33&amp;" Equity","DVD_EX_DT")</f>
        <v>22/12/2025</v>
      </c>
    </row>
    <row r="34" spans="1:35" s="59" customFormat="1">
      <c r="A34" s="478"/>
      <c r="B34" s="427" t="s">
        <v>2242</v>
      </c>
      <c r="C34" s="59" t="s">
        <v>2241</v>
      </c>
      <c r="E34" s="59" t="s">
        <v>194</v>
      </c>
      <c r="F34" s="163" t="s">
        <v>99</v>
      </c>
      <c r="G34" s="405"/>
      <c r="H34" s="479">
        <v>4056</v>
      </c>
      <c r="I34" s="14" cm="1">
        <f t="array" ref="I34">_xll.BDP(B34&amp;" Equity","LAST_PRICE")</f>
        <v>85.73</v>
      </c>
      <c r="J34" s="480">
        <f>I34/K34-1</f>
        <v>-7.6397731218890153E-3</v>
      </c>
      <c r="K34" s="481">
        <v>86.39</v>
      </c>
      <c r="L34" s="8" cm="1">
        <f t="array" ref="L34">_xll.BDP(E34&amp;" Curncy","PX_LAST")</f>
        <v>1</v>
      </c>
      <c r="M34" s="482"/>
      <c r="N34" s="405">
        <f>+Tabelad[[#This Row],[Price Today]]*Tabelad[[#This Row],[Qtt Shs]]</f>
        <v>347720.88</v>
      </c>
      <c r="O34" s="483">
        <f>IFERROR(IF(Tabelad[[#This Row],[D1 Exp USD]]&lt;&gt;0,N34/$AE$7,0),"-")</f>
        <v>1.5421681796803043E-4</v>
      </c>
      <c r="P34" s="20">
        <f>+Tabelad[[#This Row],[% Chg]]*Tabelad[[#This Row],[D1 Exp USD]]/AE7*10000</f>
        <v>-1.1781815008554099E-2</v>
      </c>
      <c r="Q34" s="405"/>
      <c r="R34" s="128"/>
      <c r="S34" s="484"/>
      <c r="T34" s="485">
        <f>N34+Q34</f>
        <v>347720.88</v>
      </c>
      <c r="U34" s="486">
        <f>T34/$AE$7</f>
        <v>1.5421681796803043E-4</v>
      </c>
      <c r="V34" s="484">
        <f>P34+S34</f>
        <v>-1.1781815008554099E-2</v>
      </c>
      <c r="W34" s="405" t="e">
        <f>$W$10/(I34/L34*M34)</f>
        <v>#DIV/0!</v>
      </c>
      <c r="X34" s="128"/>
      <c r="Y34" s="487">
        <f>Tabelad[[#This Row],[Exp %]]*$Y$10*$AD$7/Tabelad[[#This Row],[Price Today]]</f>
        <v>1419.5999999999997</v>
      </c>
      <c r="Z34" s="488">
        <f>Tabelad[[#This Row],[Vol 10d]]/16*Tabelad[[#This Row],[Exp %]]*100</f>
        <v>4.1825893093017603E-2</v>
      </c>
      <c r="AA34" s="128">
        <f>Tabelad[[#This Row],[Exp %]]*Tabelad[[#This Row],[Beta Adj2]]</f>
        <v>1.5231903885969318E-4</v>
      </c>
      <c r="AB34" s="14">
        <f>_xll.BDP($B34&amp;" Equity","volatility_10d")</f>
        <v>43.394378013104358</v>
      </c>
      <c r="AC34" s="14">
        <f>_xll.BDP(B34&amp;" EQUITY","eqy_beta")</f>
        <v>0.98769408464431763</v>
      </c>
      <c r="AD34" s="405">
        <f>Tabelad[[#This Row],[D1 P&amp;L bps]]*$AD$5/10000</f>
        <v>-2483.4982111051254</v>
      </c>
      <c r="AE34" s="337"/>
      <c r="AF34" s="489" t="str">
        <f>_xll.BDP(B34&amp;" Equity","EXPECTED_REPORT_DT")</f>
        <v>#N/A N/A</v>
      </c>
      <c r="AG34" s="490">
        <f>_xll.BDP(B34&amp;" Index","CHG_PCT_1D_PRE_FROM_REGULAR")/100</f>
        <v>1.492371E-2</v>
      </c>
      <c r="AH34" s="484">
        <f>(T34*AG34)/$AD$7*10000</f>
        <v>2.3014870684776752E-2</v>
      </c>
      <c r="AI34" s="491" t="str">
        <f>_xll.BDP(B34&amp;" Equity","DVD_EX_DT")</f>
        <v>22/12/2025</v>
      </c>
    </row>
    <row r="35" spans="1:35">
      <c r="B35" s="40" t="s">
        <v>90</v>
      </c>
      <c r="C35" t="s">
        <v>1882</v>
      </c>
      <c r="E35" t="s">
        <v>194</v>
      </c>
      <c r="F35" s="22" t="s">
        <v>99</v>
      </c>
      <c r="G35" s="15"/>
      <c r="H35" s="425">
        <v>3400</v>
      </c>
      <c r="I35" s="36" cm="1">
        <f t="array" ref="I35">_xll.BDP(B35&amp;" Equity","LAST_PRICE")</f>
        <v>472.94</v>
      </c>
      <c r="J35" s="51">
        <f t="shared" si="4"/>
        <v>-2.9826864691884891E-2</v>
      </c>
      <c r="K35" s="442">
        <v>487.48</v>
      </c>
      <c r="L35" s="53" cm="1">
        <f t="array" ref="L35">_xll.BDP(E35&amp;" Curncy","PX_LAST")</f>
        <v>1</v>
      </c>
      <c r="M35" s="52">
        <v>1</v>
      </c>
      <c r="N35" s="15">
        <f t="shared" si="5"/>
        <v>1607996</v>
      </c>
      <c r="O35" s="358">
        <f>IFERROR(IF(Tabelad[[#This Row],[D1 Exp USD]]&lt;&gt;0,N35/$AE$7,0),"-")</f>
        <v>7.1315828495924964E-4</v>
      </c>
      <c r="P35" s="20">
        <f>IFERROR(IF(Tabelad[[#This Row],[D1 Exp USD]]&lt;&gt;0,((I35-K35)/L35*M35*H35)/$AD$7*10000,0),"-")</f>
        <v>-0.21925236738925669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1916702.168571949</v>
      </c>
      <c r="R35" s="19">
        <f t="shared" si="11"/>
        <v>8.5007178582312758E-4</v>
      </c>
      <c r="S35" s="20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-0.26843291399455338</v>
      </c>
      <c r="T35" s="13">
        <f t="shared" si="6"/>
        <v>3524698.168571949</v>
      </c>
      <c r="U35" s="48">
        <f t="shared" si="7"/>
        <v>1.5632300707823772E-3</v>
      </c>
      <c r="V35" s="20">
        <f t="shared" si="8"/>
        <v>-0.48768528138381007</v>
      </c>
      <c r="W35" s="15">
        <f t="shared" si="9"/>
        <v>4767.5250666046441</v>
      </c>
      <c r="X35" s="19"/>
      <c r="Y35" s="376">
        <f>Tabelad[[#This Row],[Exp %]]*$Y$10*$AD$7/Tabelad[[#This Row],[Price Today]]</f>
        <v>2608.4584915637965</v>
      </c>
      <c r="Z35" s="266">
        <f>Tabelad[[#This Row],[Vol 10d]]/16*Tabelad[[#This Row],[Exp %]]*100</f>
        <v>0.13820122996306899</v>
      </c>
      <c r="AA35" s="19">
        <f>Tabelad[[#This Row],[Exp %]]*Tabelad[[#This Row],[Beta Adj2]]</f>
        <v>1.6035207658707299E-3</v>
      </c>
      <c r="AB35" s="36">
        <f>_xll.BDP($B35&amp;" Equity","volatility_10d")</f>
        <v>14.145196671545705</v>
      </c>
      <c r="AC35" s="36" cm="1">
        <f t="array" ref="AC35">_xll.BDP(B35&amp;" EQUITY","eqy_beta")</f>
        <v>1.0257740020751953</v>
      </c>
      <c r="AD35" s="15">
        <f>Tabelad[[#This Row],[D1 P&amp;L bps]]*$AD$5/10000</f>
        <v>-46216.381923875328</v>
      </c>
      <c r="AE35" s="277"/>
      <c r="AF35" s="231" t="str">
        <f>_xll.BDP(B35&amp;" Equity","EXPECTED_REPORT_DT")</f>
        <v>29/01/2026</v>
      </c>
      <c r="AG35" s="172" t="e">
        <f>_xll.BDP(B35&amp;" Index","CHG_PCT_1D_PRE_FROM_REGULAR")/100</f>
        <v>#VALUE!</v>
      </c>
      <c r="AH35" s="20" t="e">
        <f t="shared" si="10"/>
        <v>#VALUE!</v>
      </c>
      <c r="AI35" s="426" t="str">
        <f>_xll.BDP(B35&amp;" Equity","DVD_EX_DT")</f>
        <v>19/02/2026</v>
      </c>
    </row>
    <row r="36" spans="1:35" s="59" customFormat="1">
      <c r="A36" s="478"/>
      <c r="B36" s="427" t="s">
        <v>90</v>
      </c>
      <c r="C36" s="59" t="s">
        <v>1882</v>
      </c>
      <c r="E36" s="59" t="s">
        <v>194</v>
      </c>
      <c r="F36" s="163" t="s">
        <v>99</v>
      </c>
      <c r="G36" s="405"/>
      <c r="H36" s="479">
        <v>1060</v>
      </c>
      <c r="I36" s="14" cm="1">
        <f t="array" ref="I36">_xll.BDP(B36&amp;" Equity","LAST_PRICE")</f>
        <v>472.94</v>
      </c>
      <c r="J36" s="480">
        <f t="shared" ref="J36" si="53">I36/K36-1</f>
        <v>3.8074287164735487E-4</v>
      </c>
      <c r="K36" s="481">
        <v>472.76</v>
      </c>
      <c r="L36" s="8" cm="1">
        <f t="array" ref="L36">_xll.BDP(E36&amp;" Curncy","PX_LAST")</f>
        <v>1</v>
      </c>
      <c r="M36" s="482">
        <v>1</v>
      </c>
      <c r="N36" s="405">
        <f t="shared" ref="N36:N38" si="54">IFERROR(IF(((I36/L36)*H36*M36)&lt;&gt;0,((I36/L36)*H36*M36),0),"-")</f>
        <v>501316.4</v>
      </c>
      <c r="O36" s="483">
        <f>IFERROR(IF(Tabelad[[#This Row],[D1 Exp USD]]&lt;&gt;0,N36/$AE$7,0),"-")</f>
        <v>2.2233758295788373E-4</v>
      </c>
      <c r="P36" s="484">
        <f>IFERROR(IF(Tabelad[[#This Row],[D1 Exp USD]]&lt;&gt;0,((I36-K36)/L36*M36*H36)/$AD$7*10000,0),"-")</f>
        <v>8.4621230880070598E-4</v>
      </c>
      <c r="Q36" s="405"/>
      <c r="R36" s="128"/>
      <c r="S36" s="484"/>
      <c r="T36" s="485">
        <f t="shared" ref="T36" si="55">N36+Q36</f>
        <v>501316.4</v>
      </c>
      <c r="U36" s="486">
        <f t="shared" ref="U36" si="56">T36/$AE$7</f>
        <v>2.2233758295788373E-4</v>
      </c>
      <c r="V36" s="484">
        <f t="shared" ref="V36" si="57">P36+S36</f>
        <v>8.4621230880070598E-4</v>
      </c>
      <c r="W36" s="405">
        <f t="shared" ref="W36" si="58">$W$10/(I36/L36*M36)</f>
        <v>4767.5250666046441</v>
      </c>
      <c r="X36" s="128"/>
      <c r="Y36" s="487">
        <f>Tabelad[[#This Row],[Exp %]]*$Y$10*$AD$7/Tabelad[[#This Row],[Price Today]]</f>
        <v>371</v>
      </c>
      <c r="Z36" s="488">
        <f>Tabelad[[#This Row],[Vol 10d]]/16*Tabelad[[#This Row],[Exp %]]*100</f>
        <v>1.9656305240096088E-2</v>
      </c>
      <c r="AA36" s="128">
        <f>Tabelad[[#This Row],[Exp %]]*Tabelad[[#This Row],[Beta Adj2]]</f>
        <v>2.2806811228243414E-4</v>
      </c>
      <c r="AB36" s="14">
        <f>_xll.BDP($B36&amp;" Equity","volatility_10d")</f>
        <v>14.145196671545705</v>
      </c>
      <c r="AC36" s="14" cm="1">
        <f t="array" ref="AC36">_xll.BDP(B36&amp;" EQUITY","eqy_beta")</f>
        <v>1.0257740020751953</v>
      </c>
      <c r="AD36" s="405">
        <f>Tabelad[[#This Row],[D1 P&amp;L bps]]*$AD$5/10000</f>
        <v>178.37376954194784</v>
      </c>
      <c r="AE36" s="337"/>
      <c r="AF36" s="489" t="str">
        <f>_xll.BDP(B36&amp;" Equity","EXPECTED_REPORT_DT")</f>
        <v>29/01/2026</v>
      </c>
      <c r="AG36" s="490" t="e">
        <f>_xll.BDP(B36&amp;" Index","CHG_PCT_1D_PRE_FROM_REGULAR")/100</f>
        <v>#VALUE!</v>
      </c>
      <c r="AH36" s="484" t="e">
        <f t="shared" ref="AH36" si="59">(T36*AG36)/$AD$7*10000</f>
        <v>#VALUE!</v>
      </c>
      <c r="AI36" s="491" t="str">
        <f>_xll.BDP(B36&amp;" Equity","DVD_EX_DT")</f>
        <v>19/02/2026</v>
      </c>
    </row>
    <row r="37" spans="1:35" s="59" customFormat="1">
      <c r="A37" s="478"/>
      <c r="B37" s="427" t="s">
        <v>2261</v>
      </c>
      <c r="C37" s="59" t="s">
        <v>1917</v>
      </c>
      <c r="E37" s="59" t="s">
        <v>194</v>
      </c>
      <c r="F37" s="163" t="str">
        <f>IF(T37&gt;0,"Long","Short")</f>
        <v>Long</v>
      </c>
      <c r="G37" s="405"/>
      <c r="H37" s="479">
        <v>1990</v>
      </c>
      <c r="I37" s="14" cm="1">
        <f t="array" ref="I37">_xll.BDP(B37&amp;" Equity","LAST_PRICE")</f>
        <v>150.30000000000001</v>
      </c>
      <c r="J37" s="480">
        <f>I37/K37-1</f>
        <v>-3.315649867373982E-3</v>
      </c>
      <c r="K37" s="481">
        <v>150.80000000000001</v>
      </c>
      <c r="L37" s="8" cm="1">
        <f t="array" ref="L37">_xll.BDP(E37&amp;" Curncy","PX_LAST")</f>
        <v>1</v>
      </c>
      <c r="M37" s="482"/>
      <c r="N37" s="405">
        <f>+Tabelad[[#This Row],[Price Today]]*Tabelad[[#This Row],[Qtt Shs]]</f>
        <v>299097</v>
      </c>
      <c r="O37" s="483">
        <f>IFERROR(IF(Tabelad[[#This Row],[D1 Exp USD]]&lt;&gt;0,N37/$AE$7,0),"-")</f>
        <v>1.3265176253949432E-4</v>
      </c>
      <c r="P37" s="484">
        <f>IFERROR(IF(Tabelad[[#This Row],[D1 Exp USD]]&lt;&gt;0,((I37-K37)/L37*M37*H37)/$AD$7*10000,0),"-")</f>
        <v>0</v>
      </c>
      <c r="Q37" s="40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494">
        <f>Q37/$AE$7</f>
        <v>0</v>
      </c>
      <c r="S37" s="484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485">
        <f>N37+Q37</f>
        <v>299097</v>
      </c>
      <c r="U37" s="486">
        <f>T37/$AE$7</f>
        <v>1.3265176253949432E-4</v>
      </c>
      <c r="V37" s="484">
        <f>P37+S37</f>
        <v>0</v>
      </c>
      <c r="W37" s="405" t="e">
        <f>$W$10/(I37/L37*M37)</f>
        <v>#DIV/0!</v>
      </c>
      <c r="X37" s="128"/>
      <c r="Y37" s="487">
        <f>Tabelad[[#This Row],[Exp %]]*$Y$10*$AD$7/Tabelad[[#This Row],[Price Today]]</f>
        <v>696.49999999999989</v>
      </c>
      <c r="Z37" s="488">
        <f>Tabelad[[#This Row],[Vol 10d]]/16*Tabelad[[#This Row],[Exp %]]*100</f>
        <v>6.3114196245493318E-2</v>
      </c>
      <c r="AA37" s="128">
        <f>Tabelad[[#This Row],[Exp %]]*Tabelad[[#This Row],[Beta Adj2]]</f>
        <v>1.4220187069175887E-4</v>
      </c>
      <c r="AB37" s="14">
        <f>_xll.BDP($B37&amp;" Equity","volatility_10d")</f>
        <v>76.126175830286314</v>
      </c>
      <c r="AC37" s="14">
        <f>_xll.BDP(B37&amp;" EQUITY","eqy_beta")</f>
        <v>1.0719938278198242</v>
      </c>
      <c r="AD37" s="405">
        <f>Tabelad[[#This Row],[D1 P&amp;L bps]]*$AD$5/10000</f>
        <v>0</v>
      </c>
      <c r="AE37" s="337"/>
      <c r="AF37" s="489" t="str">
        <f>_xll.BDP(B37&amp;" Equity","EXPECTED_REPORT_DT")</f>
        <v>18/02/2026</v>
      </c>
      <c r="AG37" s="490" t="e">
        <f>_xll.BDP(B37&amp;" Index","CHG_PCT_1D_PRE_FROM_REGULAR")/100</f>
        <v>#VALUE!</v>
      </c>
      <c r="AH37" s="484" t="e">
        <f>(T37*AG37)/$AD$7*10000</f>
        <v>#VALUE!</v>
      </c>
      <c r="AI37" s="491" t="str">
        <f>_xll.BDP(B37&amp;" Equity","DVD_EX_DT")</f>
        <v>#N/A Field Not Applicable</v>
      </c>
    </row>
    <row r="38" spans="1:35" s="59" customFormat="1">
      <c r="A38" s="478"/>
      <c r="B38" s="427" t="s">
        <v>462</v>
      </c>
      <c r="C38" s="59" t="s">
        <v>2262</v>
      </c>
      <c r="E38" s="59" t="s">
        <v>194</v>
      </c>
      <c r="F38" s="163" t="str">
        <f>IF(T38&gt;0,"Long","Short")</f>
        <v>Long</v>
      </c>
      <c r="G38" s="405"/>
      <c r="H38" s="479">
        <v>1920</v>
      </c>
      <c r="I38" s="14" cm="1">
        <f t="array" ref="I38">_xll.BDP(B38&amp;" Equity","LAST_PRICE")</f>
        <v>155.74</v>
      </c>
      <c r="J38" s="480">
        <f>I38/K38-1</f>
        <v>-3.7103377686795724E-3</v>
      </c>
      <c r="K38" s="481">
        <v>156.32</v>
      </c>
      <c r="L38" s="8" cm="1">
        <f t="array" ref="L38">_xll.BDP(E38&amp;" Curncy","PX_LAST")</f>
        <v>1</v>
      </c>
      <c r="M38" s="482"/>
      <c r="N38" s="405">
        <f>+Tabelad[[#This Row],[Price Today]]*Tabelad[[#This Row],[Qtt Shs]]</f>
        <v>299020.80000000005</v>
      </c>
      <c r="O38" s="483">
        <f>IFERROR(IF(Tabelad[[#This Row],[D1 Exp USD]]&lt;&gt;0,N38/$AE$7,0),"-")</f>
        <v>1.3261796726804224E-4</v>
      </c>
      <c r="P38" s="484">
        <f>IFERROR(IF(Tabelad[[#This Row],[D1 Exp USD]]&lt;&gt;0,((I38-K38)/L38*M38*H38)/$AD$7*10000,0),"-")</f>
        <v>0</v>
      </c>
      <c r="Q38" s="40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494">
        <f>Q38/$AE$7</f>
        <v>0</v>
      </c>
      <c r="S38" s="484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485">
        <f>N38+Q38</f>
        <v>299020.80000000005</v>
      </c>
      <c r="U38" s="486">
        <f>T38/$AE$7</f>
        <v>1.3261796726804224E-4</v>
      </c>
      <c r="V38" s="484">
        <f>P38+S38</f>
        <v>0</v>
      </c>
      <c r="W38" s="405" t="e">
        <f>$W$10/(I38/L38*M38)</f>
        <v>#DIV/0!</v>
      </c>
      <c r="X38" s="128"/>
      <c r="Y38" s="487">
        <f>Tabelad[[#This Row],[Exp %]]*$Y$10*$AD$7/Tabelad[[#This Row],[Price Today]]</f>
        <v>672</v>
      </c>
      <c r="Z38" s="488">
        <f>Tabelad[[#This Row],[Vol 10d]]/16*Tabelad[[#This Row],[Exp %]]*100</f>
        <v>3.3759092900925776E-2</v>
      </c>
      <c r="AA38" s="128">
        <f>Tabelad[[#This Row],[Exp %]]*Tabelad[[#This Row],[Beta Adj2]]</f>
        <v>1.153314690180822E-4</v>
      </c>
      <c r="AB38" s="14">
        <f>_xll.BDP($B38&amp;" Equity","volatility_10d")</f>
        <v>40.729434897994743</v>
      </c>
      <c r="AC38" s="14">
        <f>_xll.BDP(B38&amp;" EQUITY","eqy_beta")</f>
        <v>0.8696519136428833</v>
      </c>
      <c r="AD38" s="405">
        <f>Tabelad[[#This Row],[D1 P&amp;L bps]]*$AD$5/10000</f>
        <v>0</v>
      </c>
      <c r="AE38" s="337"/>
      <c r="AF38" s="489" t="str">
        <f>_xll.BDP(B38&amp;" Equity","EXPECTED_REPORT_DT")</f>
        <v>20/02/2026</v>
      </c>
      <c r="AG38" s="490" t="e">
        <f>_xll.BDP(B38&amp;" Index","CHG_PCT_1D_PRE_FROM_REGULAR")/100</f>
        <v>#VALUE!</v>
      </c>
      <c r="AH38" s="484" t="e">
        <f>(T38*AG38)/$AD$7*10000</f>
        <v>#VALUE!</v>
      </c>
      <c r="AI38" s="491" t="str">
        <f>_xll.BDP(B38&amp;" Equity","DVD_EX_DT")</f>
        <v>12/06/2025</v>
      </c>
    </row>
    <row r="39" spans="1:35" s="59" customFormat="1">
      <c r="A39" s="336"/>
      <c r="B39" s="40" t="s">
        <v>2113</v>
      </c>
      <c r="C39" t="s">
        <v>2117</v>
      </c>
      <c r="D39"/>
      <c r="E39" t="s">
        <v>194</v>
      </c>
      <c r="F39" s="22" t="s">
        <v>99</v>
      </c>
      <c r="G39" s="15"/>
      <c r="H39" s="425">
        <v>31500</v>
      </c>
      <c r="I39" s="36" cm="1">
        <f t="array" ref="I39">_xll.BDP(B39&amp;" Equity","LAST_PRICE")</f>
        <v>28.51</v>
      </c>
      <c r="J39" s="51">
        <f t="shared" si="4"/>
        <v>-1.4858327574291619E-2</v>
      </c>
      <c r="K39" s="442">
        <v>28.94</v>
      </c>
      <c r="L39" s="53" cm="1">
        <f t="array" ref="L39">_xll.BDP(E39&amp;" Curncy","PX_LAST")</f>
        <v>1</v>
      </c>
      <c r="M39" s="52">
        <v>1</v>
      </c>
      <c r="N39" s="15">
        <f t="shared" si="5"/>
        <v>898065</v>
      </c>
      <c r="O39" s="358">
        <f>IFERROR(IF(Tabelad[[#This Row],[D1 Exp USD]]&lt;&gt;0,N39/$AE$7,0),"-")</f>
        <v>3.9829856242299641E-4</v>
      </c>
      <c r="P39" s="20">
        <f>IFERROR(IF(Tabelad[[#This Row],[D1 Exp USD]]&lt;&gt;0,((I39-K39)/L39*M39*H39)/$AD$7*10000,0),"-")</f>
        <v>-6.0073090789859118E-2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9">
        <f t="shared" si="11"/>
        <v>0</v>
      </c>
      <c r="S39" s="20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6"/>
        <v>898065</v>
      </c>
      <c r="U39" s="48">
        <f t="shared" si="7"/>
        <v>3.9829856242299641E-4</v>
      </c>
      <c r="V39" s="20">
        <f t="shared" si="8"/>
        <v>-6.0073090789859118E-2</v>
      </c>
      <c r="W39" s="15">
        <f t="shared" si="9"/>
        <v>79086.401438091896</v>
      </c>
      <c r="X39" s="19"/>
      <c r="Y39" s="376">
        <f>Tabelad[[#This Row],[Exp %]]*$Y$10*$AD$7/Tabelad[[#This Row],[Price Today]]</f>
        <v>11025</v>
      </c>
      <c r="Z39" s="266">
        <f>Tabelad[[#This Row],[Vol 10d]]/16*Tabelad[[#This Row],[Exp %]]*100</f>
        <v>5.8448997210143447E-2</v>
      </c>
      <c r="AA39" s="19">
        <f>Tabelad[[#This Row],[Exp %]]*Tabelad[[#This Row],[Beta Adj2]]</f>
        <v>4.5389089617289764E-4</v>
      </c>
      <c r="AB39" s="36">
        <f>_xll.BDP($B39&amp;" Equity","volatility_10d")</f>
        <v>23.479471019760346</v>
      </c>
      <c r="AC39" s="36" cm="1">
        <f t="array" ref="AC39">_xll.BDP(B39&amp;" EQUITY","eqy_beta")</f>
        <v>1.1395745277404785</v>
      </c>
      <c r="AD39" s="15">
        <f>Tabelad[[#This Row],[D1 P&amp;L bps]]*$AD$5/10000</f>
        <v>-12662.854866067035</v>
      </c>
      <c r="AE39" s="277"/>
      <c r="AF39" s="231" t="str">
        <f>_xll.BDP(B39&amp;" Equity","EXPECTED_REPORT_DT")</f>
        <v>25/02/2026</v>
      </c>
      <c r="AG39" s="172" t="e">
        <f>_xll.BDP(B39&amp;" Index","CHG_PCT_1D_PRE_FROM_REGULAR")/100</f>
        <v>#VALUE!</v>
      </c>
      <c r="AH39" s="20" t="e">
        <f t="shared" si="10"/>
        <v>#VALUE!</v>
      </c>
      <c r="AI39" s="426" t="str">
        <f>_xll.BDP(B39&amp;" Equity","DVD_EX_DT")</f>
        <v>#N/A Field Not Applicable</v>
      </c>
    </row>
    <row r="40" spans="1:35" s="59" customFormat="1">
      <c r="A40" s="336"/>
      <c r="B40" s="40" t="s">
        <v>2116</v>
      </c>
      <c r="C40" t="s">
        <v>2117</v>
      </c>
      <c r="D40"/>
      <c r="E40" t="s">
        <v>194</v>
      </c>
      <c r="F40" s="22" t="s">
        <v>100</v>
      </c>
      <c r="G40" s="15"/>
      <c r="H40" s="425">
        <v>0</v>
      </c>
      <c r="I40" s="36" cm="1">
        <f t="array" ref="I40">_xll.BDP(B40&amp;" Equity","LAST_PRICE")</f>
        <v>90.98</v>
      </c>
      <c r="J40" s="51">
        <f t="shared" si="4"/>
        <v>-2.9857112390701657E-2</v>
      </c>
      <c r="K40" s="442">
        <v>93.78</v>
      </c>
      <c r="L40" s="53" cm="1">
        <f t="array" ref="L40">_xll.BDP(E40&amp;" Curncy","PX_LAST")</f>
        <v>1</v>
      </c>
      <c r="M40" s="52">
        <v>1</v>
      </c>
      <c r="N40" s="15">
        <f t="shared" si="5"/>
        <v>0</v>
      </c>
      <c r="O40" s="358">
        <f>IFERROR(IF(Tabelad[[#This Row],[D1 Exp USD]]&lt;&gt;0,N40/$AE$7,0),"-")</f>
        <v>0</v>
      </c>
      <c r="P40" s="20">
        <f>IFERROR(IF(Tabelad[[#This Row],[D1 Exp USD]]&lt;&gt;0,((I40-K40)/L40*M40*H40)/$AD$7*10000,0),"-")</f>
        <v>0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-543507.96713829029</v>
      </c>
      <c r="R40" s="19">
        <f t="shared" si="11"/>
        <v>-2.4104985939394833E-4</v>
      </c>
      <c r="S40" s="20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9.2737418118564396E-2</v>
      </c>
      <c r="T40" s="13">
        <f t="shared" si="6"/>
        <v>-543507.96713829029</v>
      </c>
      <c r="U40" s="48">
        <f t="shared" si="7"/>
        <v>-2.4104985939394833E-4</v>
      </c>
      <c r="V40" s="20">
        <f t="shared" si="8"/>
        <v>9.2737418118564396E-2</v>
      </c>
      <c r="W40" s="15">
        <f t="shared" si="9"/>
        <v>24782.955649593318</v>
      </c>
      <c r="X40" s="19"/>
      <c r="Y40" s="376">
        <f>Tabelad[[#This Row],[Exp %]]*$Y$10*$AD$7/Tabelad[[#This Row],[Price Today]]</f>
        <v>-2090.8747911453238</v>
      </c>
      <c r="Z40" s="266">
        <f>Tabelad[[#This Row],[Vol 10d]]/16*Tabelad[[#This Row],[Exp %]]*100</f>
        <v>-2.5083844870486847E-2</v>
      </c>
      <c r="AA40" s="19">
        <f>Tabelad[[#This Row],[Exp %]]*Tabelad[[#This Row],[Beta Adj2]]</f>
        <v>-2.6755270380723531E-4</v>
      </c>
      <c r="AB40" s="36">
        <f>_xll.BDP($B40&amp;" Equity","volatility_10d")</f>
        <v>16.649730430743634</v>
      </c>
      <c r="AC40" s="36">
        <f>_xll.BDP(B40&amp;" EQUITY","eqy_beta")</f>
        <v>1.1099475622177124</v>
      </c>
      <c r="AD40" s="15">
        <f>Tabelad[[#This Row],[D1 P&amp;L bps]]*$AD$5/10000</f>
        <v>0</v>
      </c>
      <c r="AE40" s="277"/>
      <c r="AF40" s="231" t="str">
        <f>_xll.BDP(B40&amp;" Equity","EXPECTED_REPORT_DT")</f>
        <v>20/01/2026</v>
      </c>
      <c r="AG40" s="172">
        <f>_xll.BDP(B40&amp;" Index","CHG_PCT_1D_PRE_FROM_REGULAR")/100</f>
        <v>3.7329189999999999E-3</v>
      </c>
      <c r="AH40" s="20">
        <f t="shared" si="10"/>
        <v>-8.9981960007899809E-3</v>
      </c>
      <c r="AI40" s="426" t="str">
        <f>_xll.BDP(B40&amp;" Equity","DVD_EX_DT")</f>
        <v>#N/A Field Not Applicable</v>
      </c>
    </row>
    <row r="41" spans="1:35">
      <c r="C41" s="21"/>
      <c r="D41" s="21"/>
      <c r="E41" s="21"/>
      <c r="H41" s="13"/>
      <c r="L41" s="3"/>
      <c r="S41" s="276"/>
      <c r="U41" s="71"/>
      <c r="V41" s="65"/>
    </row>
    <row r="42" spans="1:35">
      <c r="C42" s="21"/>
      <c r="D42" s="21"/>
      <c r="E42" s="21"/>
      <c r="H42" s="13"/>
      <c r="L42" s="3"/>
      <c r="S42" s="276"/>
    </row>
    <row r="43" spans="1:35">
      <c r="C43" s="21"/>
      <c r="D43" s="21"/>
      <c r="E43" s="21"/>
      <c r="H43" s="13"/>
      <c r="K43" s="442" t="str">
        <f>_xll.BDP(B43&amp;" EQUITY","PX_YEST_CLOSE")</f>
        <v>#N/A Invalid Security</v>
      </c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S45" s="276"/>
    </row>
    <row r="46" spans="1:35">
      <c r="C46" s="21"/>
      <c r="D46" s="21"/>
      <c r="E46" s="21"/>
      <c r="S46" s="276"/>
    </row>
    <row r="47" spans="1:35">
      <c r="C47" s="21"/>
      <c r="D47" s="21"/>
      <c r="E47" s="21"/>
      <c r="H47" s="13"/>
    </row>
    <row r="48" spans="1:35">
      <c r="C48" s="21"/>
      <c r="D48" s="21"/>
      <c r="E48" s="21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25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25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0">
    <cfRule type="dataBar" priority="52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0">
    <cfRule type="colorScale" priority="5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0">
    <cfRule type="dataBar" priority="5257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0">
    <cfRule type="colorScale" priority="52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0">
    <cfRule type="colorScale" priority="525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0">
    <cfRule type="colorScale" priority="5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0">
    <cfRule type="colorScale" priority="52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AB12:AB40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7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H16" sqref="AH16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/>
    <col min="45" max="45" width="13.7109375" customWidth="1"/>
    <col min="46" max="46" width="15" customWidth="1"/>
    <col min="47" max="47" width="9.140625" customWidth="1"/>
    <col min="48" max="48" width="8.28515625" style="276" customWidth="1"/>
    <col min="49" max="49" width="9.140625" customWidth="1"/>
    <col min="50" max="51" width="9.85546875" bestFit="1" customWidth="1"/>
  </cols>
  <sheetData>
    <row r="1" spans="1:56">
      <c r="B1" s="276">
        <f>'Master P&amp;L'!V10</f>
        <v>1.4406952434464977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1697</v>
      </c>
      <c r="K1" s="74" t="str">
        <f>_xll.BDP(B1&amp;" index","PX_YEST_CLOSE")</f>
        <v>#N/A Invalid Security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SUM(V4:V28)</f>
        <v>7.3223221198471649</v>
      </c>
      <c r="W1" s="50">
        <f>SUM(W4:W28)</f>
        <v>2.9941368685564451</v>
      </c>
      <c r="X1" s="50">
        <f>SUM(X4:X28)</f>
        <v>41.757000000000019</v>
      </c>
      <c r="Y1" s="269"/>
      <c r="AG1" s="43"/>
      <c r="AI1" s="417">
        <f>SUM(AI4:AI28)*252</f>
        <v>-12.296879993024167</v>
      </c>
      <c r="AJ1" s="417"/>
      <c r="AK1" s="364" t="s">
        <v>1906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1782</v>
      </c>
      <c r="AD3" s="10" t="s">
        <v>1781</v>
      </c>
      <c r="AE3" s="10" t="s">
        <v>1783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2202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1673</v>
      </c>
      <c r="BA3" s="10" t="s">
        <v>1847</v>
      </c>
      <c r="BB3" s="10" t="s">
        <v>1850</v>
      </c>
      <c r="BC3" s="10" t="s">
        <v>1851</v>
      </c>
      <c r="BD3" s="10" t="s">
        <v>1852</v>
      </c>
    </row>
    <row r="4" spans="1:56" s="59" customFormat="1">
      <c r="A4" s="357"/>
      <c r="B4" t="s">
        <v>2181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167</v>
      </c>
      <c r="G4" t="str" cm="1">
        <f t="array" ref="G4">_xll.BDP(B4&amp;" Equity","QUOTED_CURRENCY_REALTIME")</f>
        <v>USD</v>
      </c>
      <c r="H4" s="15">
        <v>-50</v>
      </c>
      <c r="I4" s="411">
        <v>23.39</v>
      </c>
      <c r="J4" s="416">
        <f>VLOOKUP(B4,Precificação!$B:$O,14,FALSE)</f>
        <v>26</v>
      </c>
      <c r="K4" s="74">
        <f>+J4</f>
        <v>26</v>
      </c>
      <c r="L4" s="74" cm="1">
        <f t="array" ref="L4">_xll.BDP($B4&amp;" Equity","mid")</f>
        <v>25.48</v>
      </c>
      <c r="M4" s="19">
        <f t="shared" ref="M4:M28" si="0">L4/Z4</f>
        <v>7.3298429319371722E-2</v>
      </c>
      <c r="N4" s="351"/>
      <c r="O4" s="19">
        <f t="shared" ref="O4:O28" si="1">L4/K4-1</f>
        <v>-2.0000000000000018E-2</v>
      </c>
      <c r="P4" s="36" cm="1">
        <f t="array" ref="P4">_xll.BDP($B4&amp;" Equity","bid")</f>
        <v>25.35</v>
      </c>
      <c r="Q4" s="36" cm="1">
        <f t="array" ref="Q4">_xll.BDP($B4&amp;" Equity","ask")</f>
        <v>25.6</v>
      </c>
      <c r="R4" s="40">
        <f t="shared" ref="R4:R28" si="2">(Q4/P4-1)</f>
        <v>9.8619329388560661E-3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8" si="3">(L4/S4)*H4*T4</f>
        <v>-127400</v>
      </c>
      <c r="V4" s="124">
        <f>U4/'Master P&amp;L'!$AD$7*10000</f>
        <v>-0.56502855419919207</v>
      </c>
      <c r="W4" s="124">
        <f>(Y4*H4*T4/S4)/'Master P&amp;L'!$AD$7*10000</f>
        <v>-0.56502855419919207</v>
      </c>
      <c r="X4" s="414">
        <f t="shared" ref="X4:X28" si="4">IF(C4="Put",IF(Z4&lt;AA4,AA4-Z4,0),IF(Z4&gt;AA4,Z4-AA4,0))</f>
        <v>0</v>
      </c>
      <c r="Y4" s="273">
        <f t="shared" ref="Y4:Y28" si="5">L4-X4</f>
        <v>25.48</v>
      </c>
      <c r="Z4" s="37">
        <f>_xll.BDP(D4&amp;" Equity","LAST_PRICE")</f>
        <v>347.62</v>
      </c>
      <c r="AA4" s="37" cm="1">
        <f t="array" ref="AA4">_xll.BDP(B4&amp;" Equity","OPT_STRIKE_PX")</f>
        <v>410</v>
      </c>
      <c r="AB4" s="40">
        <f t="shared" ref="AB4:AB28" si="6">AA4/Z4-1</f>
        <v>0.17944882342788104</v>
      </c>
      <c r="AC4" s="324" cm="1">
        <f t="array" ref="AC4">_xll.BDP($D4&amp;" Equity","volatility_10d")</f>
        <v>21.815106890973617</v>
      </c>
      <c r="AD4" s="37" cm="1">
        <f t="array" ref="AD4">_xll.BDP(B4&amp;" Equity","ivol_mid")</f>
        <v>47.774700000000003</v>
      </c>
      <c r="AE4" s="37">
        <f t="shared" ref="AE4:AE28" si="7">AD4/AC4</f>
        <v>2.189982393337143</v>
      </c>
      <c r="AF4" s="38" cm="1">
        <f t="array" ref="AF4">_xll.BDP(B4&amp;" Equity","DELTA_MID_RT")</f>
        <v>0.38394716382026672</v>
      </c>
      <c r="AG4" s="19">
        <f>AL4/'Master P&amp;L'!$AE$7</f>
        <v>-2.9596965839063518E-4</v>
      </c>
      <c r="AH4" s="19">
        <f>AM4/'Master P&amp;L'!$AE$7</f>
        <v>-7.7086038465746924E-4</v>
      </c>
      <c r="AI4" s="438">
        <f>AO4/'Master P&amp;L'!$AD$7*10000</f>
        <v>2.8873329218943177E-3</v>
      </c>
      <c r="AJ4" s="351">
        <f t="shared" ref="AJ4:AJ28" si="8">(252*AI4)/$AI$1</f>
        <v>-5.9170122561993686E-2</v>
      </c>
      <c r="AK4" s="38">
        <f>AP4/'Master P&amp;L'!$AD$7*10000</f>
        <v>1.1531194983656972E-2</v>
      </c>
      <c r="AL4" s="15">
        <f t="shared" ref="AL4:AL28" si="9">Z4*AF4*H4*T4/S4</f>
        <v>-667338.56543600571</v>
      </c>
      <c r="AM4" s="15">
        <f t="shared" ref="AM4:AM28" si="10">IF(C4="Put",-Z4*H4*T4/S4,Z4*H4*T4/S4)</f>
        <v>-1738100</v>
      </c>
      <c r="AN4" s="38" cm="1">
        <f t="array" ref="AN4">_xll.BDP($B4&amp;" Equity","theta_mid_rt")</f>
        <v>-0.1302044689655304</v>
      </c>
      <c r="AO4" s="15">
        <f t="shared" ref="AO4:AO28" si="11">AN4*H4*T4/S4</f>
        <v>651.02234482765198</v>
      </c>
      <c r="AP4" s="15">
        <f t="shared" ref="AP4:AP28" si="12">(L4-K4)*T4/S4*H4</f>
        <v>2599.9999999999977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1.1776999999999999E-2</v>
      </c>
      <c r="AS4">
        <f t="shared" ref="AS4:AS28" si="13">$Z4*($AR4*$Z4*$AS$3)*$H4*$T4/$S4</f>
        <v>-71156.436381939988</v>
      </c>
      <c r="AT4">
        <f t="shared" ref="AT4:AT28" si="14">$Z4*($AR4*$Z4*$AT$3)*$H4*$T4/$S4</f>
        <v>-355782.18190969998</v>
      </c>
      <c r="AU4" t="s">
        <v>151</v>
      </c>
      <c r="AV4" s="277" cm="1">
        <f t="array" ref="AV4">_xll.BDP($D4&amp;" Equity","EST_PE_NXT_YR")*(AA4/Z4)</f>
        <v>29.638174115095712</v>
      </c>
      <c r="AW4"/>
      <c r="AX4" s="15"/>
      <c r="AY4" s="15">
        <v>25.48</v>
      </c>
      <c r="AZ4" s="356"/>
      <c r="BA4" s="15">
        <f>+AY4</f>
        <v>25.48</v>
      </c>
      <c r="BB4" s="415">
        <f t="shared" ref="BB4:BB28" si="15">+J4</f>
        <v>26</v>
      </c>
      <c r="BC4" s="415">
        <f>(BB4-BA4)*H4*100</f>
        <v>-2599.9999999999977</v>
      </c>
      <c r="BD4" s="415">
        <f>BC4/'Master P&amp;L'!$AD$7*10000</f>
        <v>-1.1531194983656972E-2</v>
      </c>
    </row>
    <row r="5" spans="1:56">
      <c r="A5" s="335"/>
      <c r="B5" s="73" t="s">
        <v>2179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167</v>
      </c>
      <c r="G5" s="73" t="str" cm="1">
        <f t="array" ref="G5">_xll.BDP(B5&amp;" Equity","QUOTED_CURRENCY_REALTIME")</f>
        <v>USD</v>
      </c>
      <c r="H5" s="42">
        <v>50</v>
      </c>
      <c r="I5" s="410">
        <v>43.25</v>
      </c>
      <c r="J5" s="416">
        <f>VLOOKUP(B5,Precificação!$B:$O,14,FALSE)</f>
        <v>47.975000000000001</v>
      </c>
      <c r="K5" s="74">
        <f t="shared" ref="K5:K28" si="16">+J5</f>
        <v>47.975000000000001</v>
      </c>
      <c r="L5" s="74" cm="1">
        <f t="array" ref="L5">_xll.BDP($B5&amp;" Equity","mid")</f>
        <v>47.1</v>
      </c>
      <c r="M5" s="75">
        <f t="shared" si="0"/>
        <v>0.13549277947183708</v>
      </c>
      <c r="N5" s="353"/>
      <c r="O5" s="75">
        <f t="shared" si="1"/>
        <v>-1.8238665971860302E-2</v>
      </c>
      <c r="P5" s="74" cm="1">
        <f t="array" ref="P5">_xll.BDP($B5&amp;" Equity","bid")</f>
        <v>46.95</v>
      </c>
      <c r="Q5" s="74" cm="1">
        <f t="array" ref="Q5">_xll.BDP($B5&amp;" Equity","ask")</f>
        <v>47.25</v>
      </c>
      <c r="R5" s="76">
        <f t="shared" si="2"/>
        <v>6.389776357827337E-3</v>
      </c>
      <c r="S5" s="74" cm="1">
        <f t="array" ref="S5">_xll.BDP(G5&amp;" Curncy","PX_LAST")</f>
        <v>1</v>
      </c>
      <c r="T5" s="42" cm="1">
        <f t="array" ref="T5">_xll.BDP(B5&amp;" Equity","OPT_MULTIPLIER")</f>
        <v>100</v>
      </c>
      <c r="U5" s="42">
        <f t="shared" si="3"/>
        <v>235500</v>
      </c>
      <c r="V5" s="113">
        <f>U5/'Master P&amp;L'!$AD$7*10000</f>
        <v>1.0444601610196997</v>
      </c>
      <c r="W5" s="113">
        <f>(Y5*H5*T5/S5)/'Master P&amp;L'!$AD$7*10000</f>
        <v>1.0444601610196997</v>
      </c>
      <c r="X5" s="118">
        <f t="shared" si="4"/>
        <v>0</v>
      </c>
      <c r="Y5" s="272">
        <f t="shared" si="5"/>
        <v>47.1</v>
      </c>
      <c r="Z5" s="77">
        <f>_xll.BDP(D5&amp;" Equity","LAST_PRICE")</f>
        <v>347.62</v>
      </c>
      <c r="AA5" s="77" cm="1">
        <f t="array" ref="AA5">_xll.BDP(B5&amp;" Equity","OPT_STRIKE_PX")</f>
        <v>350</v>
      </c>
      <c r="AB5" s="76">
        <f t="shared" si="6"/>
        <v>6.8465565847763976E-3</v>
      </c>
      <c r="AC5" s="323" cm="1">
        <f t="array" ref="AC5">_xll.BDP($D5&amp;" Equity","volatility_10d")</f>
        <v>21.815106890973617</v>
      </c>
      <c r="AD5" s="77" cm="1">
        <f t="array" ref="AD5">_xll.BDP(B5&amp;" Equity","ivol_mid")</f>
        <v>48.695680000000003</v>
      </c>
      <c r="AE5" s="77">
        <f t="shared" si="7"/>
        <v>2.2321999265632155</v>
      </c>
      <c r="AF5" s="78" cm="1">
        <f t="array" ref="AF5">_xll.BDP(B5&amp;" Equity","DELTA_MID_RT")</f>
        <v>0.57696014642715454</v>
      </c>
      <c r="AG5" s="75">
        <f>AL5/'Master P&amp;L'!$AE$7</f>
        <v>4.4475572040686613E-4</v>
      </c>
      <c r="AH5" s="75">
        <f>AM5/'Master P&amp;L'!$AE$7</f>
        <v>7.7086038465746924E-4</v>
      </c>
      <c r="AI5" s="439">
        <f>AO5/'Master P&amp;L'!$AD$7*10000</f>
        <v>-3.009795207058723E-3</v>
      </c>
      <c r="AJ5" s="351">
        <f t="shared" si="8"/>
        <v>6.1679742553319691E-2</v>
      </c>
      <c r="AK5" s="78">
        <f>AP5/'Master P&amp;L'!$AD$7*10000</f>
        <v>-1.9403453097499728E-2</v>
      </c>
      <c r="AL5" s="42">
        <f t="shared" si="9"/>
        <v>1002814.4305050373</v>
      </c>
      <c r="AM5" s="42">
        <f t="shared" si="10"/>
        <v>1738100</v>
      </c>
      <c r="AN5" s="78" cm="1">
        <f t="array" ref="AN5">_xll.BDP($B5&amp;" Equity","theta_mid_rt")</f>
        <v>-0.13572691380977631</v>
      </c>
      <c r="AO5" s="42">
        <f t="shared" si="11"/>
        <v>-678.63456904888153</v>
      </c>
      <c r="AP5" s="42">
        <f t="shared" si="12"/>
        <v>-4375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1.1851E-2</v>
      </c>
      <c r="AS5" s="73">
        <f t="shared" si="13"/>
        <v>71603.543140220005</v>
      </c>
      <c r="AT5" s="73">
        <f t="shared" si="14"/>
        <v>358017.71570110007</v>
      </c>
      <c r="AU5" s="73" t="s">
        <v>151</v>
      </c>
      <c r="AV5" s="322" cm="1">
        <f t="array" ref="AV5">_xll.BDP($D5&amp;" Equity","EST_PE_NXT_YR")*(AA5/Z5)</f>
        <v>25.300880342154873</v>
      </c>
      <c r="AW5" s="73"/>
      <c r="AX5" s="42"/>
      <c r="AY5" s="42">
        <v>47.1</v>
      </c>
      <c r="AZ5" s="355"/>
      <c r="BA5" s="42">
        <f t="shared" ref="BA5:BA28" si="17">+AY5</f>
        <v>47.1</v>
      </c>
      <c r="BB5" s="347">
        <f t="shared" si="15"/>
        <v>47.975000000000001</v>
      </c>
      <c r="BC5" s="347">
        <f t="shared" ref="BC5:BC28" si="18">(BB5-BA5)*H5*100</f>
        <v>4375</v>
      </c>
      <c r="BD5" s="347">
        <f>BC5/'Master P&amp;L'!$AD$7*10000</f>
        <v>1.9403453097499728E-2</v>
      </c>
    </row>
    <row r="6" spans="1:56" s="59" customFormat="1">
      <c r="A6" s="357"/>
      <c r="B6" t="s">
        <v>2131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49</v>
      </c>
      <c r="G6" t="str" cm="1">
        <f t="array" ref="G6">_xll.BDP(B6&amp;" Equity","QUOTED_CURRENCY_REALTIME")</f>
        <v>USD</v>
      </c>
      <c r="H6" s="15">
        <v>90</v>
      </c>
      <c r="I6" s="411">
        <v>38.049999999999997</v>
      </c>
      <c r="J6" s="416">
        <f>VLOOKUP(B6,Precificação!$B:$O,14,FALSE)</f>
        <v>40.35</v>
      </c>
      <c r="K6" s="74">
        <f t="shared" si="16"/>
        <v>40.35</v>
      </c>
      <c r="L6" s="74" cm="1">
        <f t="array" ref="L6">_xll.BDP($B6&amp;" Equity","mid")</f>
        <v>46.65</v>
      </c>
      <c r="M6" s="19">
        <f t="shared" si="0"/>
        <v>0.12082049156975991</v>
      </c>
      <c r="N6" s="351"/>
      <c r="O6" s="19">
        <f t="shared" si="1"/>
        <v>0.15613382899628236</v>
      </c>
      <c r="P6" s="36" cm="1">
        <f t="array" ref="P6">_xll.BDP($B6&amp;" Equity","bid")</f>
        <v>45.5</v>
      </c>
      <c r="Q6" s="36" cm="1">
        <f t="array" ref="Q6">_xll.BDP($B6&amp;" Equity","ask")</f>
        <v>47.8</v>
      </c>
      <c r="R6" s="40">
        <f t="shared" si="2"/>
        <v>5.0549450549450592E-2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3"/>
        <v>419850</v>
      </c>
      <c r="V6" s="124">
        <f>U6/'Master P&amp;L'!$AD$7*10000</f>
        <v>1.8620662361109168</v>
      </c>
      <c r="W6" s="124">
        <f>(Y6*H6*T6/S6)/'Master P&amp;L'!$AD$7*10000</f>
        <v>1.8620662361109168</v>
      </c>
      <c r="X6" s="414">
        <f t="shared" si="4"/>
        <v>0</v>
      </c>
      <c r="Y6" s="273">
        <f t="shared" si="5"/>
        <v>46.65</v>
      </c>
      <c r="Z6" s="37">
        <f>_xll.BDP(D6&amp;" Equity","LAST_PRICE")</f>
        <v>386.11</v>
      </c>
      <c r="AA6" s="37" cm="1">
        <f t="array" ref="AA6">_xll.BDP(B6&amp;" Equity","OPT_STRIKE_PX")</f>
        <v>400</v>
      </c>
      <c r="AB6" s="40">
        <f t="shared" si="6"/>
        <v>3.5974204242314345E-2</v>
      </c>
      <c r="AC6" s="324" cm="1">
        <f t="array" ref="AC6">_xll.BDP($D6&amp;" Equity","volatility_10d")</f>
        <v>70.269071781739342</v>
      </c>
      <c r="AD6" s="37" cm="1">
        <f t="array" ref="AD6">_xll.BDP(B6&amp;" Equity","ivol_mid")</f>
        <v>92.730320000000006</v>
      </c>
      <c r="AE6" s="37">
        <f t="shared" si="7"/>
        <v>1.3196462917288401</v>
      </c>
      <c r="AF6" s="38" cm="1">
        <f t="array" ref="AF6">_xll.BDP(B6&amp;" Equity","DELTA_MID_RT")</f>
        <v>0.53216063976287842</v>
      </c>
      <c r="AG6" s="19">
        <f>AL6/'Master P&amp;L'!$AE$7</f>
        <v>8.2015753008048262E-4</v>
      </c>
      <c r="AH6" s="19">
        <f>AM6/'Master P&amp;L'!$AE$7</f>
        <v>1.541184125240699E-3</v>
      </c>
      <c r="AI6" s="438">
        <f>AO6/'Master P&amp;L'!$AD$7*10000</f>
        <v>-2.1329634741294144E-2</v>
      </c>
      <c r="AJ6" s="351">
        <f t="shared" si="8"/>
        <v>0.43710827119198681</v>
      </c>
      <c r="AK6" s="38">
        <f>AP6/'Master P&amp;L'!$AD$7*10000</f>
        <v>0.25146875214359637</v>
      </c>
      <c r="AL6" s="15">
        <f t="shared" si="9"/>
        <v>1849252.9015696051</v>
      </c>
      <c r="AM6" s="15">
        <f t="shared" si="10"/>
        <v>3474990</v>
      </c>
      <c r="AN6" s="38" cm="1">
        <f t="array" ref="AN6">_xll.BDP($B6&amp;" Equity","theta_mid_rt")</f>
        <v>-0.53436738252639771</v>
      </c>
      <c r="AO6" s="15">
        <f t="shared" si="11"/>
        <v>-4809.3064427375793</v>
      </c>
      <c r="AP6" s="15">
        <f t="shared" si="12"/>
        <v>56699.999999999978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1.1879000000000001E-2</v>
      </c>
      <c r="AS6">
        <f t="shared" si="13"/>
        <v>159383.915317431</v>
      </c>
      <c r="AT6">
        <f t="shared" si="14"/>
        <v>796919.576587155</v>
      </c>
      <c r="AU6" t="s">
        <v>151</v>
      </c>
      <c r="AV6" s="277" cm="1">
        <f t="array" ref="AV6">_xll.BDP($D6&amp;" Equity","EST_PE_NXT_YR")*(AA6/Z6)</f>
        <v>45.307277164413215</v>
      </c>
      <c r="AW6"/>
      <c r="AX6" s="15"/>
      <c r="AY6" s="15">
        <v>46.65</v>
      </c>
      <c r="AZ6" s="356"/>
      <c r="BA6" s="15">
        <f t="shared" si="17"/>
        <v>46.65</v>
      </c>
      <c r="BB6" s="415">
        <f t="shared" si="15"/>
        <v>40.35</v>
      </c>
      <c r="BC6" s="415">
        <f t="shared" si="18"/>
        <v>-56699.999999999978</v>
      </c>
      <c r="BD6" s="415">
        <f>BC6/'Master P&amp;L'!$AD$7*10000</f>
        <v>-0.25146875214359637</v>
      </c>
    </row>
    <row r="7" spans="1:56">
      <c r="A7" s="335"/>
      <c r="B7" s="73" t="s">
        <v>2132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49</v>
      </c>
      <c r="G7" s="73" t="str" cm="1">
        <f t="array" ref="G7">_xll.BDP(B7&amp;" Equity","QUOTED_CURRENCY_REALTIME")</f>
        <v>USD</v>
      </c>
      <c r="H7" s="42">
        <v>-45</v>
      </c>
      <c r="I7" s="410">
        <v>25.62</v>
      </c>
      <c r="J7" s="416">
        <f>VLOOKUP(B7,Precificação!$B:$O,14,FALSE)</f>
        <v>26.6</v>
      </c>
      <c r="K7" s="74">
        <f t="shared" si="16"/>
        <v>26.6</v>
      </c>
      <c r="L7" s="74" cm="1">
        <f t="array" ref="L7">_xll.BDP($B7&amp;" Equity","mid")</f>
        <v>30.25</v>
      </c>
      <c r="M7" s="75">
        <f t="shared" si="0"/>
        <v>7.8345549195825023E-2</v>
      </c>
      <c r="N7" s="353"/>
      <c r="O7" s="75">
        <f t="shared" si="1"/>
        <v>0.13721804511278179</v>
      </c>
      <c r="P7" s="74" cm="1">
        <f t="array" ref="P7">_xll.BDP($B7&amp;" Equity","bid")</f>
        <v>29.5</v>
      </c>
      <c r="Q7" s="74" cm="1">
        <f t="array" ref="Q7">_xll.BDP($B7&amp;" Equity","ask")</f>
        <v>31</v>
      </c>
      <c r="R7" s="76">
        <f t="shared" si="2"/>
        <v>5.0847457627118731E-2</v>
      </c>
      <c r="S7" s="74" cm="1">
        <f t="array" ref="S7">_xll.BDP(G7&amp;" Curncy","PX_LAST")</f>
        <v>1</v>
      </c>
      <c r="T7" s="42" cm="1">
        <f t="array" ref="T7">_xll.BDP(B7&amp;" Equity","OPT_MULTIPLIER")</f>
        <v>100</v>
      </c>
      <c r="U7" s="42">
        <f t="shared" si="3"/>
        <v>-136125</v>
      </c>
      <c r="V7" s="113">
        <f>U7/'Master P&amp;L'!$AD$7*10000</f>
        <v>-0.60372458351934866</v>
      </c>
      <c r="W7" s="113">
        <f>(Y7*H7*T7/S7)/'Master P&amp;L'!$AD$7*10000</f>
        <v>-0.60372458351934866</v>
      </c>
      <c r="X7" s="118">
        <f t="shared" si="4"/>
        <v>0</v>
      </c>
      <c r="Y7" s="272">
        <f t="shared" si="5"/>
        <v>30.25</v>
      </c>
      <c r="Z7" s="77">
        <f>_xll.BDP(D7&amp;" Equity","LAST_PRICE")</f>
        <v>386.11</v>
      </c>
      <c r="AA7" s="77" cm="1">
        <f t="array" ref="AA7">_xll.BDP(B7&amp;" Equity","OPT_STRIKE_PX")</f>
        <v>450</v>
      </c>
      <c r="AB7" s="76">
        <f t="shared" si="6"/>
        <v>0.16547097977260372</v>
      </c>
      <c r="AC7" s="323" cm="1">
        <f t="array" ref="AC7">_xll.BDP($D7&amp;" Equity","volatility_10d")</f>
        <v>70.269071781739342</v>
      </c>
      <c r="AD7" s="77" cm="1">
        <f t="array" ref="AD7">_xll.BDP(B7&amp;" Equity","ivol_mid")</f>
        <v>92.711470000000006</v>
      </c>
      <c r="AE7" s="77">
        <f t="shared" si="7"/>
        <v>1.3193780371536474</v>
      </c>
      <c r="AF7" s="78" cm="1">
        <f t="array" ref="AF7">_xll.BDP(B7&amp;" Equity","DELTA_MID_RT")</f>
        <v>0.39402821660041809</v>
      </c>
      <c r="AG7" s="75">
        <f>AL7/'Master P&amp;L'!$AE$7</f>
        <v>-3.0363501616073406E-4</v>
      </c>
      <c r="AH7" s="75">
        <f>AM7/'Master P&amp;L'!$AE$7</f>
        <v>-7.7059206262034951E-4</v>
      </c>
      <c r="AI7" s="439">
        <f>AO7/'Master P&amp;L'!$AD$7*10000</f>
        <v>1.0379317025950499E-2</v>
      </c>
      <c r="AJ7" s="351">
        <f t="shared" si="8"/>
        <v>-0.21270337614283535</v>
      </c>
      <c r="AK7" s="78">
        <f>AP7/'Master P&amp;L'!$AD$7*10000</f>
        <v>-7.2846106771756111E-2</v>
      </c>
      <c r="AL7" s="42">
        <f t="shared" si="9"/>
        <v>-684622.05620214355</v>
      </c>
      <c r="AM7" s="42">
        <f t="shared" si="10"/>
        <v>-1737495</v>
      </c>
      <c r="AN7" s="78" cm="1">
        <f t="array" ref="AN7">_xll.BDP($B7&amp;" Equity","theta_mid_rt")</f>
        <v>-0.52006220817565918</v>
      </c>
      <c r="AO7" s="42">
        <f t="shared" si="11"/>
        <v>2340.2799367904663</v>
      </c>
      <c r="AP7" s="42">
        <f t="shared" si="12"/>
        <v>-16424.999999999996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>
        <f t="shared" si="13"/>
        <v>-73083.945343382991</v>
      </c>
      <c r="AT7" s="73">
        <f t="shared" si="14"/>
        <v>-365419.72671691503</v>
      </c>
      <c r="AU7" s="73" t="s">
        <v>151</v>
      </c>
      <c r="AV7" s="322" cm="1">
        <f t="array" ref="AV7">_xll.BDP($D7&amp;" Equity","EST_PE_NXT_YR")*(AA7/Z7)</f>
        <v>50.970686809964867</v>
      </c>
      <c r="AW7" s="73"/>
      <c r="AX7" s="42"/>
      <c r="AY7" s="42">
        <v>30.25</v>
      </c>
      <c r="AZ7" s="355"/>
      <c r="BA7" s="42">
        <f t="shared" si="17"/>
        <v>30.25</v>
      </c>
      <c r="BB7" s="347">
        <f t="shared" si="15"/>
        <v>26.6</v>
      </c>
      <c r="BC7" s="347">
        <f t="shared" si="18"/>
        <v>16424.999999999993</v>
      </c>
      <c r="BD7" s="347">
        <f>BC7/'Master P&amp;L'!$AD$7*10000</f>
        <v>7.2846106771756083E-2</v>
      </c>
    </row>
    <row r="8" spans="1:56" s="59" customFormat="1">
      <c r="A8" s="357"/>
      <c r="B8" t="s">
        <v>2124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105</v>
      </c>
      <c r="G8" t="str" cm="1">
        <f t="array" ref="G8">_xll.BDP(B8&amp;" Equity","QUOTED_CURRENCY_REALTIME")</f>
        <v>USD</v>
      </c>
      <c r="H8" s="15">
        <v>-20</v>
      </c>
      <c r="I8" s="411">
        <v>24.28</v>
      </c>
      <c r="J8" s="416">
        <f>VLOOKUP(B8,Precificação!$B:$O,14,FALSE)</f>
        <v>19.45</v>
      </c>
      <c r="K8" s="74">
        <f t="shared" si="16"/>
        <v>19.45</v>
      </c>
      <c r="L8" s="74" cm="1">
        <f t="array" ref="L8">_xll.BDP($B8&amp;" Equity","mid")</f>
        <v>15.32</v>
      </c>
      <c r="M8" s="19">
        <f t="shared" si="0"/>
        <v>2.3554373395243001E-2</v>
      </c>
      <c r="N8" s="351"/>
      <c r="O8" s="19">
        <f t="shared" si="1"/>
        <v>-0.21233933161953722</v>
      </c>
      <c r="P8" s="36" cm="1">
        <f t="array" ref="P8">_xll.BDP($B8&amp;" Equity","bid")</f>
        <v>15.25</v>
      </c>
      <c r="Q8" s="36" cm="1">
        <f t="array" ref="Q8">_xll.BDP($B8&amp;" Equity","ask")</f>
        <v>15.4</v>
      </c>
      <c r="R8" s="40">
        <f t="shared" si="2"/>
        <v>9.8360655737705915E-3</v>
      </c>
      <c r="S8" s="36" cm="1">
        <f t="array" ref="S8">_xll.BDP(G8&amp;" Curncy","PX_LAST")</f>
        <v>1</v>
      </c>
      <c r="T8" s="15" cm="1">
        <f t="array" ref="T8">_xll.BDP(B8&amp;" Equity","OPT_MULTIPLIER")</f>
        <v>100</v>
      </c>
      <c r="U8" s="15">
        <f t="shared" si="3"/>
        <v>-30639.999999999996</v>
      </c>
      <c r="V8" s="124">
        <f>U8/'Master P&amp;L'!$AD$7*10000</f>
        <v>-0.13589069780740379</v>
      </c>
      <c r="W8" s="124">
        <f>(Y8*H8*T8/S8)/'Master P&amp;L'!$AD$7*10000</f>
        <v>-0.13589069780740379</v>
      </c>
      <c r="X8" s="414">
        <f t="shared" si="4"/>
        <v>0</v>
      </c>
      <c r="Y8" s="273">
        <f t="shared" si="5"/>
        <v>15.32</v>
      </c>
      <c r="Z8" s="37">
        <f>_xll.BDP(D8&amp;" Equity","LAST_PRICE")</f>
        <v>650.41</v>
      </c>
      <c r="AA8" s="37" cm="1">
        <f t="array" ref="AA8">_xll.BDP(B8&amp;" Equity","OPT_STRIKE_PX")</f>
        <v>750</v>
      </c>
      <c r="AB8" s="40">
        <f t="shared" si="6"/>
        <v>0.15311880198643935</v>
      </c>
      <c r="AC8" s="324" cm="1">
        <f t="array" ref="AC8">_xll.BDP($D8&amp;" Equity","volatility_10d")</f>
        <v>17.193186469995073</v>
      </c>
      <c r="AD8" s="37" cm="1">
        <f t="array" ref="AD8">_xll.BDP(B8&amp;" Equity","ivol_mid")</f>
        <v>31.717759999999998</v>
      </c>
      <c r="AE8" s="37">
        <f t="shared" si="7"/>
        <v>1.8447865993515911</v>
      </c>
      <c r="AF8" s="38" cm="1">
        <f t="array" ref="AF8">_xll.BDP(B8&amp;" Equity","DELTA_MID_RT")</f>
        <v>0.24823868274688721</v>
      </c>
      <c r="AG8" s="19">
        <f>AL8/'Master P&amp;L'!$AE$7</f>
        <v>-1.4321471115032064E-4</v>
      </c>
      <c r="AH8" s="19">
        <f>AM8/'Master P&amp;L'!$AE$7</f>
        <v>-5.7692342533233361E-4</v>
      </c>
      <c r="AI8" s="438">
        <f>AO8/'Master P&amp;L'!$AD$7*10000</f>
        <v>1.5740574277406539E-3</v>
      </c>
      <c r="AJ8" s="351">
        <f t="shared" si="8"/>
        <v>-3.2257163769644444E-2</v>
      </c>
      <c r="AK8" s="38">
        <f>AP8/'Master P&amp;L'!$AD$7*10000</f>
        <v>3.6633719448079478E-2</v>
      </c>
      <c r="AL8" s="15">
        <f t="shared" si="9"/>
        <v>-322913.84329080582</v>
      </c>
      <c r="AM8" s="15">
        <f t="shared" si="10"/>
        <v>-1300820</v>
      </c>
      <c r="AN8" s="38" cm="1">
        <f t="array" ref="AN8">_xll.BDP($B8&amp;" Equity","theta_mid_rt")</f>
        <v>-0.17745555937290192</v>
      </c>
      <c r="AO8" s="15">
        <f t="shared" si="11"/>
        <v>354.91111874580383</v>
      </c>
      <c r="AP8" s="15">
        <f t="shared" si="12"/>
        <v>8259.9999999999982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1.9401000000000002E-2</v>
      </c>
      <c r="AS8">
        <f t="shared" si="13"/>
        <v>-164145.32988616198</v>
      </c>
      <c r="AT8">
        <f t="shared" si="14"/>
        <v>-820726.64943081001</v>
      </c>
      <c r="AU8" t="s">
        <v>151</v>
      </c>
      <c r="AV8" s="277" cm="1">
        <f t="array" ref="AV8">_xll.BDP($D8&amp;" Equity","EST_PE_NXT_YR")*(AA8/Z8)</f>
        <v>22.542925152201423</v>
      </c>
      <c r="AW8"/>
      <c r="AX8" s="15"/>
      <c r="AY8" s="15">
        <v>15.32</v>
      </c>
      <c r="AZ8" s="356"/>
      <c r="BA8" s="15">
        <f t="shared" si="17"/>
        <v>15.32</v>
      </c>
      <c r="BB8" s="415">
        <f t="shared" si="15"/>
        <v>19.45</v>
      </c>
      <c r="BC8" s="415">
        <f t="shared" si="18"/>
        <v>-8259.9999999999982</v>
      </c>
      <c r="BD8" s="415">
        <f>BC8/'Master P&amp;L'!$AD$7*10000</f>
        <v>-3.6633719448079478E-2</v>
      </c>
    </row>
    <row r="9" spans="1:56" s="59" customFormat="1">
      <c r="A9" s="335"/>
      <c r="B9" s="73" t="s">
        <v>2125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105</v>
      </c>
      <c r="G9" s="73" t="str" cm="1">
        <f t="array" ref="G9">_xll.BDP(B9&amp;" Equity","QUOTED_CURRENCY_REALTIME")</f>
        <v>USD</v>
      </c>
      <c r="H9" s="42">
        <v>60</v>
      </c>
      <c r="I9" s="410">
        <v>43.12</v>
      </c>
      <c r="J9" s="416">
        <f>VLOOKUP(B9,Precificação!$B:$O,14,FALSE)</f>
        <v>39</v>
      </c>
      <c r="K9" s="74">
        <f t="shared" si="16"/>
        <v>39</v>
      </c>
      <c r="L9" s="74" cm="1">
        <f t="array" ref="L9">_xll.BDP($B9&amp;" Equity","mid")</f>
        <v>31.95</v>
      </c>
      <c r="M9" s="75">
        <f t="shared" si="0"/>
        <v>4.9122860964622317E-2</v>
      </c>
      <c r="N9" s="353"/>
      <c r="O9" s="75">
        <f t="shared" si="1"/>
        <v>-0.18076923076923079</v>
      </c>
      <c r="P9" s="74" cm="1">
        <f t="array" ref="P9">_xll.BDP($B9&amp;" Equity","bid")</f>
        <v>31.85</v>
      </c>
      <c r="Q9" s="74" cm="1">
        <f t="array" ref="Q9">_xll.BDP($B9&amp;" Equity","ask")</f>
        <v>32.049999999999997</v>
      </c>
      <c r="R9" s="76">
        <f t="shared" si="2"/>
        <v>6.2794348508632414E-3</v>
      </c>
      <c r="S9" s="74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3"/>
        <v>191700</v>
      </c>
      <c r="V9" s="113">
        <f>U9/'Master P&amp;L'!$AD$7*10000</f>
        <v>0.8502038762950167</v>
      </c>
      <c r="W9" s="113">
        <f>(Y9*H9*T9/S9)/'Master P&amp;L'!$AD$7*10000</f>
        <v>0.8502038762950167</v>
      </c>
      <c r="X9" s="118">
        <f t="shared" si="4"/>
        <v>0</v>
      </c>
      <c r="Y9" s="272">
        <f t="shared" si="5"/>
        <v>31.95</v>
      </c>
      <c r="Z9" s="77">
        <f>_xll.BDP(D9&amp;" Equity","LAST_PRICE")</f>
        <v>650.41</v>
      </c>
      <c r="AA9" s="77" cm="1">
        <f t="array" ref="AA9">_xll.BDP(B9&amp;" Equity","OPT_STRIKE_PX")</f>
        <v>690</v>
      </c>
      <c r="AB9" s="76">
        <f t="shared" si="6"/>
        <v>6.086929782752426E-2</v>
      </c>
      <c r="AC9" s="323" cm="1">
        <f t="array" ref="AC9">_xll.BDP($D9&amp;" Equity","volatility_10d")</f>
        <v>17.193186469995073</v>
      </c>
      <c r="AD9" s="77" cm="1">
        <f t="array" ref="AD9">_xll.BDP(B9&amp;" Equity","ivol_mid")</f>
        <v>32.100499999999997</v>
      </c>
      <c r="AE9" s="77">
        <f t="shared" si="7"/>
        <v>1.8670477433616293</v>
      </c>
      <c r="AF9" s="78" cm="1">
        <f t="array" ref="AF9">_xll.BDP(B9&amp;" Equity","DELTA_MID_RT")</f>
        <v>0.42501562833786011</v>
      </c>
      <c r="AG9" s="75">
        <f>AL9/'Master P&amp;L'!$AE$7</f>
        <v>7.356044163613568E-4</v>
      </c>
      <c r="AH9" s="75">
        <f>AM9/'Master P&amp;L'!$AE$7</f>
        <v>1.7307702759970008E-3</v>
      </c>
      <c r="AI9" s="439">
        <f>AO9/'Master P&amp;L'!$AD$7*10000</f>
        <v>-5.9678423704971869E-3</v>
      </c>
      <c r="AJ9" s="351">
        <f t="shared" si="8"/>
        <v>0.12229901228754193</v>
      </c>
      <c r="AK9" s="78">
        <f>AP9/'Master P&amp;L'!$AD$7*10000</f>
        <v>-0.18760367223411167</v>
      </c>
      <c r="AL9" s="42">
        <f t="shared" si="9"/>
        <v>1658606.4889633653</v>
      </c>
      <c r="AM9" s="42">
        <f t="shared" si="10"/>
        <v>3902460</v>
      </c>
      <c r="AN9" s="78" cm="1">
        <f t="array" ref="AN9">_xll.BDP($B9&amp;" Equity","theta_mid_rt")</f>
        <v>-0.22426687180995941</v>
      </c>
      <c r="AO9" s="42">
        <f t="shared" si="11"/>
        <v>-1345.6012308597565</v>
      </c>
      <c r="AP9" s="42">
        <f t="shared" si="12"/>
        <v>-42300.000000000007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2.2887999999999999E-2</v>
      </c>
      <c r="AS9" s="73">
        <f t="shared" si="13"/>
        <v>580942.9890883679</v>
      </c>
      <c r="AT9" s="73">
        <f t="shared" si="14"/>
        <v>2904714.9454418398</v>
      </c>
      <c r="AU9" s="73" t="s">
        <v>151</v>
      </c>
      <c r="AV9" s="322" cm="1">
        <f t="array" ref="AV9">_xll.BDP($D9&amp;" Equity","EST_PE_NXT_YR")*(AA9/Z9)</f>
        <v>20.739491140025311</v>
      </c>
      <c r="AW9" s="73"/>
      <c r="AX9" s="42"/>
      <c r="AY9" s="42">
        <v>31.95</v>
      </c>
      <c r="AZ9" s="355"/>
      <c r="BA9" s="42">
        <f t="shared" si="17"/>
        <v>31.95</v>
      </c>
      <c r="BB9" s="347">
        <f t="shared" si="15"/>
        <v>39</v>
      </c>
      <c r="BC9" s="347">
        <f t="shared" si="18"/>
        <v>42300.000000000007</v>
      </c>
      <c r="BD9" s="347">
        <f>BC9/'Master P&amp;L'!$AD$7*10000</f>
        <v>0.18760367223411167</v>
      </c>
    </row>
    <row r="10" spans="1:56">
      <c r="A10" s="357"/>
      <c r="B10" t="s">
        <v>2183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105</v>
      </c>
      <c r="G10" t="str" cm="1">
        <f t="array" ref="G10">_xll.BDP(B10&amp;" Equity","QUOTED_CURRENCY_REALTIME")</f>
        <v>USD</v>
      </c>
      <c r="H10" s="15">
        <v>-20</v>
      </c>
      <c r="I10" s="411">
        <v>22.96</v>
      </c>
      <c r="J10" s="416">
        <f>VLOOKUP(B10,Precificação!$B:$O,14,FALSE)</f>
        <v>17.925000000000001</v>
      </c>
      <c r="K10" s="74">
        <f t="shared" si="16"/>
        <v>17.925000000000001</v>
      </c>
      <c r="L10" s="74" cm="1">
        <f t="array" ref="L10">_xll.BDP($B10&amp;" Equity","mid")</f>
        <v>22.13</v>
      </c>
      <c r="M10" s="19">
        <f t="shared" si="0"/>
        <v>3.4024692117279869E-2</v>
      </c>
      <c r="N10" s="351"/>
      <c r="O10" s="19">
        <f t="shared" si="1"/>
        <v>0.23458856345885626</v>
      </c>
      <c r="P10" s="36" cm="1">
        <f t="array" ref="P10">_xll.BDP($B10&amp;" Equity","bid")</f>
        <v>22</v>
      </c>
      <c r="Q10" s="36" cm="1">
        <f t="array" ref="Q10">_xll.BDP($B10&amp;" Equity","ask")</f>
        <v>22.25</v>
      </c>
      <c r="R10" s="40">
        <f t="shared" si="2"/>
        <v>1.1363636363636465E-2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-44260</v>
      </c>
      <c r="V10" s="124">
        <f>U10/'Master P&amp;L'!$AD$7*10000</f>
        <v>-0.19629641922179153</v>
      </c>
      <c r="W10" s="124">
        <f>(Y10*H10*T10/S10)/'Master P&amp;L'!$AD$7*10000</f>
        <v>-0.19629641922179153</v>
      </c>
      <c r="X10" s="414">
        <f t="shared" si="4"/>
        <v>0</v>
      </c>
      <c r="Y10" s="273">
        <f t="shared" si="5"/>
        <v>22.13</v>
      </c>
      <c r="Z10" s="37">
        <f>_xll.BDP(D10&amp;" Equity","LAST_PRICE")</f>
        <v>650.41</v>
      </c>
      <c r="AA10" s="37" cm="1">
        <f t="array" ref="AA10">_xll.BDP(B10&amp;" Equity","OPT_STRIKE_PX")</f>
        <v>600</v>
      </c>
      <c r="AB10" s="40">
        <f t="shared" si="6"/>
        <v>-7.7504958410848479E-2</v>
      </c>
      <c r="AC10" s="324" cm="1">
        <f t="array" ref="AC10">_xll.BDP($D10&amp;" Equity","volatility_10d")</f>
        <v>17.193186469995073</v>
      </c>
      <c r="AD10" s="37" cm="1">
        <f t="array" ref="AD10">_xll.BDP(B10&amp;" Equity","ivol_mid")</f>
        <v>33.50853</v>
      </c>
      <c r="AE10" s="37">
        <f t="shared" si="7"/>
        <v>1.9489423940395152</v>
      </c>
      <c r="AF10" s="38" cm="1">
        <f t="array" ref="AF10">_xll.BDP(B10&amp;" Equity","DELTA_MID_RT")</f>
        <v>-0.27896606922149658</v>
      </c>
      <c r="AG10" s="19">
        <f>AL10/'Master P&amp;L'!$AE$7</f>
        <v>1.6094206020676269E-4</v>
      </c>
      <c r="AH10" s="19">
        <f>AM10/'Master P&amp;L'!$AE$7</f>
        <v>5.7692342533233361E-4</v>
      </c>
      <c r="AI10" s="438">
        <f>AO10/'Master P&amp;L'!$AD$7*10000</f>
        <v>1.684548244281535E-3</v>
      </c>
      <c r="AJ10" s="351">
        <f t="shared" si="8"/>
        <v>-3.4521452417179216E-2</v>
      </c>
      <c r="AK10" s="38">
        <f>AP10/'Master P&amp;L'!$AD$7*10000</f>
        <v>-3.7298980697136608E-2</v>
      </c>
      <c r="AL10" s="15">
        <f t="shared" si="9"/>
        <v>362884.64216470718</v>
      </c>
      <c r="AM10" s="15">
        <f t="shared" si="10"/>
        <v>1300820</v>
      </c>
      <c r="AN10" s="38" cm="1">
        <f t="array" ref="AN10">_xll.BDP($B10&amp;" Equity","theta_mid_rt")</f>
        <v>-0.18991203606128693</v>
      </c>
      <c r="AO10" s="15">
        <f t="shared" si="11"/>
        <v>379.82407212257385</v>
      </c>
      <c r="AP10" s="15">
        <f t="shared" si="12"/>
        <v>-8409.9999999999964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1.7749999999999998E-2</v>
      </c>
      <c r="AS10">
        <f t="shared" si="13"/>
        <v>-150176.77467549997</v>
      </c>
      <c r="AT10">
        <f t="shared" si="14"/>
        <v>-750883.87337749987</v>
      </c>
      <c r="AU10" t="s">
        <v>151</v>
      </c>
      <c r="AV10" s="277" cm="1">
        <f t="array" ref="AV10">_xll.BDP($D10&amp;" Equity","EST_PE_NXT_YR")*(AA10/Z10)</f>
        <v>18.03434012176114</v>
      </c>
      <c r="AX10" s="15"/>
      <c r="AY10" s="15">
        <v>22.13</v>
      </c>
      <c r="AZ10" s="356"/>
      <c r="BA10" s="15">
        <f t="shared" si="17"/>
        <v>22.13</v>
      </c>
      <c r="BB10" s="415">
        <f t="shared" si="15"/>
        <v>17.925000000000001</v>
      </c>
      <c r="BC10" s="415">
        <f t="shared" si="18"/>
        <v>8409.9999999999964</v>
      </c>
      <c r="BD10" s="415">
        <f>BC10/'Master P&amp;L'!$AD$7*10000</f>
        <v>3.7298980697136608E-2</v>
      </c>
    </row>
    <row r="11" spans="1:56" s="59" customFormat="1">
      <c r="A11" s="357"/>
      <c r="B11" t="s">
        <v>2184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105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11.3</v>
      </c>
      <c r="K11" s="74">
        <f t="shared" si="16"/>
        <v>11.3</v>
      </c>
      <c r="L11" s="74" cm="1">
        <f t="array" ref="L11">_xll.BDP($B11&amp;" Equity","mid")</f>
        <v>14.25</v>
      </c>
      <c r="M11" s="19">
        <f t="shared" si="0"/>
        <v>2.1909257237742348E-2</v>
      </c>
      <c r="N11" s="351"/>
      <c r="O11" s="19">
        <f t="shared" si="1"/>
        <v>0.26106194690265472</v>
      </c>
      <c r="P11" s="36" cm="1">
        <f t="array" ref="P11">_xll.BDP($B11&amp;" Equity","bid")</f>
        <v>14.15</v>
      </c>
      <c r="Q11" s="36" cm="1">
        <f t="array" ref="Q11">_xll.BDP($B11&amp;" Equity","ask")</f>
        <v>14.35</v>
      </c>
      <c r="R11" s="40">
        <f t="shared" si="2"/>
        <v>1.4134275618374437E-2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28500</v>
      </c>
      <c r="V11" s="124">
        <f>U11/'Master P&amp;L'!$AD$7*10000</f>
        <v>0.12639963732085538</v>
      </c>
      <c r="W11" s="124">
        <f>(Y11*H11*T11/S11)/'Master P&amp;L'!$AD$7*10000</f>
        <v>0.12639963732085538</v>
      </c>
      <c r="X11" s="414">
        <f t="shared" si="4"/>
        <v>0</v>
      </c>
      <c r="Y11" s="273">
        <f t="shared" si="5"/>
        <v>14.25</v>
      </c>
      <c r="Z11" s="37">
        <f>_xll.BDP(D11&amp;" Equity","LAST_PRICE")</f>
        <v>650.41</v>
      </c>
      <c r="AA11" s="37" cm="1">
        <f t="array" ref="AA11">_xll.BDP(B11&amp;" Equity","OPT_STRIKE_PX")</f>
        <v>570</v>
      </c>
      <c r="AB11" s="40">
        <f t="shared" si="6"/>
        <v>-0.12362971049030602</v>
      </c>
      <c r="AC11" s="324" cm="1">
        <f t="array" ref="AC11">_xll.BDP($D11&amp;" Equity","volatility_10d")</f>
        <v>17.193186469995073</v>
      </c>
      <c r="AD11" s="37" cm="1">
        <f t="array" ref="AD11">_xll.BDP(B11&amp;" Equity","ivol_mid")</f>
        <v>34.2727</v>
      </c>
      <c r="AE11" s="37">
        <f t="shared" si="7"/>
        <v>1.9933884890861548</v>
      </c>
      <c r="AF11" s="38" cm="1">
        <f t="array" ref="AF11">_xll.BDP(B11&amp;" Equity","DELTA_MID_RT")</f>
        <v>-0.19605813920497894</v>
      </c>
      <c r="AG11" s="19">
        <f>AL11/'Master P&amp;L'!$AE$7</f>
        <v>-1.1311053323441994E-4</v>
      </c>
      <c r="AH11" s="19">
        <f>AM11/'Master P&amp;L'!$AE$7</f>
        <v>-5.7692342533233361E-4</v>
      </c>
      <c r="AI11" s="438">
        <f>AO11/'Master P&amp;L'!$AD$7*10000</f>
        <v>-1.4179854815055694E-3</v>
      </c>
      <c r="AJ11" s="351">
        <f t="shared" si="8"/>
        <v>2.9058780889307915E-2</v>
      </c>
      <c r="AK11" s="38">
        <f>AP11/'Master P&amp;L'!$AD$7*10000</f>
        <v>2.6166942462913914E-2</v>
      </c>
      <c r="AL11" s="15">
        <f t="shared" si="9"/>
        <v>-255036.34864062068</v>
      </c>
      <c r="AM11" s="15">
        <f t="shared" si="10"/>
        <v>-1300820</v>
      </c>
      <c r="AN11" s="38" cm="1">
        <f t="array" ref="AN11">_xll.BDP($B11&amp;" Equity","theta_mid_rt")</f>
        <v>-0.15986037254333496</v>
      </c>
      <c r="AO11" s="15">
        <f t="shared" si="11"/>
        <v>-319.72074508666992</v>
      </c>
      <c r="AP11" s="15">
        <f t="shared" si="12"/>
        <v>5899.9999999999991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1.4049000000000001E-2</v>
      </c>
      <c r="AS11">
        <f t="shared" si="13"/>
        <v>118863.85957273802</v>
      </c>
      <c r="AT11">
        <f t="shared" si="14"/>
        <v>594319.29786368995</v>
      </c>
      <c r="AU11" t="s">
        <v>151</v>
      </c>
      <c r="AV11" s="277" cm="1">
        <f t="array" ref="AV11">_xll.BDP($D11&amp;" Equity","EST_PE_NXT_YR")*(AA11/Z11)</f>
        <v>17.132623115673084</v>
      </c>
      <c r="AW11"/>
      <c r="AX11" s="15"/>
      <c r="AY11" s="15">
        <v>14.25</v>
      </c>
      <c r="AZ11" s="356"/>
      <c r="BA11" s="15">
        <f t="shared" si="17"/>
        <v>14.25</v>
      </c>
      <c r="BB11" s="415">
        <f t="shared" si="15"/>
        <v>11.3</v>
      </c>
      <c r="BC11" s="415">
        <f t="shared" si="18"/>
        <v>-5899.9999999999982</v>
      </c>
      <c r="BD11" s="415">
        <f>BC11/'Master P&amp;L'!$AD$7*10000</f>
        <v>-2.6166942462913911E-2</v>
      </c>
    </row>
    <row r="12" spans="1:56" s="59" customFormat="1">
      <c r="A12" s="335"/>
      <c r="B12" s="73" t="s">
        <v>2108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77</v>
      </c>
      <c r="G12" s="73" t="str" cm="1">
        <f t="array" ref="G12">_xll.BDP(B12&amp;" Equity","QUOTED_CURRENCY_REALTIME")</f>
        <v>USD</v>
      </c>
      <c r="H12" s="42">
        <v>200</v>
      </c>
      <c r="I12" s="410">
        <v>7.36</v>
      </c>
      <c r="J12" s="416">
        <f>VLOOKUP(B12,Precificação!$B:$O,14,FALSE)</f>
        <v>10.375</v>
      </c>
      <c r="K12" s="74">
        <f t="shared" si="16"/>
        <v>10.375</v>
      </c>
      <c r="L12" s="74" cm="1">
        <f t="array" ref="L12">_xll.BDP($B12&amp;" Equity","mid")</f>
        <v>9.1</v>
      </c>
      <c r="M12" s="75">
        <f t="shared" si="0"/>
        <v>0.10183185434687735</v>
      </c>
      <c r="N12" s="353"/>
      <c r="O12" s="75">
        <f t="shared" si="1"/>
        <v>-0.12289156626506026</v>
      </c>
      <c r="P12" s="74" cm="1">
        <f t="array" ref="P12">_xll.BDP($B12&amp;" Equity","bid")</f>
        <v>8.9499999999999993</v>
      </c>
      <c r="Q12" s="74" cm="1">
        <f t="array" ref="Q12">_xll.BDP($B12&amp;" Equity","ask")</f>
        <v>9.25</v>
      </c>
      <c r="R12" s="76">
        <f t="shared" si="2"/>
        <v>3.3519553072625774E-2</v>
      </c>
      <c r="S12" s="74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 t="shared" si="3"/>
        <v>182000</v>
      </c>
      <c r="V12" s="113">
        <f>U12/'Master P&amp;L'!$AD$7*10000</f>
        <v>0.80718364885598881</v>
      </c>
      <c r="W12" s="113">
        <f>(Y12*H12*T12/S12)/'Master P&amp;L'!$AD$7*10000</f>
        <v>0.75068079343606953</v>
      </c>
      <c r="X12" s="118">
        <f t="shared" si="4"/>
        <v>0.63700000000000045</v>
      </c>
      <c r="Y12" s="272">
        <f t="shared" si="5"/>
        <v>8.4629999999999992</v>
      </c>
      <c r="Z12" s="77">
        <f>_xll.BDP(D12&amp;" Equity","LAST_PRICE")</f>
        <v>89.363</v>
      </c>
      <c r="AA12" s="77" cm="1">
        <f t="array" ref="AA12">_xll.BDP(B12&amp;" Equity","OPT_STRIKE_PX")</f>
        <v>90</v>
      </c>
      <c r="AB12" s="76">
        <f t="shared" si="6"/>
        <v>7.1282298042814052E-3</v>
      </c>
      <c r="AC12" s="323" cm="1">
        <f t="array" ref="AC12">_xll.BDP($D12&amp;" Equity","volatility_10d")</f>
        <v>30.939176969438019</v>
      </c>
      <c r="AD12" s="77" cm="1">
        <f t="array" ref="AD12">_xll.BDP(B12&amp;" Equity","ivol_mid")</f>
        <v>53.750239999999998</v>
      </c>
      <c r="AE12" s="77">
        <f t="shared" si="7"/>
        <v>1.7372873251636571</v>
      </c>
      <c r="AF12" s="78" cm="1">
        <f t="array" ref="AF12">_xll.BDP(B12&amp;" Equity","DELTA_MID_RT")</f>
        <v>-0.4527561366558075</v>
      </c>
      <c r="AG12" s="75">
        <f>AL12/'Master P&amp;L'!$AE$7</f>
        <v>-3.5888313413491525E-4</v>
      </c>
      <c r="AH12" s="75">
        <f>AM12/'Master P&amp;L'!$AE$7</f>
        <v>-7.926632133265682E-4</v>
      </c>
      <c r="AI12" s="439">
        <f>AO12/'Master P&amp;L'!$AD$7*10000</f>
        <v>-5.2229843270849971E-3</v>
      </c>
      <c r="AJ12" s="351">
        <f t="shared" si="8"/>
        <v>0.10703463408377369</v>
      </c>
      <c r="AK12" s="78">
        <f>AP12/'Master P&amp;L'!$AD$7*10000</f>
        <v>-0.11309441233971274</v>
      </c>
      <c r="AL12" s="42">
        <f t="shared" si="9"/>
        <v>-809192.9327994585</v>
      </c>
      <c r="AM12" s="42">
        <f t="shared" si="10"/>
        <v>-1787259.9999999998</v>
      </c>
      <c r="AN12" s="78" cm="1">
        <f t="array" ref="AN12">_xll.BDP($B12&amp;" Equity","theta_mid_rt")</f>
        <v>-5.8882705867290497E-2</v>
      </c>
      <c r="AO12" s="42">
        <f t="shared" si="11"/>
        <v>-1177.6541173458099</v>
      </c>
      <c r="AP12" s="42">
        <f t="shared" si="12"/>
        <v>-25500.000000000007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1.6053999999999999E-2</v>
      </c>
      <c r="AS12" s="73">
        <f t="shared" si="13"/>
        <v>25640.632515105201</v>
      </c>
      <c r="AT12" s="73">
        <f t="shared" si="14"/>
        <v>128203.16257552599</v>
      </c>
      <c r="AU12" s="73" t="s">
        <v>151</v>
      </c>
      <c r="AV12" s="322" cm="1">
        <f t="array" ref="AV12">_xll.BDP($D12&amp;" Equity","EST_PE_NXT_YR")*(AA12/Z12)</f>
        <v>23.913315721924516</v>
      </c>
      <c r="AW12" s="73"/>
      <c r="AX12" s="42"/>
      <c r="AY12" s="42">
        <v>9.1</v>
      </c>
      <c r="AZ12" s="355"/>
      <c r="BA12" s="42">
        <f t="shared" si="17"/>
        <v>9.1</v>
      </c>
      <c r="BB12" s="347">
        <f t="shared" si="15"/>
        <v>10.375</v>
      </c>
      <c r="BC12" s="347">
        <f t="shared" si="18"/>
        <v>25500.000000000007</v>
      </c>
      <c r="BD12" s="347">
        <f>BC12/'Master P&amp;L'!$AD$7*10000</f>
        <v>0.11309441233971274</v>
      </c>
    </row>
    <row r="13" spans="1:56" s="59" customFormat="1">
      <c r="A13" s="357"/>
      <c r="B13" t="s">
        <v>2162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77</v>
      </c>
      <c r="G13" t="str" cm="1">
        <f t="array" ref="G13">_xll.BDP(B13&amp;" Equity","QUOTED_CURRENCY_REALTIME")</f>
        <v>USD</v>
      </c>
      <c r="H13" s="15">
        <v>300</v>
      </c>
      <c r="I13" s="411">
        <v>9.1999999999999993</v>
      </c>
      <c r="J13" s="416">
        <f>VLOOKUP(B13,Precificação!$B:$O,14,FALSE)</f>
        <v>7.7</v>
      </c>
      <c r="K13" s="74">
        <f t="shared" si="16"/>
        <v>7.7</v>
      </c>
      <c r="L13" s="74" cm="1">
        <f t="array" ref="L13">_xll.BDP($B13&amp;" Equity","mid")</f>
        <v>6.6</v>
      </c>
      <c r="M13" s="19">
        <f t="shared" si="0"/>
        <v>7.3856070185647299E-2</v>
      </c>
      <c r="N13" s="351"/>
      <c r="O13" s="19">
        <f t="shared" si="1"/>
        <v>-0.1428571428571429</v>
      </c>
      <c r="P13" s="36" cm="1">
        <f t="array" ref="P13">_xll.BDP($B13&amp;" Equity","bid")</f>
        <v>6.45</v>
      </c>
      <c r="Q13" s="36" cm="1">
        <f t="array" ref="Q13">_xll.BDP($B13&amp;" Equity","ask")</f>
        <v>6.75</v>
      </c>
      <c r="R13" s="40">
        <f t="shared" si="2"/>
        <v>4.6511627906976605E-2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198000</v>
      </c>
      <c r="V13" s="124">
        <f>U13/'Master P&amp;L'!$AD$7*10000</f>
        <v>0.87814484875541621</v>
      </c>
      <c r="W13" s="124">
        <f>(Y13*H13*T13/S13)/'Master P&amp;L'!$AD$7*10000</f>
        <v>0.87814484875541621</v>
      </c>
      <c r="X13" s="414">
        <f t="shared" si="4"/>
        <v>0</v>
      </c>
      <c r="Y13" s="273">
        <f t="shared" si="5"/>
        <v>6.6</v>
      </c>
      <c r="Z13" s="37">
        <f>_xll.BDP(D13&amp;" Equity","LAST_PRICE")</f>
        <v>89.363</v>
      </c>
      <c r="AA13" s="37" cm="1">
        <f t="array" ref="AA13">_xll.BDP(B13&amp;" Equity","OPT_STRIKE_PX")</f>
        <v>85</v>
      </c>
      <c r="AB13" s="40">
        <f t="shared" si="6"/>
        <v>-4.8823338518178661E-2</v>
      </c>
      <c r="AC13" s="324" cm="1">
        <f t="array" ref="AC13">_xll.BDP($D13&amp;" Equity","volatility_10d")</f>
        <v>30.939176969438019</v>
      </c>
      <c r="AD13" s="37" cm="1">
        <f t="array" ref="AD13">_xll.BDP(B13&amp;" Equity","ivol_mid")</f>
        <v>54.657910000000001</v>
      </c>
      <c r="AE13" s="37">
        <f t="shared" si="7"/>
        <v>1.7666245632193625</v>
      </c>
      <c r="AF13" s="38" cm="1">
        <f t="array" ref="AF13">_xll.BDP(B13&amp;" Equity","DELTA_MID_RT")</f>
        <v>-0.36414861679077148</v>
      </c>
      <c r="AG13" s="19">
        <f>AL13/'Master P&amp;L'!$AE$7</f>
        <v>-4.3297081907069714E-4</v>
      </c>
      <c r="AH13" s="19">
        <f>AM13/'Master P&amp;L'!$AE$7</f>
        <v>-1.1889948199898526E-3</v>
      </c>
      <c r="AI13" s="438">
        <f>AO13/'Master P&amp;L'!$AD$7*10000</f>
        <v>-7.4524345074965413E-3</v>
      </c>
      <c r="AJ13" s="351">
        <f t="shared" si="8"/>
        <v>0.15272276357535383</v>
      </c>
      <c r="AK13" s="38">
        <f>AP13/'Master P&amp;L'!$AD$7*10000</f>
        <v>-0.14635747479256944</v>
      </c>
      <c r="AL13" s="15">
        <f t="shared" si="9"/>
        <v>-976242.38526821136</v>
      </c>
      <c r="AM13" s="15">
        <f t="shared" si="10"/>
        <v>-2680890</v>
      </c>
      <c r="AN13" s="38" cm="1">
        <f t="array" ref="AN13">_xll.BDP($B13&amp;" Equity","theta_mid_rt")</f>
        <v>-5.6011337786912918E-2</v>
      </c>
      <c r="AO13" s="15">
        <f t="shared" si="11"/>
        <v>-1680.3401336073875</v>
      </c>
      <c r="AP13" s="15">
        <f t="shared" si="12"/>
        <v>-33000.000000000015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1.5665999999999999E-2</v>
      </c>
      <c r="AS13">
        <f t="shared" si="13"/>
        <v>37531.407965146202</v>
      </c>
      <c r="AT13">
        <f t="shared" si="14"/>
        <v>187657.03982573102</v>
      </c>
      <c r="AU13" t="s">
        <v>151</v>
      </c>
      <c r="AV13" s="277" cm="1">
        <f t="array" ref="AV13">_xll.BDP($D13&amp;" Equity","EST_PE_NXT_YR")*(AA13/Z13)</f>
        <v>22.584798181817597</v>
      </c>
      <c r="AW13"/>
      <c r="AX13" s="15"/>
      <c r="AY13" s="15">
        <v>6.6</v>
      </c>
      <c r="AZ13" s="356"/>
      <c r="BA13" s="15">
        <f t="shared" si="17"/>
        <v>6.6</v>
      </c>
      <c r="BB13" s="415">
        <f t="shared" si="15"/>
        <v>7.7</v>
      </c>
      <c r="BC13" s="415">
        <f t="shared" si="18"/>
        <v>33000.000000000015</v>
      </c>
      <c r="BD13" s="415">
        <f>BC13/'Master P&amp;L'!$AD$7*10000</f>
        <v>0.14635747479256944</v>
      </c>
    </row>
    <row r="14" spans="1:56" s="59" customFormat="1">
      <c r="A14" s="335"/>
      <c r="B14" s="73" t="s">
        <v>2107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USD</v>
      </c>
      <c r="H14" s="42">
        <v>-400</v>
      </c>
      <c r="I14" s="410">
        <v>3.91</v>
      </c>
      <c r="J14" s="416">
        <f>VLOOKUP(B14,Precificação!$B:$O,14,FALSE)</f>
        <v>5.375</v>
      </c>
      <c r="K14" s="74">
        <f t="shared" si="16"/>
        <v>5.375</v>
      </c>
      <c r="L14" s="74" cm="1">
        <f t="array" ref="L14">_xll.BDP($B14&amp;" Equity","mid")</f>
        <v>4.63</v>
      </c>
      <c r="M14" s="75">
        <f t="shared" si="0"/>
        <v>5.1811152266598035E-2</v>
      </c>
      <c r="N14" s="353"/>
      <c r="O14" s="75">
        <f t="shared" si="1"/>
        <v>-0.13860465116279075</v>
      </c>
      <c r="P14" s="74" cm="1">
        <f t="array" ref="P14">_xll.BDP($B14&amp;" Equity","bid")</f>
        <v>4.55</v>
      </c>
      <c r="Q14" s="74" cm="1">
        <f t="array" ref="Q14">_xll.BDP($B14&amp;" Equity","ask")</f>
        <v>4.7</v>
      </c>
      <c r="R14" s="76">
        <f t="shared" si="2"/>
        <v>3.2967032967033072E-2</v>
      </c>
      <c r="S14" s="74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3"/>
        <v>-185200</v>
      </c>
      <c r="V14" s="113">
        <f>U14/'Master P&amp;L'!$AD$7*10000</f>
        <v>-0.8213758888358742</v>
      </c>
      <c r="W14" s="113">
        <f>(Y14*H14*T14/S14)/'Master P&amp;L'!$AD$7*10000</f>
        <v>-0.8213758888358742</v>
      </c>
      <c r="X14" s="118">
        <f t="shared" si="4"/>
        <v>0</v>
      </c>
      <c r="Y14" s="272">
        <f t="shared" si="5"/>
        <v>4.63</v>
      </c>
      <c r="Z14" s="77">
        <f>_xll.BDP(D14&amp;" Equity","LAST_PRICE")</f>
        <v>89.363</v>
      </c>
      <c r="AA14" s="77" cm="1">
        <f t="array" ref="AA14">_xll.BDP(B14&amp;" Equity","OPT_STRIKE_PX")</f>
        <v>80</v>
      </c>
      <c r="AB14" s="76">
        <f t="shared" si="6"/>
        <v>-0.10477490684063873</v>
      </c>
      <c r="AC14" s="323" cm="1">
        <f t="array" ref="AC14">_xll.BDP($D14&amp;" Equity","volatility_10d")</f>
        <v>30.939176969438019</v>
      </c>
      <c r="AD14" s="77" cm="1">
        <f t="array" ref="AD14">_xll.BDP(B14&amp;" Equity","ivol_mid")</f>
        <v>54.400230000000001</v>
      </c>
      <c r="AE14" s="77">
        <f t="shared" si="7"/>
        <v>1.7582959641666296</v>
      </c>
      <c r="AF14" s="78" cm="1">
        <f t="array" ref="AF14">_xll.BDP(B14&amp;" Equity","DELTA_MID_RT")</f>
        <v>-0.28099870681762695</v>
      </c>
      <c r="AG14" s="75">
        <f>AL14/'Master P&amp;L'!$AE$7</f>
        <v>4.4547467577334089E-4</v>
      </c>
      <c r="AH14" s="75">
        <f>AM14/'Master P&amp;L'!$AE$7</f>
        <v>1.5853264266531364E-3</v>
      </c>
      <c r="AI14" s="439">
        <f>AO14/'Master P&amp;L'!$AD$7*10000</f>
        <v>9.0419644363819909E-3</v>
      </c>
      <c r="AJ14" s="351">
        <f t="shared" si="8"/>
        <v>-0.18529700535915314</v>
      </c>
      <c r="AK14" s="78">
        <f>AP14/'Master P&amp;L'!$AD$7*10000</f>
        <v>0.13216523481268391</v>
      </c>
      <c r="AL14" s="42">
        <f t="shared" si="9"/>
        <v>1004435.4974937438</v>
      </c>
      <c r="AM14" s="42">
        <f t="shared" si="10"/>
        <v>3574519.9999999995</v>
      </c>
      <c r="AN14" s="78" cm="1">
        <f t="array" ref="AN14">_xll.BDP($B14&amp;" Equity","theta_mid_rt")</f>
        <v>-5.096849799156189E-2</v>
      </c>
      <c r="AO14" s="42">
        <f t="shared" si="11"/>
        <v>2038.7399196624756</v>
      </c>
      <c r="AP14" s="42">
        <f t="shared" si="12"/>
        <v>29800.000000000007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1.4545000000000001E-2</v>
      </c>
      <c r="AS14" s="73">
        <f t="shared" si="13"/>
        <v>-46461.068884042004</v>
      </c>
      <c r="AT14" s="73">
        <f t="shared" si="14"/>
        <v>-232305.34442021002</v>
      </c>
      <c r="AU14" s="73" t="s">
        <v>151</v>
      </c>
      <c r="AV14" s="322" cm="1">
        <f t="array" ref="AV14">_xll.BDP($D14&amp;" Equity","EST_PE_NXT_YR")*(AA14/Z14)</f>
        <v>21.256280641710681</v>
      </c>
      <c r="AW14" s="73"/>
      <c r="AX14" s="42"/>
      <c r="AY14" s="42">
        <v>4.63</v>
      </c>
      <c r="AZ14" s="355"/>
      <c r="BA14" s="42">
        <f t="shared" si="17"/>
        <v>4.63</v>
      </c>
      <c r="BB14" s="347">
        <f t="shared" si="15"/>
        <v>5.375</v>
      </c>
      <c r="BC14" s="347">
        <f t="shared" si="18"/>
        <v>-29800.000000000007</v>
      </c>
      <c r="BD14" s="347">
        <f>BC14/'Master P&amp;L'!$AD$7*10000</f>
        <v>-0.13216523481268391</v>
      </c>
    </row>
    <row r="15" spans="1:56">
      <c r="A15" s="357"/>
      <c r="B15" t="s">
        <v>2163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USD</v>
      </c>
      <c r="H15" s="15">
        <v>-100</v>
      </c>
      <c r="I15" s="411">
        <v>4.5999999999999996</v>
      </c>
      <c r="J15" s="416">
        <f>VLOOKUP(B15,Precificação!$B:$O,14,FALSE)</f>
        <v>3.6749999999999998</v>
      </c>
      <c r="K15" s="74">
        <f t="shared" si="16"/>
        <v>3.6749999999999998</v>
      </c>
      <c r="L15" s="74" cm="1">
        <f t="array" ref="L15">_xll.BDP($B15&amp;" Equity","mid")</f>
        <v>3.08</v>
      </c>
      <c r="M15" s="19">
        <f t="shared" si="0"/>
        <v>3.4466166086635407E-2</v>
      </c>
      <c r="N15" s="351"/>
      <c r="O15" s="19">
        <f t="shared" si="1"/>
        <v>-0.16190476190476188</v>
      </c>
      <c r="P15" s="36" cm="1">
        <f t="array" ref="P15">_xll.BDP($B15&amp;" Equity","bid")</f>
        <v>3</v>
      </c>
      <c r="Q15" s="36" cm="1">
        <f t="array" ref="Q15">_xll.BDP($B15&amp;" Equity","ask")</f>
        <v>3.15</v>
      </c>
      <c r="R15" s="40">
        <f t="shared" si="2"/>
        <v>5.0000000000000044E-2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-30800</v>
      </c>
      <c r="V15" s="124">
        <f>U15/'Master P&amp;L'!$AD$7*10000</f>
        <v>-0.13660030980639809</v>
      </c>
      <c r="W15" s="124">
        <f>(Y15*H15*T15/S15)/'Master P&amp;L'!$AD$7*10000</f>
        <v>-0.13660030980639809</v>
      </c>
      <c r="X15" s="414">
        <f t="shared" si="4"/>
        <v>0</v>
      </c>
      <c r="Y15" s="273">
        <f t="shared" si="5"/>
        <v>3.08</v>
      </c>
      <c r="Z15" s="37">
        <f>_xll.BDP(D15&amp;" Equity","LAST_PRICE")</f>
        <v>89.363</v>
      </c>
      <c r="AA15" s="37" cm="1">
        <f t="array" ref="AA15">_xll.BDP(B15&amp;" Equity","OPT_STRIKE_PX")</f>
        <v>75</v>
      </c>
      <c r="AB15" s="40">
        <f t="shared" si="6"/>
        <v>-0.16072647516309879</v>
      </c>
      <c r="AC15" s="324" cm="1">
        <f t="array" ref="AC15">_xll.BDP($D15&amp;" Equity","volatility_10d")</f>
        <v>30.939176969438019</v>
      </c>
      <c r="AD15" s="37" cm="1">
        <f t="array" ref="AD15">_xll.BDP(B15&amp;" Equity","ivol_mid")</f>
        <v>54.531309999999998</v>
      </c>
      <c r="AE15" s="37">
        <f t="shared" si="7"/>
        <v>1.7625326638089465</v>
      </c>
      <c r="AF15" s="38" cm="1">
        <f t="array" ref="AF15">_xll.BDP(B15&amp;" Equity","DELTA_MID_RT")</f>
        <v>-0.20527209341526031</v>
      </c>
      <c r="AG15" s="19">
        <f>AL15/'Master P&amp;L'!$AE$7</f>
        <v>8.1355818586405877E-5</v>
      </c>
      <c r="AH15" s="19">
        <f>AM15/'Master P&amp;L'!$AE$7</f>
        <v>3.963316066632841E-4</v>
      </c>
      <c r="AI15" s="438">
        <f>AO15/'Master P&amp;L'!$AD$7*10000</f>
        <v>1.9276909562260269E-3</v>
      </c>
      <c r="AJ15" s="351">
        <f t="shared" si="8"/>
        <v>-3.950417677041114E-2</v>
      </c>
      <c r="AK15" s="38">
        <f>AP15/'Master P&amp;L'!$AD$7*10000</f>
        <v>2.6388696212599618E-2</v>
      </c>
      <c r="AL15" s="15">
        <f t="shared" si="9"/>
        <v>183437.30083867908</v>
      </c>
      <c r="AM15" s="15">
        <f t="shared" si="10"/>
        <v>893629.99999999988</v>
      </c>
      <c r="AN15" s="38" cm="1">
        <f t="array" ref="AN15">_xll.BDP($B15&amp;" Equity","theta_mid_rt")</f>
        <v>-4.3464675545692444E-2</v>
      </c>
      <c r="AO15" s="15">
        <f t="shared" si="11"/>
        <v>434.64675545692444</v>
      </c>
      <c r="AP15" s="15">
        <f t="shared" si="12"/>
        <v>5949.9999999999973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1.2605E-2</v>
      </c>
      <c r="AS15">
        <f t="shared" si="13"/>
        <v>-10066.032541824501</v>
      </c>
      <c r="AT15">
        <f t="shared" si="14"/>
        <v>-50330.162709122502</v>
      </c>
      <c r="AU15" t="s">
        <v>151</v>
      </c>
      <c r="AV15" s="277" cm="1">
        <f t="array" ref="AV15">_xll.BDP($D15&amp;" Equity","EST_PE_NXT_YR")*(AA15/Z15)</f>
        <v>19.927763101603762</v>
      </c>
      <c r="AX15" s="15"/>
      <c r="AY15" s="15">
        <v>3.08</v>
      </c>
      <c r="AZ15" s="356"/>
      <c r="BA15" s="15">
        <f t="shared" si="17"/>
        <v>3.08</v>
      </c>
      <c r="BB15" s="415">
        <f t="shared" si="15"/>
        <v>3.6749999999999998</v>
      </c>
      <c r="BC15" s="415">
        <f t="shared" si="18"/>
        <v>-5949.9999999999973</v>
      </c>
      <c r="BD15" s="415">
        <f>BC15/'Master P&amp;L'!$AD$7*10000</f>
        <v>-2.6388696212599618E-2</v>
      </c>
    </row>
    <row r="16" spans="1:56">
      <c r="B16" t="s">
        <v>2255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QQQ US</v>
      </c>
      <c r="E16" t="str" cm="1">
        <f t="array" ref="E16">_xll.BDP($B16&amp;" Equity","mifid_Maturity_date")</f>
        <v>02/01/2026</v>
      </c>
      <c r="F16" cm="1">
        <f t="array" ref="F16">_xll.BDP($B16&amp;" Equity","opt_days_expire")</f>
        <v>0</v>
      </c>
      <c r="G16" t="str" cm="1">
        <f t="array" ref="G16">_xll.BDP(B16&amp;" Equity","QUOTED_CURRENCY_REALTIME")</f>
        <v>USD</v>
      </c>
      <c r="H16" s="15">
        <v>163</v>
      </c>
      <c r="I16" s="411"/>
      <c r="J16" s="416">
        <f>VLOOKUP(B16,Precificação!$B:$O,14,FALSE)</f>
        <v>0.95</v>
      </c>
      <c r="K16" s="74">
        <f t="shared" si="16"/>
        <v>0.95</v>
      </c>
      <c r="L16" s="74" cm="1">
        <f t="array" ref="L16">_xll.BDP($B16&amp;" Equity","mid")</f>
        <v>0.72</v>
      </c>
      <c r="M16" s="19">
        <f t="shared" si="0"/>
        <v>1.1743215031315239E-3</v>
      </c>
      <c r="N16" s="351"/>
      <c r="O16" s="19">
        <f t="shared" si="1"/>
        <v>-0.24210526315789471</v>
      </c>
      <c r="P16" s="36" cm="1">
        <f t="array" ref="P16">_xll.BDP($B16&amp;" Equity","bid")</f>
        <v>0.63</v>
      </c>
      <c r="Q16" s="36" cm="1">
        <f t="array" ref="Q16">_xll.BDP($B16&amp;" Equity","ask")</f>
        <v>0.8</v>
      </c>
      <c r="R16" s="40">
        <f t="shared" si="2"/>
        <v>0.26984126984126999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11736</v>
      </c>
      <c r="V16" s="124">
        <f>U16/'Master P&amp;L'!$AD$7*10000</f>
        <v>5.2050040126230129E-2</v>
      </c>
      <c r="W16" s="124">
        <f>(Y16*H16*T16/S16)/'Master P&amp;L'!$AD$7*10000</f>
        <v>-1.1566675583606368E-2</v>
      </c>
      <c r="X16" s="414">
        <f t="shared" si="4"/>
        <v>0.87999999999999545</v>
      </c>
      <c r="Y16" s="273">
        <f t="shared" si="5"/>
        <v>-0.15999999999999548</v>
      </c>
      <c r="Z16" s="37">
        <f>_xll.BDP(D16&amp;" Equity","LAST_PRICE")</f>
        <v>613.12</v>
      </c>
      <c r="AA16" s="37" cm="1">
        <f t="array" ref="AA16">_xll.BDP(B16&amp;" Equity","OPT_STRIKE_PX")</f>
        <v>614</v>
      </c>
      <c r="AB16" s="40">
        <f t="shared" si="6"/>
        <v>1.4352818371607956E-3</v>
      </c>
      <c r="AC16" s="324" cm="1">
        <f t="array" ref="AC16">_xll.BDP($D16&amp;" Equity","volatility_10d")</f>
        <v>12.185752603857578</v>
      </c>
      <c r="AD16" s="37" cm="1">
        <f t="array" ref="AD16">_xll.BDP(B16&amp;" Equity","ivol_mid")</f>
        <v>13.79693</v>
      </c>
      <c r="AE16" s="37">
        <f t="shared" si="7"/>
        <v>1.1322181278842294</v>
      </c>
      <c r="AF16" s="38" cm="1">
        <f t="array" ref="AF16">_xll.BDP(B16&amp;" Equity","DELTA_MID_RT")</f>
        <v>-1</v>
      </c>
      <c r="AG16" s="19">
        <f>AL16/'Master P&amp;L'!$AE$7</f>
        <v>-4.4323500836380859E-3</v>
      </c>
      <c r="AH16" s="19">
        <f>AM16/'Master P&amp;L'!$AE$7</f>
        <v>-4.4323500836380859E-3</v>
      </c>
      <c r="AI16" s="438">
        <f>AO16/'Master P&amp;L'!$AD$7*10000</f>
        <v>0</v>
      </c>
      <c r="AJ16" s="351">
        <f t="shared" si="8"/>
        <v>0</v>
      </c>
      <c r="AK16" s="38">
        <f>AP16/'Master P&amp;L'!$AD$7*10000</f>
        <v>-1.6627096151434623E-2</v>
      </c>
      <c r="AL16" s="15">
        <f t="shared" si="9"/>
        <v>-9993856</v>
      </c>
      <c r="AM16" s="15">
        <f t="shared" si="10"/>
        <v>-9993856</v>
      </c>
      <c r="AN16" s="38" cm="1">
        <f t="array" ref="AN16">_xll.BDP($B16&amp;" Equity","theta_mid_rt")</f>
        <v>0</v>
      </c>
      <c r="AO16" s="15">
        <f t="shared" si="11"/>
        <v>0</v>
      </c>
      <c r="AP16" s="15">
        <f t="shared" si="12"/>
        <v>-3749</v>
      </c>
      <c r="AQ16" s="36" t="str" cm="1">
        <f t="array" ref="AQ16">_xll.BDP($D16&amp;" Equity","EXPECTED_REPORT_DT")</f>
        <v>#N/A N/A</v>
      </c>
      <c r="AR16" s="66" cm="1">
        <f t="array" ref="AR16">_xll.BDP($B16&amp;" Equity","GAMMA_LAST")</f>
        <v>0.45700800000000003</v>
      </c>
      <c r="AS16">
        <f t="shared" si="13"/>
        <v>28002858.962229662</v>
      </c>
      <c r="AT16">
        <f t="shared" si="14"/>
        <v>140014294.81114832</v>
      </c>
      <c r="AU16" t="s">
        <v>151</v>
      </c>
      <c r="AV16" s="277" t="e" cm="1">
        <f t="array" ref="AV16">_xll.BDP($D16&amp;" Equity","EST_PE_NXT_YR")*(AA16/Z16)</f>
        <v>#VALUE!</v>
      </c>
      <c r="AX16" s="15"/>
      <c r="AY16" s="15">
        <v>0.72</v>
      </c>
      <c r="AZ16" s="356"/>
      <c r="BA16" s="15">
        <f t="shared" si="17"/>
        <v>0.72</v>
      </c>
      <c r="BB16" s="415">
        <f t="shared" si="15"/>
        <v>0.95</v>
      </c>
      <c r="BC16" s="415">
        <f t="shared" si="18"/>
        <v>3748.9999999999995</v>
      </c>
      <c r="BD16" s="415">
        <f>BC16/'Master P&amp;L'!$AD$7*10000</f>
        <v>1.6627096151434623E-2</v>
      </c>
    </row>
    <row r="17" spans="1:56" s="59" customFormat="1">
      <c r="A17" s="14"/>
      <c r="B17" s="59" t="s">
        <v>2260</v>
      </c>
      <c r="C17" s="59" t="str" cm="1">
        <f t="array" ref="C17">_xll.BDP($B17&amp;" Equity","opt_put_call")</f>
        <v>Put</v>
      </c>
      <c r="D17" s="59" t="str" cm="1">
        <f t="array" ref="D17">_xll.BDP(B17&amp;" Equity","OPT_UNDL_TICKER")</f>
        <v>QQQ US</v>
      </c>
      <c r="E17" s="59" t="str" cm="1">
        <f t="array" ref="E17">_xll.BDP($B17&amp;" Equity","mifid_Maturity_date")</f>
        <v>09/01/2026</v>
      </c>
      <c r="F17" s="59" cm="1">
        <f t="array" ref="F17">_xll.BDP($B17&amp;" Equity","opt_days_expire")</f>
        <v>7</v>
      </c>
      <c r="G17" s="59" t="str" cm="1">
        <f t="array" ref="G17">_xll.BDP(B17&amp;" Equity","QUOTED_CURRENCY_REALTIME")</f>
        <v>USD</v>
      </c>
      <c r="H17" s="405">
        <v>56</v>
      </c>
      <c r="I17" s="412">
        <v>8.3699999999999992</v>
      </c>
      <c r="J17" s="14">
        <v>2.69</v>
      </c>
      <c r="K17" s="14">
        <f t="shared" ref="K17" si="19">+J17</f>
        <v>2.69</v>
      </c>
      <c r="L17" s="14" cm="1">
        <f t="array" ref="L17">_xll.BDP($B17&amp;" Equity","mid")</f>
        <v>3.87</v>
      </c>
      <c r="M17" s="128">
        <f t="shared" ref="M17" si="20">L17/Z17</f>
        <v>6.3119780793319414E-3</v>
      </c>
      <c r="N17" s="429"/>
      <c r="O17" s="128">
        <f t="shared" ref="O17" si="21">L17/K17-1</f>
        <v>0.4386617100371748</v>
      </c>
      <c r="P17" s="14" cm="1">
        <f t="array" ref="P17">_xll.BDP($B17&amp;" Equity","bid")</f>
        <v>3.84</v>
      </c>
      <c r="Q17" s="14" cm="1">
        <f t="array" ref="Q17">_xll.BDP($B17&amp;" Equity","ask")</f>
        <v>3.89</v>
      </c>
      <c r="R17" s="427">
        <f t="shared" ref="R17" si="22">(Q17/P17-1)</f>
        <v>1.3020833333333481E-2</v>
      </c>
      <c r="S17" s="14" cm="1">
        <f t="array" ref="S17">_xll.BDP(G17&amp;" Curncy","PX_LAST")</f>
        <v>1</v>
      </c>
      <c r="T17" s="405" cm="1">
        <f t="array" ref="T17">_xll.BDP(B17&amp;" Equity","OPT_MULTIPLIER")</f>
        <v>100</v>
      </c>
      <c r="U17" s="405">
        <f t="shared" ref="U17" si="23">(L17/S17)*H17*T17</f>
        <v>21672</v>
      </c>
      <c r="V17" s="430">
        <f>U17/'Master P&amp;L'!$AD$7*10000</f>
        <v>9.6116945263774664E-2</v>
      </c>
      <c r="W17" s="430">
        <f>(Y17*H17*T17/S17)/'Master P&amp;L'!$AD$7*10000</f>
        <v>9.6116945263774664E-2</v>
      </c>
      <c r="X17" s="431">
        <f t="shared" ref="X17" si="24">IF(C17="Put",IF(Z17&lt;AA17,AA17-Z17,0),IF(Z17&gt;AA17,Z17-AA17,0))</f>
        <v>0</v>
      </c>
      <c r="Y17" s="432">
        <f t="shared" ref="Y17" si="25">L17-X17</f>
        <v>3.87</v>
      </c>
      <c r="Z17" s="433">
        <f>_xll.BDP(D17&amp;" Equity","LAST_PRICE")</f>
        <v>613.12</v>
      </c>
      <c r="AA17" s="433" cm="1">
        <f t="array" ref="AA17">_xll.BDP(B17&amp;" Equity","OPT_STRIKE_PX")</f>
        <v>610</v>
      </c>
      <c r="AB17" s="427">
        <f t="shared" ref="AB17" si="26">AA17/Z17-1</f>
        <v>-5.0887265135699522E-3</v>
      </c>
      <c r="AC17" s="434" cm="1">
        <f t="array" ref="AC17">_xll.BDP($D17&amp;" Equity","volatility_10d")</f>
        <v>12.185752603857578</v>
      </c>
      <c r="AD17" s="433" cm="1">
        <f t="array" ref="AD17">_xll.BDP(B17&amp;" Equity","ivol_mid")</f>
        <v>16.494350000000001</v>
      </c>
      <c r="AE17" s="433">
        <f t="shared" ref="AE17" si="27">AD17/AC17</f>
        <v>1.3535766346330118</v>
      </c>
      <c r="AF17" s="435" cm="1">
        <f t="array" ref="AF17">_xll.BDP(B17&amp;" Equity","DELTA_MID_RT")</f>
        <v>-0.39354193210601807</v>
      </c>
      <c r="AG17" s="128">
        <f>AL17/'Master P&amp;L'!$AE$7</f>
        <v>-5.9927407655442557E-4</v>
      </c>
      <c r="AH17" s="128">
        <f>AM17/'Master P&amp;L'!$AE$7</f>
        <v>-1.5227705808817963E-3</v>
      </c>
      <c r="AI17" s="444">
        <f>AO17/'Master P&amp;L'!$AD$7*10000</f>
        <v>-9.3991848916599088E-3</v>
      </c>
      <c r="AJ17" s="429">
        <f t="shared" ref="AJ17" si="28">(252*AI17)/$AI$1</f>
        <v>0.19261752526185216</v>
      </c>
      <c r="AK17" s="435">
        <f>AP17/'Master P&amp;L'!$AD$7*10000</f>
        <v>2.9306975558463594E-2</v>
      </c>
      <c r="AL17" s="405">
        <f t="shared" ref="AL17" si="29">Z17*AF17*H17*T17/S17</f>
        <v>-1351215.2047119141</v>
      </c>
      <c r="AM17" s="405">
        <f t="shared" ref="AM17" si="30">IF(C17="Put",-Z17*H17*T17/S17,Z17*H17*T17/S17)</f>
        <v>-3433472</v>
      </c>
      <c r="AN17" s="435" cm="1">
        <f t="array" ref="AN17">_xll.BDP($B17&amp;" Equity","theta_mid_rt")</f>
        <v>-0.37844362854957581</v>
      </c>
      <c r="AO17" s="405">
        <f t="shared" ref="AO17" si="31">AN17*H17*T17/S17</f>
        <v>-2119.2843198776245</v>
      </c>
      <c r="AP17" s="405">
        <f t="shared" ref="AP17" si="32">(L17-K17)*T17/S17*H17</f>
        <v>6608.0000000000009</v>
      </c>
      <c r="AQ17" s="14" t="str" cm="1">
        <f t="array" ref="AQ17">_xll.BDP($D17&amp;" Equity","EXPECTED_REPORT_DT")</f>
        <v>#N/A N/A</v>
      </c>
      <c r="AR17" s="114" cm="1">
        <f t="array" ref="AR17">_xll.BDP($B17&amp;" Equity","GAMMA_LAST")</f>
        <v>0.14840300000000001</v>
      </c>
      <c r="AS17" s="59">
        <f t="shared" si="13"/>
        <v>3124076.5972283399</v>
      </c>
      <c r="AT17" s="59">
        <f t="shared" si="14"/>
        <v>15620382.986141698</v>
      </c>
      <c r="AU17" s="59" t="s">
        <v>151</v>
      </c>
      <c r="AV17" s="337" t="e" cm="1">
        <f t="array" ref="AV17">_xll.BDP($D17&amp;" Equity","EST_PE_NXT_YR")*(AA17/Z17)</f>
        <v>#VALUE!</v>
      </c>
      <c r="AX17" s="405"/>
      <c r="AY17" s="405">
        <v>3.87</v>
      </c>
      <c r="AZ17" s="436"/>
      <c r="BA17" s="405">
        <f t="shared" ref="BA17" si="33">+AY17</f>
        <v>3.87</v>
      </c>
      <c r="BB17" s="437">
        <f t="shared" ref="BB17" si="34">+J17</f>
        <v>2.69</v>
      </c>
      <c r="BC17" s="437">
        <f t="shared" ref="BC17" si="35">(BB17-BA17)*H17*100</f>
        <v>-6608.0000000000009</v>
      </c>
      <c r="BD17" s="437">
        <f>BC17/'Master P&amp;L'!$AD$7*10000</f>
        <v>-2.9306975558463594E-2</v>
      </c>
    </row>
    <row r="18" spans="1:56" s="59" customFormat="1">
      <c r="A18" s="335"/>
      <c r="B18" s="73" t="s">
        <v>2096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MSFT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77</v>
      </c>
      <c r="G18" s="73" t="str" cm="1">
        <f t="array" ref="G18">_xll.BDP(B18&amp;" Equity","QUOTED_CURRENCY_REALTIME")</f>
        <v>USD</v>
      </c>
      <c r="H18" s="42">
        <v>-125</v>
      </c>
      <c r="I18" s="410">
        <v>15.9</v>
      </c>
      <c r="J18" s="416">
        <f>VLOOKUP(B18,Precificação!$B:$O,14,FALSE)</f>
        <v>12.425000000000001</v>
      </c>
      <c r="K18" s="74">
        <f t="shared" si="16"/>
        <v>12.425000000000001</v>
      </c>
      <c r="L18" s="74" cm="1">
        <f t="array" ref="L18">_xll.BDP($B18&amp;" Equity","mid")</f>
        <v>8.1999999999999993</v>
      </c>
      <c r="M18" s="75">
        <f t="shared" si="0"/>
        <v>1.7338351587939272E-2</v>
      </c>
      <c r="N18" s="353"/>
      <c r="O18" s="75">
        <f t="shared" si="1"/>
        <v>-0.34004024144869227</v>
      </c>
      <c r="P18" s="74" cm="1">
        <f t="array" ref="P18">_xll.BDP($B18&amp;" Equity","bid")</f>
        <v>8.1</v>
      </c>
      <c r="Q18" s="74" cm="1">
        <f t="array" ref="Q18">_xll.BDP($B18&amp;" Equity","ask")</f>
        <v>8.3000000000000007</v>
      </c>
      <c r="R18" s="76">
        <f t="shared" si="2"/>
        <v>2.4691358024691468E-2</v>
      </c>
      <c r="S18" s="74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3"/>
        <v>-102500</v>
      </c>
      <c r="V18" s="113">
        <f>U18/'Master P&amp;L'!$AD$7*10000</f>
        <v>-0.45459518685570793</v>
      </c>
      <c r="W18" s="113">
        <f>(Y18*H18*T18/S18)/'Master P&amp;L'!$AD$7*10000</f>
        <v>-0.45459518685570793</v>
      </c>
      <c r="X18" s="118">
        <f t="shared" si="4"/>
        <v>0</v>
      </c>
      <c r="Y18" s="272">
        <f t="shared" si="5"/>
        <v>8.1999999999999993</v>
      </c>
      <c r="Z18" s="77">
        <f>_xll.BDP(D18&amp;" Equity","LAST_PRICE")</f>
        <v>472.94</v>
      </c>
      <c r="AA18" s="77" cm="1">
        <f t="array" ref="AA18">_xll.BDP(B18&amp;" Equity","OPT_STRIKE_PX")</f>
        <v>515</v>
      </c>
      <c r="AB18" s="76">
        <f t="shared" si="6"/>
        <v>8.8933057047405617E-2</v>
      </c>
      <c r="AC18" s="323" cm="1">
        <f t="array" ref="AC18">_xll.BDP($D18&amp;" Equity","volatility_10d")</f>
        <v>10.642764007286539</v>
      </c>
      <c r="AD18" s="77" cm="1">
        <f t="array" ref="AD18">_xll.BDP(B18&amp;" Equity","ivol_mid")</f>
        <v>24.588470000000001</v>
      </c>
      <c r="AE18" s="77">
        <f t="shared" si="7"/>
        <v>2.3103462580928764</v>
      </c>
      <c r="AF18" s="78" cm="1">
        <f t="array" ref="AF18">_xll.BDP(B18&amp;" Equity","DELTA_MID_RT")</f>
        <v>0.26394784450531006</v>
      </c>
      <c r="AG18" s="75">
        <f>AL18/'Master P&amp;L'!$AE$7</f>
        <v>-6.9204629450771193E-4</v>
      </c>
      <c r="AH18" s="75">
        <f>AM18/'Master P&amp;L'!$AE$7</f>
        <v>-2.621905459409006E-3</v>
      </c>
      <c r="AI18" s="439">
        <f>AO18/'Master P&amp;L'!$AD$7*10000</f>
        <v>6.7849060085343419E-3</v>
      </c>
      <c r="AJ18" s="351">
        <f t="shared" si="8"/>
        <v>-0.13904309996686931</v>
      </c>
      <c r="AK18" s="78">
        <f>AP18/'Master P&amp;L'!$AD$7*10000</f>
        <v>0.2342273981055325</v>
      </c>
      <c r="AL18" s="42">
        <f t="shared" si="9"/>
        <v>-1560393.6697542667</v>
      </c>
      <c r="AM18" s="42">
        <f t="shared" si="10"/>
        <v>-5911750</v>
      </c>
      <c r="AN18" s="78" cm="1">
        <f t="array" ref="AN18">_xll.BDP($B18&amp;" Equity","theta_mid_rt")</f>
        <v>-0.12238631397485733</v>
      </c>
      <c r="AO18" s="42">
        <f t="shared" si="11"/>
        <v>1529.8289246857166</v>
      </c>
      <c r="AP18" s="42">
        <f t="shared" si="12"/>
        <v>52812.500000000015</v>
      </c>
      <c r="AQ18" s="74" t="str" cm="1">
        <f t="array" ref="AQ18">_xll.BDP($D18&amp;" Equity","EXPECTED_REPORT_DT")</f>
        <v>29/01/2026</v>
      </c>
      <c r="AR18" s="235" cm="1">
        <f t="array" ref="AR18">_xll.BDP($B18&amp;" Equity","GAMMA_LAST")</f>
        <v>3.2100999999999998E-2</v>
      </c>
      <c r="AS18" s="73">
        <f t="shared" si="13"/>
        <v>-897512.83647545008</v>
      </c>
      <c r="AT18" s="73">
        <f t="shared" si="14"/>
        <v>-4487564.182377249</v>
      </c>
      <c r="AU18" s="73" t="s">
        <v>151</v>
      </c>
      <c r="AV18" s="322" cm="1">
        <f t="array" ref="AV18">_xll.BDP($D18&amp;" Equity","EST_PE_NXT_YR")*(AA18/Z18)</f>
        <v>28.076441064630071</v>
      </c>
      <c r="AW18" s="73"/>
      <c r="AX18" s="42"/>
      <c r="AY18" s="42">
        <v>8.1999999999999993</v>
      </c>
      <c r="AZ18" s="355"/>
      <c r="BA18" s="42">
        <f t="shared" si="17"/>
        <v>8.1999999999999993</v>
      </c>
      <c r="BB18" s="347">
        <f t="shared" si="15"/>
        <v>12.425000000000001</v>
      </c>
      <c r="BC18" s="347">
        <f t="shared" si="18"/>
        <v>-52812.500000000022</v>
      </c>
      <c r="BD18" s="347">
        <f>BC18/'Master P&amp;L'!$AD$7*10000</f>
        <v>-0.23422739810553253</v>
      </c>
    </row>
    <row r="19" spans="1:56">
      <c r="A19" s="357"/>
      <c r="B19" t="s">
        <v>2097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MSFT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77</v>
      </c>
      <c r="G19" t="str" cm="1">
        <f t="array" ref="G19">_xll.BDP(B19&amp;" Equity","QUOTED_CURRENCY_REALTIME")</f>
        <v>USD</v>
      </c>
      <c r="H19" s="15">
        <v>125</v>
      </c>
      <c r="I19" s="411">
        <v>26.07</v>
      </c>
      <c r="J19" s="416">
        <f>VLOOKUP(B19,Precificação!$B:$O,14,FALSE)</f>
        <v>23.125</v>
      </c>
      <c r="K19" s="74">
        <f t="shared" si="16"/>
        <v>23.125</v>
      </c>
      <c r="L19" s="74" cm="1">
        <f t="array" ref="L19">_xll.BDP($B19&amp;" Equity","mid")</f>
        <v>16.25</v>
      </c>
      <c r="M19" s="19">
        <f t="shared" si="0"/>
        <v>3.4359538207806489E-2</v>
      </c>
      <c r="N19" s="351"/>
      <c r="O19" s="19">
        <f t="shared" si="1"/>
        <v>-0.29729729729729726</v>
      </c>
      <c r="P19" s="36" cm="1">
        <f t="array" ref="P19">_xll.BDP($B19&amp;" Equity","bid")</f>
        <v>16.2</v>
      </c>
      <c r="Q19" s="36" cm="1">
        <f t="array" ref="Q19">_xll.BDP($B19&amp;" Equity","ask")</f>
        <v>16.3</v>
      </c>
      <c r="R19" s="40">
        <f t="shared" si="2"/>
        <v>6.1728395061728669E-3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203125</v>
      </c>
      <c r="V19" s="124">
        <f>U19/'Master P&amp;L'!$AD$7*10000</f>
        <v>0.90087460809820175</v>
      </c>
      <c r="W19" s="124">
        <f>(Y19*H19*T19/S19)/'Master P&amp;L'!$AD$7*10000</f>
        <v>0.90087460809820175</v>
      </c>
      <c r="X19" s="414">
        <f t="shared" si="4"/>
        <v>0</v>
      </c>
      <c r="Y19" s="273">
        <f t="shared" si="5"/>
        <v>16.25</v>
      </c>
      <c r="Z19" s="37">
        <f>_xll.BDP(D19&amp;" Equity","LAST_PRICE")</f>
        <v>472.94</v>
      </c>
      <c r="AA19" s="37" cm="1">
        <f t="array" ref="AA19">_xll.BDP(B19&amp;" Equity","OPT_STRIKE_PX")</f>
        <v>490</v>
      </c>
      <c r="AB19" s="40">
        <f t="shared" si="6"/>
        <v>3.6072229035395642E-2</v>
      </c>
      <c r="AC19" s="324" cm="1">
        <f t="array" ref="AC19">_xll.BDP($D19&amp;" Equity","volatility_10d")</f>
        <v>10.642764007286539</v>
      </c>
      <c r="AD19" s="37" cm="1">
        <f t="array" ref="AD19">_xll.BDP(B19&amp;" Equity","ivol_mid")</f>
        <v>25.023610000000001</v>
      </c>
      <c r="AE19" s="37">
        <f t="shared" si="7"/>
        <v>2.3512322534698371</v>
      </c>
      <c r="AF19" s="38" cm="1">
        <f t="array" ref="AF19">_xll.BDP(B19&amp;" Equity","DELTA_MID_RT")</f>
        <v>0.42623931169509888</v>
      </c>
      <c r="AG19" s="19">
        <f>AL19/'Master P&amp;L'!$AE$7</f>
        <v>1.1175591783481168E-3</v>
      </c>
      <c r="AH19" s="19">
        <f>AM19/'Master P&amp;L'!$AE$7</f>
        <v>2.621905459409006E-3</v>
      </c>
      <c r="AI19" s="438">
        <f>AO19/'Master P&amp;L'!$AD$7*10000</f>
        <v>-8.5112816468882607E-3</v>
      </c>
      <c r="AJ19" s="351">
        <f t="shared" si="8"/>
        <v>0.17442172130105998</v>
      </c>
      <c r="AK19" s="38">
        <f>AP19/'Master P&amp;L'!$AD$7*10000</f>
        <v>-0.38113925727231612</v>
      </c>
      <c r="AL19" s="15">
        <f t="shared" si="9"/>
        <v>2519820.2509135008</v>
      </c>
      <c r="AM19" s="15">
        <f t="shared" si="10"/>
        <v>5911750</v>
      </c>
      <c r="AN19" s="38" cm="1">
        <f t="array" ref="AN19">_xll.BDP($B19&amp;" Equity","theta_mid_rt")</f>
        <v>-0.15352672338485718</v>
      </c>
      <c r="AO19" s="15">
        <f t="shared" si="11"/>
        <v>-1919.0840423107147</v>
      </c>
      <c r="AP19" s="15">
        <f t="shared" si="12"/>
        <v>-85937.5</v>
      </c>
      <c r="AQ19" s="36" t="str" cm="1">
        <f t="array" ref="AQ19">_xll.BDP($D19&amp;" Equity","EXPECTED_REPORT_DT")</f>
        <v>29/01/2026</v>
      </c>
      <c r="AR19" s="66" cm="1">
        <f t="array" ref="AR19">_xll.BDP($B19&amp;" Equity","GAMMA_LAST")</f>
        <v>3.4099999999999998E-2</v>
      </c>
      <c r="AS19">
        <f t="shared" si="13"/>
        <v>953402.93834500003</v>
      </c>
      <c r="AT19">
        <f t="shared" si="14"/>
        <v>4767014.6917250007</v>
      </c>
      <c r="AU19" t="s">
        <v>151</v>
      </c>
      <c r="AV19" s="277" cm="1">
        <f t="array" ref="AV19">_xll.BDP($D19&amp;" Equity","EST_PE_NXT_YR")*(AA19/Z19)</f>
        <v>26.713507032366476</v>
      </c>
      <c r="AX19" s="15"/>
      <c r="AY19" s="15">
        <v>16.25</v>
      </c>
      <c r="AZ19" s="356"/>
      <c r="BA19" s="15">
        <f t="shared" si="17"/>
        <v>16.25</v>
      </c>
      <c r="BB19" s="415">
        <f t="shared" si="15"/>
        <v>23.125</v>
      </c>
      <c r="BC19" s="415">
        <f t="shared" si="18"/>
        <v>85937.5</v>
      </c>
      <c r="BD19" s="415">
        <f>BC19/'Master P&amp;L'!$AD$7*10000</f>
        <v>0.38113925727231612</v>
      </c>
    </row>
    <row r="20" spans="1:56" s="59" customFormat="1">
      <c r="A20" s="335"/>
      <c r="B20" s="73" t="s">
        <v>2098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MSFT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77</v>
      </c>
      <c r="G20" s="73" t="str" cm="1">
        <f t="array" ref="G20">_xll.BDP(B20&amp;" Equity","QUOTED_CURRENCY_REALTIME")</f>
        <v>USD</v>
      </c>
      <c r="H20" s="42">
        <v>-50</v>
      </c>
      <c r="I20" s="410">
        <v>17.829999999999998</v>
      </c>
      <c r="J20" s="416">
        <f>VLOOKUP(B20,Precificação!$B:$O,14,FALSE)</f>
        <v>12.25</v>
      </c>
      <c r="K20" s="74">
        <f t="shared" si="16"/>
        <v>12.25</v>
      </c>
      <c r="L20" s="74" cm="1">
        <f t="array" ref="L20">_xll.BDP($B20&amp;" Equity","mid")</f>
        <v>17.73</v>
      </c>
      <c r="M20" s="75">
        <f t="shared" si="0"/>
        <v>3.7488899226117478E-2</v>
      </c>
      <c r="N20" s="353"/>
      <c r="O20" s="75">
        <f t="shared" si="1"/>
        <v>0.44734693877551024</v>
      </c>
      <c r="P20" s="74" cm="1">
        <f t="array" ref="P20">_xll.BDP($B20&amp;" Equity","bid")</f>
        <v>17.649999999999999</v>
      </c>
      <c r="Q20" s="74" cm="1">
        <f t="array" ref="Q20">_xll.BDP($B20&amp;" Equity","ask")</f>
        <v>17.8</v>
      </c>
      <c r="R20" s="76">
        <f t="shared" si="2"/>
        <v>8.4985835694051381E-3</v>
      </c>
      <c r="S20" s="74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 t="shared" si="3"/>
        <v>-88650</v>
      </c>
      <c r="V20" s="113">
        <f>U20/'Master P&amp;L'!$AD$7*10000</f>
        <v>-0.39316939819276597</v>
      </c>
      <c r="W20" s="113">
        <f>(Y20*H20*T20/S20)/'Master P&amp;L'!$AD$7*10000</f>
        <v>-0.39316939819276597</v>
      </c>
      <c r="X20" s="118">
        <f t="shared" si="4"/>
        <v>0</v>
      </c>
      <c r="Y20" s="272">
        <f t="shared" si="5"/>
        <v>17.73</v>
      </c>
      <c r="Z20" s="77">
        <f>_xll.BDP(D20&amp;" Equity","LAST_PRICE")</f>
        <v>472.94</v>
      </c>
      <c r="AA20" s="77" cm="1">
        <f t="array" ref="AA20">_xll.BDP(B20&amp;" Equity","OPT_STRIKE_PX")</f>
        <v>465</v>
      </c>
      <c r="AB20" s="76">
        <f t="shared" si="6"/>
        <v>-1.6788598976614333E-2</v>
      </c>
      <c r="AC20" s="323" cm="1">
        <f t="array" ref="AC20">_xll.BDP($D20&amp;" Equity","volatility_10d")</f>
        <v>10.642764007286539</v>
      </c>
      <c r="AD20" s="77" cm="1">
        <f t="array" ref="AD20">_xll.BDP(B20&amp;" Equity","ivol_mid")</f>
        <v>26.828510000000001</v>
      </c>
      <c r="AE20" s="77">
        <f t="shared" si="7"/>
        <v>2.5208216570086432</v>
      </c>
      <c r="AF20" s="78" cm="1">
        <f t="array" ref="AF20">_xll.BDP(B20&amp;" Equity","DELTA_MID_RT")</f>
        <v>-0.40481904149055481</v>
      </c>
      <c r="AG20" s="75">
        <f>AL20/'Master P&amp;L'!$AE$7</f>
        <v>4.2455890198272268E-4</v>
      </c>
      <c r="AH20" s="75">
        <f>AM20/'Master P&amp;L'!$AE$7</f>
        <v>1.0487621837636024E-3</v>
      </c>
      <c r="AI20" s="439">
        <f>AO20/'Master P&amp;L'!$AD$7*10000</f>
        <v>3.2656615985951513E-3</v>
      </c>
      <c r="AJ20" s="351">
        <f t="shared" si="8"/>
        <v>-6.6923213312061539E-2</v>
      </c>
      <c r="AK20" s="78">
        <f>AP20/'Master P&amp;L'!$AD$7*10000</f>
        <v>-0.12152105482776973</v>
      </c>
      <c r="AL20" s="42">
        <f t="shared" si="9"/>
        <v>957275.58741271496</v>
      </c>
      <c r="AM20" s="42">
        <f t="shared" si="10"/>
        <v>2364700</v>
      </c>
      <c r="AN20" s="78" cm="1">
        <f t="array" ref="AN20">_xll.BDP($B20&amp;" Equity","theta_mid_rt")</f>
        <v>-0.14726522564888</v>
      </c>
      <c r="AO20" s="42">
        <f t="shared" si="11"/>
        <v>736.32612824440002</v>
      </c>
      <c r="AP20" s="42">
        <f t="shared" si="12"/>
        <v>-27400</v>
      </c>
      <c r="AQ20" s="74" t="str" cm="1">
        <f t="array" ref="AQ20">_xll.BDP($D20&amp;" Equity","EXPECTED_REPORT_DT")</f>
        <v>29/01/2026</v>
      </c>
      <c r="AR20" s="235" cm="1">
        <f t="array" ref="AR20">_xll.BDP($B20&amp;" Equity","GAMMA_LAST")</f>
        <v>3.0116E-2</v>
      </c>
      <c r="AS20" s="73">
        <f t="shared" si="13"/>
        <v>-336805.66441288008</v>
      </c>
      <c r="AT20" s="73">
        <f t="shared" si="14"/>
        <v>-1684028.3220644004</v>
      </c>
      <c r="AU20" s="73" t="s">
        <v>151</v>
      </c>
      <c r="AV20" s="322" cm="1">
        <f t="array" ref="AV20">_xll.BDP($D20&amp;" Equity","EST_PE_NXT_YR")*(AA20/Z20)</f>
        <v>25.35057300010288</v>
      </c>
      <c r="AW20" s="73"/>
      <c r="AX20" s="42"/>
      <c r="AY20" s="42">
        <v>17.73</v>
      </c>
      <c r="AZ20" s="355"/>
      <c r="BA20" s="42">
        <f t="shared" si="17"/>
        <v>17.73</v>
      </c>
      <c r="BB20" s="347">
        <f t="shared" si="15"/>
        <v>12.25</v>
      </c>
      <c r="BC20" s="347">
        <f t="shared" si="18"/>
        <v>27400</v>
      </c>
      <c r="BD20" s="347">
        <f>BC20/'Master P&amp;L'!$AD$7*10000</f>
        <v>0.12152105482776973</v>
      </c>
    </row>
    <row r="21" spans="1:56">
      <c r="A21" s="335"/>
      <c r="B21" s="73" t="s">
        <v>2154</v>
      </c>
      <c r="C21" s="73" t="str" cm="1">
        <f t="array" ref="C21">_xll.BDP($B21&amp;" Equity","opt_put_call")</f>
        <v>Call</v>
      </c>
      <c r="D21" s="73" t="str" cm="1">
        <f t="array" ref="D21">_xll.BDP(B21&amp;" Equity","OPT_UNDL_TICKER")</f>
        <v>NFLX US</v>
      </c>
      <c r="E21" s="73" t="str" cm="1">
        <f t="array" ref="E21">_xll.BDP($B21&amp;" Equity","mifid_Maturity_date")</f>
        <v>20/03/2026</v>
      </c>
      <c r="F21" s="73" cm="1">
        <f t="array" ref="F21">_xll.BDP($B21&amp;" Equity","opt_days_expire")</f>
        <v>77</v>
      </c>
      <c r="G21" s="73" t="str" cm="1">
        <f t="array" ref="G21">_xll.BDP(B21&amp;" Equity","QUOTED_CURRENCY_REALTIME")</f>
        <v>USD</v>
      </c>
      <c r="H21" s="42">
        <v>-170</v>
      </c>
      <c r="I21" s="410">
        <v>4.5</v>
      </c>
      <c r="J21" s="416">
        <f>VLOOKUP(B21,Precificação!$B:$O,14,FALSE)</f>
        <v>2.915</v>
      </c>
      <c r="K21" s="74">
        <f t="shared" si="16"/>
        <v>2.915</v>
      </c>
      <c r="L21" s="74" cm="1">
        <f t="array" ref="L21">_xll.BDP($B21&amp;" Equity","mid")</f>
        <v>2.06</v>
      </c>
      <c r="M21" s="75">
        <f t="shared" si="0"/>
        <v>2.2642338975599034E-2</v>
      </c>
      <c r="N21" s="353"/>
      <c r="O21" s="75">
        <f t="shared" si="1"/>
        <v>-0.29331046312178388</v>
      </c>
      <c r="P21" s="74" cm="1">
        <f t="array" ref="P21">_xll.BDP($B21&amp;" Equity","bid")</f>
        <v>2</v>
      </c>
      <c r="Q21" s="74" cm="1">
        <f t="array" ref="Q21">_xll.BDP($B21&amp;" Equity","ask")</f>
        <v>2.12</v>
      </c>
      <c r="R21" s="76">
        <f t="shared" si="2"/>
        <v>6.0000000000000053E-2</v>
      </c>
      <c r="S21" s="74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3"/>
        <v>-35020</v>
      </c>
      <c r="V21" s="113">
        <f>U21/'Master P&amp;L'!$AD$7*10000</f>
        <v>-0.1553163262798721</v>
      </c>
      <c r="W21" s="113">
        <f>(Y21*H21*T21/S21)/'Master P&amp;L'!$AD$7*10000</f>
        <v>-0.1553163262798721</v>
      </c>
      <c r="X21" s="118">
        <f t="shared" si="4"/>
        <v>0</v>
      </c>
      <c r="Y21" s="272">
        <f t="shared" si="5"/>
        <v>2.06</v>
      </c>
      <c r="Z21" s="77">
        <f>_xll.BDP(D21&amp;" Equity","LAST_PRICE")</f>
        <v>90.98</v>
      </c>
      <c r="AA21" s="77" cm="1">
        <f t="array" ref="AA21">_xll.BDP(B21&amp;" Equity","OPT_STRIKE_PX")</f>
        <v>104</v>
      </c>
      <c r="AB21" s="76">
        <f t="shared" si="6"/>
        <v>0.14310837546713562</v>
      </c>
      <c r="AC21" s="323" cm="1">
        <f t="array" ref="AC21">_xll.BDP($D21&amp;" Equity","volatility_10d")</f>
        <v>10.548460678233635</v>
      </c>
      <c r="AD21" s="77" cm="1">
        <f t="array" ref="AD21">_xll.BDP(B21&amp;" Equity","ivol_mid")</f>
        <v>35.768079999999998</v>
      </c>
      <c r="AE21" s="77">
        <f t="shared" si="7"/>
        <v>3.3908340838589019</v>
      </c>
      <c r="AF21" s="78" cm="1">
        <f t="array" ref="AF21">_xll.BDP(B21&amp;" Equity","DELTA_MID_RT")</f>
        <v>0.24990418553352356</v>
      </c>
      <c r="AG21" s="75">
        <f>AL21/'Master P&amp;L'!$AE$7</f>
        <v>-1.7142310280249463E-4</v>
      </c>
      <c r="AH21" s="75">
        <f>AM21/'Master P&amp;L'!$AE$7</f>
        <v>-6.8595530897780409E-4</v>
      </c>
      <c r="AI21" s="439">
        <f>AO21/'Master P&amp;L'!$AD$7*10000</f>
        <v>2.3216666801262977E-3</v>
      </c>
      <c r="AJ21" s="351">
        <f t="shared" si="8"/>
        <v>-4.7577922507475286E-2</v>
      </c>
      <c r="AK21" s="78">
        <f>AP21/'Master P&amp;L'!$AD$7*10000</f>
        <v>6.446381503363624E-2</v>
      </c>
      <c r="AL21" s="42">
        <f t="shared" si="9"/>
        <v>-386516.80759727955</v>
      </c>
      <c r="AM21" s="42">
        <f t="shared" si="10"/>
        <v>-1546660</v>
      </c>
      <c r="AN21" s="78" cm="1">
        <f t="array" ref="AN21">_xll.BDP($B21&amp;" Equity","theta_mid_rt")</f>
        <v>-3.0792856588959694E-2</v>
      </c>
      <c r="AO21" s="42">
        <f t="shared" si="11"/>
        <v>523.4785620123148</v>
      </c>
      <c r="AP21" s="42">
        <f t="shared" si="12"/>
        <v>14535</v>
      </c>
      <c r="AQ21" s="74" t="str" cm="1">
        <f t="array" ref="AQ21">_xll.BDP($D21&amp;" Equity","EXPECTED_REPORT_DT")</f>
        <v>20/01/2026</v>
      </c>
      <c r="AR21" s="235" cm="1">
        <f t="array" ref="AR21">_xll.BDP($B21&amp;" Equity","GAMMA_LAST")</f>
        <v>2.1662000000000001E-2</v>
      </c>
      <c r="AS21" s="73">
        <f t="shared" si="13"/>
        <v>-30481.710767416007</v>
      </c>
      <c r="AT21" s="73">
        <f t="shared" si="14"/>
        <v>-152408.55383708002</v>
      </c>
      <c r="AU21" s="73" t="s">
        <v>151</v>
      </c>
      <c r="AV21" s="322" cm="1">
        <f t="array" ref="AV21">_xll.BDP($D21&amp;" Equity","EST_PE_NXT_YR")*(AA21/Z21)</f>
        <v>32.065277604033618</v>
      </c>
      <c r="AW21" s="73"/>
      <c r="AX21" s="42"/>
      <c r="AY21" s="42">
        <v>2.06</v>
      </c>
      <c r="AZ21" s="355"/>
      <c r="BA21" s="42">
        <f t="shared" si="17"/>
        <v>2.06</v>
      </c>
      <c r="BB21" s="347">
        <f t="shared" si="15"/>
        <v>2.915</v>
      </c>
      <c r="BC21" s="347">
        <f t="shared" si="18"/>
        <v>-14535</v>
      </c>
      <c r="BD21" s="347">
        <f>BC21/'Master P&amp;L'!$AD$7*10000</f>
        <v>-6.446381503363624E-2</v>
      </c>
    </row>
    <row r="22" spans="1:56" s="59" customFormat="1">
      <c r="A22" s="357"/>
      <c r="B22" t="s">
        <v>2153</v>
      </c>
      <c r="C22" t="str" cm="1">
        <f t="array" ref="C22">_xll.BDP($B22&amp;" Equity","opt_put_call")</f>
        <v>Put</v>
      </c>
      <c r="D22" t="str" cm="1">
        <f t="array" ref="D22">_xll.BDP(B22&amp;" Equity","OPT_UNDL_TICKER")</f>
        <v>NFLX US</v>
      </c>
      <c r="E22" t="str" cm="1">
        <f t="array" ref="E22">_xll.BDP($B22&amp;" Equity","mifid_Maturity_date")</f>
        <v>20/03/2026</v>
      </c>
      <c r="F22" cm="1">
        <f t="array" ref="F22">_xll.BDP($B22&amp;" Equity","opt_days_expire")</f>
        <v>77</v>
      </c>
      <c r="G22" t="str" cm="1">
        <f t="array" ref="G22">_xll.BDP(B22&amp;" Equity","QUOTED_CURRENCY_REALTIME")</f>
        <v>USD</v>
      </c>
      <c r="H22" s="15">
        <v>170</v>
      </c>
      <c r="I22" s="411">
        <v>5.916666666666667</v>
      </c>
      <c r="J22" s="416">
        <f>VLOOKUP(B22,Precificação!$B:$O,14,FALSE)</f>
        <v>5.05</v>
      </c>
      <c r="K22" s="74">
        <f t="shared" si="16"/>
        <v>5.05</v>
      </c>
      <c r="L22" s="74" cm="1">
        <f t="array" ref="L22">_xll.BDP($B22&amp;" Equity","mid")</f>
        <v>6.22</v>
      </c>
      <c r="M22" s="19">
        <f t="shared" si="0"/>
        <v>6.8366673994284449E-2</v>
      </c>
      <c r="N22" s="351"/>
      <c r="O22" s="19">
        <f t="shared" si="1"/>
        <v>0.23168316831683167</v>
      </c>
      <c r="P22" s="36" cm="1">
        <f t="array" ref="P22">_xll.BDP($B22&amp;" Equity","bid")</f>
        <v>6.1</v>
      </c>
      <c r="Q22" s="36" cm="1">
        <f t="array" ref="Q22">_xll.BDP($B22&amp;" Equity","ask")</f>
        <v>6.35</v>
      </c>
      <c r="R22" s="40">
        <f t="shared" si="2"/>
        <v>4.0983606557376984E-2</v>
      </c>
      <c r="S22" s="36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3"/>
        <v>105739.99999999999</v>
      </c>
      <c r="V22" s="124">
        <f>U22/'Master P&amp;L'!$AD$7*10000</f>
        <v>0.46896482983534193</v>
      </c>
      <c r="W22" s="124">
        <f>(Y22*H22*T22/S22)/'Master P&amp;L'!$AD$7*10000</f>
        <v>0.39206062944433767</v>
      </c>
      <c r="X22" s="414">
        <f t="shared" si="4"/>
        <v>1.019999999999996</v>
      </c>
      <c r="Y22" s="273">
        <f t="shared" si="5"/>
        <v>5.2000000000000037</v>
      </c>
      <c r="Z22" s="37">
        <f>_xll.BDP(D22&amp;" Equity","LAST_PRICE")</f>
        <v>90.98</v>
      </c>
      <c r="AA22" s="37" cm="1">
        <f t="array" ref="AA22">_xll.BDP(B22&amp;" Equity","OPT_STRIKE_PX")</f>
        <v>92</v>
      </c>
      <c r="AB22" s="40">
        <f t="shared" si="6"/>
        <v>1.1211255220927585E-2</v>
      </c>
      <c r="AC22" s="324" cm="1">
        <f t="array" ref="AC22">_xll.BDP($D22&amp;" Equity","volatility_10d")</f>
        <v>10.548460678233635</v>
      </c>
      <c r="AD22" s="37" cm="1">
        <f t="array" ref="AD22">_xll.BDP(B22&amp;" Equity","ivol_mid")</f>
        <v>36.092449999999999</v>
      </c>
      <c r="AE22" s="37">
        <f t="shared" si="7"/>
        <v>3.4215845421384996</v>
      </c>
      <c r="AF22" s="38" cm="1">
        <f t="array" ref="AF22">_xll.BDP(B22&amp;" Equity","DELTA_MID_RT")</f>
        <v>-0.47960522770881653</v>
      </c>
      <c r="AG22" s="19">
        <f>AL22/'Master P&amp;L'!$AE$7</f>
        <v>-3.2898775216037135E-4</v>
      </c>
      <c r="AH22" s="19">
        <f>AM22/'Master P&amp;L'!$AE$7</f>
        <v>-6.8595530897780409E-4</v>
      </c>
      <c r="AI22" s="438">
        <f>AO22/'Master P&amp;L'!$AD$7*10000</f>
        <v>-3.0122807514682492E-3</v>
      </c>
      <c r="AJ22" s="351">
        <f t="shared" si="8"/>
        <v>6.1730678822646205E-2</v>
      </c>
      <c r="AK22" s="38">
        <f>AP22/'Master P&amp;L'!$AD$7*10000</f>
        <v>8.82136416249759E-2</v>
      </c>
      <c r="AL22" s="15">
        <f t="shared" si="9"/>
        <v>-741786.22148811817</v>
      </c>
      <c r="AM22" s="15">
        <f t="shared" si="10"/>
        <v>-1546660</v>
      </c>
      <c r="AN22" s="38" cm="1">
        <f t="array" ref="AN22">_xll.BDP($B22&amp;" Equity","theta_mid_rt")</f>
        <v>-3.9952646940946579E-2</v>
      </c>
      <c r="AO22" s="15">
        <f t="shared" si="11"/>
        <v>-679.19499799609184</v>
      </c>
      <c r="AP22" s="15">
        <f t="shared" si="12"/>
        <v>19890</v>
      </c>
      <c r="AQ22" s="36" t="str" cm="1">
        <f t="array" ref="AQ22">_xll.BDP($D22&amp;" Equity","EXPECTED_REPORT_DT")</f>
        <v>20/01/2026</v>
      </c>
      <c r="AR22" s="66" cm="1">
        <f t="array" ref="AR22">_xll.BDP($B22&amp;" Equity","GAMMA_LAST")</f>
        <v>2.3508000000000001E-2</v>
      </c>
      <c r="AS22">
        <f t="shared" si="13"/>
        <v>33079.312008144007</v>
      </c>
      <c r="AT22">
        <f t="shared" si="14"/>
        <v>165396.56004072007</v>
      </c>
      <c r="AU22" t="s">
        <v>151</v>
      </c>
      <c r="AV22" s="277" cm="1">
        <f t="array" ref="AV22">_xll.BDP($D22&amp;" Equity","EST_PE_NXT_YR")*(AA22/Z22)</f>
        <v>28.365437880491275</v>
      </c>
      <c r="AW22"/>
      <c r="AX22" s="15"/>
      <c r="AY22" s="15">
        <v>6.22</v>
      </c>
      <c r="AZ22" s="356"/>
      <c r="BA22" s="15">
        <f t="shared" si="17"/>
        <v>6.22</v>
      </c>
      <c r="BB22" s="415">
        <f t="shared" si="15"/>
        <v>5.05</v>
      </c>
      <c r="BC22" s="415">
        <f t="shared" si="18"/>
        <v>-19889.999999999996</v>
      </c>
      <c r="BD22" s="415">
        <f>BC22/'Master P&amp;L'!$AD$7*10000</f>
        <v>-8.8213641624975886E-2</v>
      </c>
    </row>
    <row r="23" spans="1:56">
      <c r="A23" s="335"/>
      <c r="B23" s="73" t="s">
        <v>2155</v>
      </c>
      <c r="C23" s="73" t="str" cm="1">
        <f t="array" ref="C23">_xll.BDP($B23&amp;" Equity","opt_put_call")</f>
        <v>Put</v>
      </c>
      <c r="D23" s="73" t="str" cm="1">
        <f t="array" ref="D23">_xll.BDP(B23&amp;" Equity","OPT_UNDL_TICKER")</f>
        <v>NFLX US</v>
      </c>
      <c r="E23" s="73" t="str" cm="1">
        <f t="array" ref="E23">_xll.BDP($B23&amp;" Equity","mifid_Maturity_date")</f>
        <v>20/03/2026</v>
      </c>
      <c r="F23" s="73" cm="1">
        <f t="array" ref="F23">_xll.BDP($B23&amp;" Equity","opt_days_expire")</f>
        <v>77</v>
      </c>
      <c r="G23" s="73" t="str" cm="1">
        <f t="array" ref="G23">_xll.BDP(B23&amp;" Equity","QUOTED_CURRENCY_REALTIME")</f>
        <v>USD</v>
      </c>
      <c r="H23" s="42">
        <v>-255</v>
      </c>
      <c r="I23" s="410">
        <v>2.7466666666666666</v>
      </c>
      <c r="J23" s="416">
        <f>VLOOKUP(B23,Precificação!$B:$O,14,FALSE)</f>
        <v>2.0099999999999998</v>
      </c>
      <c r="K23" s="74">
        <f t="shared" si="16"/>
        <v>2.0099999999999998</v>
      </c>
      <c r="L23" s="74" cm="1">
        <f t="array" ref="L23">_xll.BDP($B23&amp;" Equity","mid")</f>
        <v>2.54</v>
      </c>
      <c r="M23" s="75">
        <f t="shared" si="0"/>
        <v>2.7918223785447352E-2</v>
      </c>
      <c r="N23" s="353"/>
      <c r="O23" s="75">
        <f t="shared" si="1"/>
        <v>0.26368159203980124</v>
      </c>
      <c r="P23" s="74" cm="1">
        <f t="array" ref="P23">_xll.BDP($B23&amp;" Equity","bid")</f>
        <v>2.4700000000000002</v>
      </c>
      <c r="Q23" s="74" cm="1">
        <f t="array" ref="Q23">_xll.BDP($B23&amp;" Equity","ask")</f>
        <v>2.62</v>
      </c>
      <c r="R23" s="76">
        <f t="shared" si="2"/>
        <v>6.0728744939271273E-2</v>
      </c>
      <c r="S23" s="74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3"/>
        <v>-64770.000000000007</v>
      </c>
      <c r="V23" s="113">
        <f>U23/'Master P&amp;L'!$AD$7*10000</f>
        <v>-0.28725980734287027</v>
      </c>
      <c r="W23" s="113">
        <f>(Y23*H23*T23/S23)/'Master P&amp;L'!$AD$7*10000</f>
        <v>-0.28725980734287027</v>
      </c>
      <c r="X23" s="118">
        <f t="shared" si="4"/>
        <v>0</v>
      </c>
      <c r="Y23" s="272">
        <f t="shared" si="5"/>
        <v>2.54</v>
      </c>
      <c r="Z23" s="77">
        <f>_xll.BDP(D23&amp;" Equity","LAST_PRICE")</f>
        <v>90.98</v>
      </c>
      <c r="AA23" s="77" cm="1">
        <f t="array" ref="AA23">_xll.BDP(B23&amp;" Equity","OPT_STRIKE_PX")</f>
        <v>83</v>
      </c>
      <c r="AB23" s="76">
        <f t="shared" si="6"/>
        <v>-8.7711584963728328E-2</v>
      </c>
      <c r="AC23" s="323" cm="1">
        <f t="array" ref="AC23">_xll.BDP($D23&amp;" Equity","volatility_10d")</f>
        <v>10.548460678233635</v>
      </c>
      <c r="AD23" s="77" cm="1">
        <f t="array" ref="AD23">_xll.BDP(B23&amp;" Equity","ivol_mid")</f>
        <v>37.443919999999999</v>
      </c>
      <c r="AE23" s="77">
        <f t="shared" si="7"/>
        <v>3.5497046575965503</v>
      </c>
      <c r="AF23" s="78" cm="1">
        <f t="array" ref="AF23">_xll.BDP(B23&amp;" Equity","DELTA_MID_RT")</f>
        <v>-0.2520679235458374</v>
      </c>
      <c r="AG23" s="75">
        <f>AL23/'Master P&amp;L'!$AE$7</f>
        <v>2.5936099556891765E-4</v>
      </c>
      <c r="AH23" s="75">
        <f>AM23/'Master P&amp;L'!$AE$7</f>
        <v>1.0289329634667061E-3</v>
      </c>
      <c r="AI23" s="439">
        <f>AO23/'Master P&amp;L'!$AD$7*10000</f>
        <v>3.6750778619437136E-3</v>
      </c>
      <c r="AJ23" s="351">
        <f t="shared" si="8"/>
        <v>-7.5313382072134519E-2</v>
      </c>
      <c r="AK23" s="78">
        <f>AP23/'Master P&amp;L'!$AD$7*10000</f>
        <v>-5.9940038540047764E-2</v>
      </c>
      <c r="AL23" s="42">
        <f t="shared" si="9"/>
        <v>584795.06194710743</v>
      </c>
      <c r="AM23" s="42">
        <f t="shared" si="10"/>
        <v>2319990</v>
      </c>
      <c r="AN23" s="78" cm="1">
        <f t="array" ref="AN23">_xll.BDP($B23&amp;" Equity","theta_mid_rt")</f>
        <v>-3.2495662569999695E-2</v>
      </c>
      <c r="AO23" s="42">
        <f t="shared" si="11"/>
        <v>828.63939553499222</v>
      </c>
      <c r="AP23" s="42">
        <f t="shared" si="12"/>
        <v>-13515.000000000007</v>
      </c>
      <c r="AQ23" s="74" t="str" cm="1">
        <f t="array" ref="AQ23">_xll.BDP($D23&amp;" Equity","EXPECTED_REPORT_DT")</f>
        <v>20/01/2026</v>
      </c>
      <c r="AR23" s="235" cm="1">
        <f t="array" ref="AR23">_xll.BDP($B23&amp;" Equity","GAMMA_LAST")</f>
        <v>1.5821000000000002E-2</v>
      </c>
      <c r="AS23" s="73">
        <f t="shared" si="13"/>
        <v>-33393.810316542011</v>
      </c>
      <c r="AT23" s="73">
        <f t="shared" si="14"/>
        <v>-166969.05158271006</v>
      </c>
      <c r="AU23" s="73" t="s">
        <v>151</v>
      </c>
      <c r="AV23" s="322" cm="1">
        <f t="array" ref="AV23">_xll.BDP($D23&amp;" Equity","EST_PE_NXT_YR")*(AA23/Z23)</f>
        <v>25.59055808783452</v>
      </c>
      <c r="AW23" s="73"/>
      <c r="AX23" s="42"/>
      <c r="AY23" s="42">
        <v>2.54</v>
      </c>
      <c r="AZ23" s="355"/>
      <c r="BA23" s="42">
        <f t="shared" si="17"/>
        <v>2.54</v>
      </c>
      <c r="BB23" s="347">
        <f t="shared" si="15"/>
        <v>2.0099999999999998</v>
      </c>
      <c r="BC23" s="347">
        <f t="shared" si="18"/>
        <v>13515.000000000005</v>
      </c>
      <c r="BD23" s="347">
        <f>BC23/'Master P&amp;L'!$AD$7*10000</f>
        <v>5.9940038540047758E-2</v>
      </c>
    </row>
    <row r="24" spans="1:56" s="59" customFormat="1">
      <c r="A24" s="428" t="s">
        <v>1771</v>
      </c>
      <c r="B24" s="59" t="s">
        <v>2219</v>
      </c>
      <c r="C24" s="59" t="str" cm="1">
        <f t="array" ref="C24">_xll.BDP($B24&amp;" Equity","opt_put_call")</f>
        <v>Call</v>
      </c>
      <c r="D24" s="59" t="str" cm="1">
        <f t="array" ref="D24">_xll.BDP(B24&amp;" Equity","OPT_UNDL_TICKER")</f>
        <v>NVDA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7</v>
      </c>
      <c r="G24" s="59" t="str" cm="1">
        <f t="array" ref="G24">_xll.BDP(B24&amp;" Equity","QUOTED_CURRENCY_REALTIME")</f>
        <v>USD</v>
      </c>
      <c r="H24" s="405">
        <v>250</v>
      </c>
      <c r="I24" s="412">
        <v>1.28</v>
      </c>
      <c r="J24" s="416">
        <f>VLOOKUP(B24,Precificação!$B:$O,14,FALSE)</f>
        <v>0.46500000000000002</v>
      </c>
      <c r="K24" s="74">
        <f t="shared" si="16"/>
        <v>0.46500000000000002</v>
      </c>
      <c r="L24" s="74" cm="1">
        <f t="array" ref="L24">_xll.BDP($B24&amp;" Equity","mid")</f>
        <v>0.46</v>
      </c>
      <c r="M24" s="128">
        <f t="shared" ref="M24" si="36">L24/Z24</f>
        <v>2.4357956049774953E-3</v>
      </c>
      <c r="N24" s="429"/>
      <c r="O24" s="128">
        <f t="shared" ref="O24" si="37">L24/K24-1</f>
        <v>-1.0752688172043001E-2</v>
      </c>
      <c r="P24" s="14" cm="1">
        <f t="array" ref="P24">_xll.BDP($B24&amp;" Equity","bid")</f>
        <v>0.45</v>
      </c>
      <c r="Q24" s="14" cm="1">
        <f t="array" ref="Q24">_xll.BDP($B24&amp;" Equity","ask")</f>
        <v>0.46</v>
      </c>
      <c r="R24" s="427">
        <f t="shared" ref="R24" si="38">(Q24/P24-1)</f>
        <v>2.2222222222222143E-2</v>
      </c>
      <c r="S24" s="14" cm="1">
        <f t="array" ref="S24">_xll.BDP(G24&amp;" Curncy","PX_LAST")</f>
        <v>1</v>
      </c>
      <c r="T24" s="405" cm="1">
        <f t="array" ref="T24">_xll.BDP(B24&amp;" Equity","OPT_MULTIPLIER")</f>
        <v>100</v>
      </c>
      <c r="U24" s="405">
        <f t="shared" ref="U24" si="39">(L24/S24)*H24*T24</f>
        <v>11500</v>
      </c>
      <c r="V24" s="430">
        <f>U24/'Master P&amp;L'!$AD$7*10000</f>
        <v>5.1003362427713576E-2</v>
      </c>
      <c r="W24" s="430">
        <f>(Y24*H24*T24/S24)/'Master P&amp;L'!$AD$7*10000</f>
        <v>5.1003362427713576E-2</v>
      </c>
      <c r="X24" s="431">
        <f t="shared" ref="X24" si="40">IF(C24="Put",IF(Z24&lt;AA24,AA24-Z24,0),IF(Z24&gt;AA24,Z24-AA24,0))</f>
        <v>0</v>
      </c>
      <c r="Y24" s="432">
        <f t="shared" ref="Y24" si="41">L24-X24</f>
        <v>0.46</v>
      </c>
      <c r="Z24" s="433">
        <f>_xll.BDP(D24&amp;" Equity","LAST_PRICE")</f>
        <v>188.85</v>
      </c>
      <c r="AA24" s="433" cm="1">
        <f t="array" ref="AA24">_xll.BDP(B24&amp;" Equity","OPT_STRIKE_PX")</f>
        <v>200</v>
      </c>
      <c r="AB24" s="427">
        <f t="shared" ref="AB24" si="42">AA24/Z24-1</f>
        <v>5.9041567381519666E-2</v>
      </c>
      <c r="AC24" s="434" cm="1">
        <f t="array" ref="AC24">_xll.BDP($D24&amp;" Equity","volatility_10d")</f>
        <v>27.874146677113959</v>
      </c>
      <c r="AD24" s="433" cm="1">
        <f t="array" ref="AD24">_xll.BDP(B24&amp;" Equity","ivol_mid")</f>
        <v>32.067770000000003</v>
      </c>
      <c r="AE24" s="433">
        <f t="shared" ref="AE24" si="43">AD24/AC24</f>
        <v>1.1504484916242912</v>
      </c>
      <c r="AF24" s="435" cm="1">
        <f t="array" ref="AF24">_xll.BDP(B24&amp;" Equity","DELTA_MID_RT")</f>
        <v>0.11127753555774689</v>
      </c>
      <c r="AG24" s="128">
        <f>AL24/'Master P&amp;L'!$AE$7</f>
        <v>2.3300512015526789E-4</v>
      </c>
      <c r="AH24" s="128">
        <f>AM24/'Master P&amp;L'!$AE$7</f>
        <v>2.0939097814073279E-3</v>
      </c>
      <c r="AI24" s="444">
        <f>AO24/'Master P&amp;L'!$AD$7*10000</f>
        <v>-1.2225556262801529E-2</v>
      </c>
      <c r="AJ24" s="429">
        <f t="shared" ref="AJ24" si="44">(252*AI24)/$AI$1</f>
        <v>0.25053836257438467</v>
      </c>
      <c r="AK24" s="435">
        <f>AP24/'Master P&amp;L'!$AD$7*10000</f>
        <v>-5.5438437421427838E-4</v>
      </c>
      <c r="AL24" s="405">
        <f t="shared" ref="AL24" si="45">Z24*AF24*H24*T24/S24</f>
        <v>525369.06475201237</v>
      </c>
      <c r="AM24" s="405">
        <f t="shared" ref="AM24" si="46">IF(C24="Put",-Z24*H24*T24/S24,Z24*H24*T24/S24)</f>
        <v>4721250</v>
      </c>
      <c r="AN24" s="435" cm="1">
        <f t="array" ref="AN24">_xll.BDP($B24&amp;" Equity","theta_mid_rt")</f>
        <v>-0.11026245355606079</v>
      </c>
      <c r="AO24" s="405">
        <f t="shared" ref="AO24" si="47">AN24*H24*T24/S24</f>
        <v>-2756.5613389015198</v>
      </c>
      <c r="AP24" s="405">
        <f t="shared" ref="AP24" si="48">(L24-K24)*T24/S24*H24</f>
        <v>-125.00000000000011</v>
      </c>
      <c r="AQ24" s="14" t="str" cm="1">
        <f t="array" ref="AQ24">_xll.BDP($D24&amp;" Equity","EXPECTED_REPORT_DT")</f>
        <v>26/02/2026</v>
      </c>
      <c r="AR24" s="114" cm="1">
        <f t="array" ref="AR24">_xll.BDP($B24&amp;" Equity","GAMMA_LAST")</f>
        <v>3.1966000000000001E-2</v>
      </c>
      <c r="AS24" s="59">
        <f t="shared" si="13"/>
        <v>285011.43325875001</v>
      </c>
      <c r="AT24" s="59">
        <f t="shared" si="14"/>
        <v>1425057.1662937503</v>
      </c>
      <c r="AU24" s="59" t="s">
        <v>151</v>
      </c>
      <c r="AV24" s="337" cm="1">
        <f t="array" ref="AV24">_xll.BDP($D24&amp;" Equity","EST_PE_NXT_YR")*(AA24/Z24)</f>
        <v>26.010330154388381</v>
      </c>
      <c r="AX24" s="405"/>
      <c r="AY24" s="405">
        <v>0.46</v>
      </c>
      <c r="AZ24" s="436"/>
      <c r="BA24" s="405">
        <f t="shared" si="17"/>
        <v>0.46</v>
      </c>
      <c r="BB24" s="437">
        <f t="shared" ref="BB24" si="49">+J24</f>
        <v>0.46500000000000002</v>
      </c>
      <c r="BC24" s="437">
        <f t="shared" ref="BC24" si="50">(BB24-BA24)*H24*100</f>
        <v>125.00000000000011</v>
      </c>
      <c r="BD24" s="437">
        <f>BC24/'Master P&amp;L'!$AD$7*10000</f>
        <v>5.5438437421427838E-4</v>
      </c>
    </row>
    <row r="25" spans="1:56">
      <c r="A25" s="428" t="s">
        <v>151</v>
      </c>
      <c r="B25" s="59" t="s">
        <v>2206</v>
      </c>
      <c r="C25" s="59" t="str" cm="1">
        <f t="array" ref="C25">_xll.BDP($B25&amp;" Equity","opt_put_call")</f>
        <v>Put</v>
      </c>
      <c r="D25" s="59" t="str" cm="1">
        <f t="array" ref="D25">_xll.BDP(B25&amp;" Equity","OPT_UNDL_TICKER")</f>
        <v>SMH US</v>
      </c>
      <c r="E25" s="59" t="str" cm="1">
        <f t="array" ref="E25">_xll.BDP($B25&amp;" Equity","mifid_Maturity_date")</f>
        <v>09/01/2026</v>
      </c>
      <c r="F25" s="59" cm="1">
        <f t="array" ref="F25">_xll.BDP($B25&amp;" Equity","opt_days_expire")</f>
        <v>7</v>
      </c>
      <c r="G25" s="59" t="str" cm="1">
        <f t="array" ref="G25">_xll.BDP(B25&amp;" Equity","QUOTED_CURRENCY_REALTIME")</f>
        <v>USD</v>
      </c>
      <c r="H25" s="405">
        <v>65</v>
      </c>
      <c r="I25" s="412">
        <v>6.25</v>
      </c>
      <c r="J25" s="416">
        <f>VLOOKUP(B25,Precificação!$B:$O,14,FALSE)</f>
        <v>2.81</v>
      </c>
      <c r="K25" s="74">
        <f t="shared" si="16"/>
        <v>2.81</v>
      </c>
      <c r="L25" s="74" cm="1">
        <f t="array" ref="L25">_xll.BDP($B25&amp;" Equity","mid")</f>
        <v>1.18</v>
      </c>
      <c r="M25" s="128">
        <f t="shared" si="0"/>
        <v>3.1604885365331043E-3</v>
      </c>
      <c r="N25" s="429"/>
      <c r="O25" s="128">
        <f t="shared" si="1"/>
        <v>-0.58007117437722422</v>
      </c>
      <c r="P25" s="14" cm="1">
        <f t="array" ref="P25">_xll.BDP($B25&amp;" Equity","bid")</f>
        <v>0.78</v>
      </c>
      <c r="Q25" s="14" cm="1">
        <f t="array" ref="Q25">_xll.BDP($B25&amp;" Equity","ask")</f>
        <v>1.57</v>
      </c>
      <c r="R25" s="427">
        <f t="shared" si="2"/>
        <v>1.0128205128205128</v>
      </c>
      <c r="S25" s="14" cm="1">
        <f t="array" ref="S25">_xll.BDP(G25&amp;" Curncy","PX_LAST")</f>
        <v>1</v>
      </c>
      <c r="T25" s="405" cm="1">
        <f t="array" ref="T25">_xll.BDP(B25&amp;" Equity","OPT_MULTIPLIER")</f>
        <v>100</v>
      </c>
      <c r="U25" s="405">
        <f t="shared" si="3"/>
        <v>7670</v>
      </c>
      <c r="V25" s="430">
        <f>U25/'Master P&amp;L'!$AD$7*10000</f>
        <v>3.4017025201788099E-2</v>
      </c>
      <c r="W25" s="430">
        <f>(Y25*H25*T25/S25)/'Master P&amp;L'!$AD$7*10000</f>
        <v>3.4017025201788099E-2</v>
      </c>
      <c r="X25" s="431">
        <f t="shared" si="4"/>
        <v>0</v>
      </c>
      <c r="Y25" s="432">
        <f t="shared" si="5"/>
        <v>1.18</v>
      </c>
      <c r="Z25" s="433">
        <f>_xll.BDP(D25&amp;" Equity","LAST_PRICE")</f>
        <v>373.36</v>
      </c>
      <c r="AA25" s="433" cm="1">
        <f t="array" ref="AA25">_xll.BDP(B25&amp;" Equity","OPT_STRIKE_PX")</f>
        <v>355</v>
      </c>
      <c r="AB25" s="427">
        <f t="shared" si="6"/>
        <v>-4.917505892436258E-2</v>
      </c>
      <c r="AC25" s="434" cm="1">
        <f t="array" ref="AC25">_xll.BDP($D25&amp;" Equity","volatility_10d")</f>
        <v>19.064483954191893</v>
      </c>
      <c r="AD25" s="433" cm="1">
        <f t="array" ref="AD25">_xll.BDP(B25&amp;" Equity","ivol_mid")</f>
        <v>26.260560000000002</v>
      </c>
      <c r="AE25" s="433">
        <f t="shared" si="7"/>
        <v>1.377459786642997</v>
      </c>
      <c r="AF25" s="435" cm="1">
        <f t="array" ref="AF25">_xll.BDP(B25&amp;" Equity","DELTA_MID_RT")</f>
        <v>-0.13154369592666626</v>
      </c>
      <c r="AG25" s="128">
        <f>AL25/'Master P&amp;L'!$AE$7</f>
        <v>-1.4158333965616284E-4</v>
      </c>
      <c r="AH25" s="128">
        <f>AM25/'Master P&amp;L'!$AE$7</f>
        <v>-1.0763217397745427E-3</v>
      </c>
      <c r="AI25" s="444">
        <f>AO25/'Master P&amp;L'!$AD$7*10000</f>
        <v>-7.3418184215925768E-3</v>
      </c>
      <c r="AJ25" s="429">
        <f t="shared" si="8"/>
        <v>0.1504559077823712</v>
      </c>
      <c r="AK25" s="435">
        <f>AP25/'Master P&amp;L'!$AD$7*10000</f>
        <v>-4.6989619558402196E-2</v>
      </c>
      <c r="AL25" s="405">
        <f t="shared" si="9"/>
        <v>-319235.50302267075</v>
      </c>
      <c r="AM25" s="405">
        <f t="shared" si="10"/>
        <v>-2426840</v>
      </c>
      <c r="AN25" s="435" cm="1">
        <f t="array" ref="AN25">_xll.BDP($B25&amp;" Equity","theta_mid_rt")</f>
        <v>-0.25467675924301147</v>
      </c>
      <c r="AO25" s="405">
        <f t="shared" si="11"/>
        <v>-1655.3989350795746</v>
      </c>
      <c r="AP25" s="405">
        <f t="shared" si="12"/>
        <v>-10595</v>
      </c>
      <c r="AQ25" s="14" t="str" cm="1">
        <f t="array" ref="AQ25">_xll.BDP($D25&amp;" Equity","EXPECTED_REPORT_DT")</f>
        <v>#N/A N/A</v>
      </c>
      <c r="AR25" s="114" cm="1">
        <f t="array" ref="AR25">_xll.BDP($B25&amp;" Equity","GAMMA_LAST")</f>
        <v>9.2380000000000004E-2</v>
      </c>
      <c r="AS25" s="59">
        <f t="shared" si="13"/>
        <v>837041.30674112018</v>
      </c>
      <c r="AT25" s="59">
        <f t="shared" si="14"/>
        <v>4185206.533705601</v>
      </c>
      <c r="AU25" s="59" t="s">
        <v>151</v>
      </c>
      <c r="AV25" s="337" t="e" cm="1">
        <f t="array" ref="AV25">_xll.BDP($D25&amp;" Equity","EST_PE_NXT_YR")*(AA25/Z25)</f>
        <v>#VALUE!</v>
      </c>
      <c r="AW25" s="59"/>
      <c r="AX25" s="405"/>
      <c r="AY25" s="405">
        <v>1.18</v>
      </c>
      <c r="AZ25" s="436"/>
      <c r="BA25" s="405">
        <f t="shared" si="17"/>
        <v>1.18</v>
      </c>
      <c r="BB25" s="437">
        <f t="shared" si="15"/>
        <v>2.81</v>
      </c>
      <c r="BC25" s="437">
        <f t="shared" si="18"/>
        <v>10595</v>
      </c>
      <c r="BD25" s="437">
        <f>BC25/'Master P&amp;L'!$AD$7*10000</f>
        <v>4.6989619558402196E-2</v>
      </c>
    </row>
    <row r="26" spans="1:56" s="59" customFormat="1">
      <c r="A26" s="357"/>
      <c r="B26" t="s">
        <v>2065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16/01/2026</v>
      </c>
      <c r="F26" cm="1">
        <f t="array" ref="F26">_xll.BDP($B26&amp;" Equity","opt_days_expire")</f>
        <v>14</v>
      </c>
      <c r="G26" t="str" cm="1">
        <f t="array" ref="G26">_xll.BDP(B26&amp;" Equity","QUOTED_CURRENCY_REALTIME")</f>
        <v>USD</v>
      </c>
      <c r="H26" s="15">
        <v>50</v>
      </c>
      <c r="I26" s="411">
        <v>11.44</v>
      </c>
      <c r="J26" s="416">
        <f>VLOOKUP(B26,Precificação!$B:$O,14,FALSE)</f>
        <v>9.35</v>
      </c>
      <c r="K26" s="74">
        <f t="shared" si="16"/>
        <v>9.35</v>
      </c>
      <c r="L26" s="74" cm="1">
        <f t="array" ref="L26">_xll.BDP($B26&amp;" Equity","mid")</f>
        <v>22.67</v>
      </c>
      <c r="M26" s="19">
        <f t="shared" si="0"/>
        <v>7.0930196176590216E-2</v>
      </c>
      <c r="N26" s="351"/>
      <c r="O26" s="19">
        <f t="shared" si="1"/>
        <v>1.4245989304812836</v>
      </c>
      <c r="P26" s="36" cm="1">
        <f t="array" ref="P26">_xll.BDP($B26&amp;" Equity","bid")</f>
        <v>21.9</v>
      </c>
      <c r="Q26" s="36" cm="1">
        <f t="array" ref="Q26">_xll.BDP($B26&amp;" Equity","ask")</f>
        <v>23.45</v>
      </c>
      <c r="R26" s="40">
        <f t="shared" si="2"/>
        <v>7.0776255707762692E-2</v>
      </c>
      <c r="S26" s="36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 t="shared" si="3"/>
        <v>113350</v>
      </c>
      <c r="V26" s="124">
        <f>U26/'Master P&amp;L'!$AD$7*10000</f>
        <v>0.50271575053750728</v>
      </c>
      <c r="W26" s="124">
        <f>(Y26*H26*T26/S26)/'Master P&amp;L'!$AD$7*10000</f>
        <v>6.7856647403827353E-2</v>
      </c>
      <c r="X26" s="414">
        <f t="shared" si="4"/>
        <v>19.610000000000014</v>
      </c>
      <c r="Y26" s="273">
        <f t="shared" si="5"/>
        <v>3.0599999999999881</v>
      </c>
      <c r="Z26" s="37">
        <f>_xll.BDP(D26&amp;" Equity","LAST_PRICE")</f>
        <v>319.61</v>
      </c>
      <c r="AA26" s="37" cm="1">
        <f t="array" ref="AA26">_xll.BDP(B26&amp;" Equity","OPT_STRIKE_PX")</f>
        <v>300</v>
      </c>
      <c r="AB26" s="40">
        <f t="shared" si="6"/>
        <v>-6.1356027658709067E-2</v>
      </c>
      <c r="AC26" s="324" cm="1">
        <f t="array" ref="AC26">_xll.BDP($D26&amp;" Equity","volatility_10d")</f>
        <v>16.91173982072155</v>
      </c>
      <c r="AD26" s="37" cm="1">
        <f t="array" ref="AD26">_xll.BDP(B26&amp;" Equity","ivol_mid")</f>
        <v>36.644350000000003</v>
      </c>
      <c r="AE26" s="37">
        <f t="shared" si="7"/>
        <v>2.1667995362074195</v>
      </c>
      <c r="AF26" s="38" cm="1">
        <f t="array" ref="AF26">_xll.BDP(B26&amp;" Equity","DELTA_MID_RT")</f>
        <v>0.81122386455535889</v>
      </c>
      <c r="AG26" s="19">
        <f>AL26/'Master P&amp;L'!$AE$7</f>
        <v>5.7495260961717108E-4</v>
      </c>
      <c r="AH26" s="19">
        <f>AM26/'Master P&amp;L'!$AE$7</f>
        <v>7.0874715937050152E-4</v>
      </c>
      <c r="AI26" s="438">
        <f>AO26/'Master P&amp;L'!$AD$7*10000</f>
        <v>-5.1464834406283475E-3</v>
      </c>
      <c r="AJ26" s="351">
        <f t="shared" si="8"/>
        <v>0.10546690117932866</v>
      </c>
      <c r="AK26" s="38">
        <f>AP26/'Master P&amp;L'!$AD$7*10000</f>
        <v>0.29537599458136737</v>
      </c>
      <c r="AL26" s="15">
        <f t="shared" si="9"/>
        <v>1296376.2967526913</v>
      </c>
      <c r="AM26" s="15">
        <f t="shared" si="10"/>
        <v>1598050</v>
      </c>
      <c r="AN26" s="38" cm="1">
        <f t="array" ref="AN26">_xll.BDP($B26&amp;" Equity","theta_mid_rt")</f>
        <v>-0.23208101093769073</v>
      </c>
      <c r="AO26" s="15">
        <f t="shared" si="11"/>
        <v>-1160.4050546884537</v>
      </c>
      <c r="AP26" s="15">
        <f t="shared" si="12"/>
        <v>66600.000000000015</v>
      </c>
      <c r="AQ26" s="36" t="str" cm="1">
        <f t="array" ref="AQ26">_xll.BDP($D26&amp;" Equity","EXPECTED_REPORT_DT")</f>
        <v>15/01/2026</v>
      </c>
      <c r="AR26" s="66" cm="1">
        <f t="array" ref="AR26">_xll.BDP($B26&amp;" Equity","GAMMA_LAST")</f>
        <v>5.0463000000000001E-2</v>
      </c>
      <c r="AS26">
        <f t="shared" si="13"/>
        <v>257741.16553111508</v>
      </c>
      <c r="AT26">
        <f t="shared" si="14"/>
        <v>1288705.8276555752</v>
      </c>
      <c r="AU26" t="s">
        <v>151</v>
      </c>
      <c r="AV26" s="277" cm="1">
        <f t="array" ref="AV26">_xll.BDP($D26&amp;" Equity","EST_PE_NXT_YR")*(AA26/Z26)</f>
        <v>23.516318294404527</v>
      </c>
      <c r="AW26"/>
      <c r="AX26" s="15"/>
      <c r="AY26" s="15">
        <v>22.67</v>
      </c>
      <c r="AZ26" s="356"/>
      <c r="BA26" s="15">
        <f t="shared" si="17"/>
        <v>22.67</v>
      </c>
      <c r="BB26" s="415">
        <f t="shared" si="15"/>
        <v>9.35</v>
      </c>
      <c r="BC26" s="415">
        <f t="shared" si="18"/>
        <v>-66600.000000000015</v>
      </c>
      <c r="BD26" s="415">
        <f>BC26/'Master P&amp;L'!$AD$7*10000</f>
        <v>-0.29537599458136737</v>
      </c>
    </row>
    <row r="27" spans="1:56">
      <c r="A27" s="335"/>
      <c r="B27" s="73" t="s">
        <v>2164</v>
      </c>
      <c r="C27" s="73" t="str" cm="1">
        <f t="array" ref="C27">_xll.BDP($B27&amp;" Equity","opt_put_call")</f>
        <v>Call</v>
      </c>
      <c r="D27" s="73" t="str" cm="1">
        <f t="array" ref="D27">_xll.BDP(B27&amp;" Equity","OPT_UNDL_TICKER")</f>
        <v>TSM US</v>
      </c>
      <c r="E27" s="73" t="str" cm="1">
        <f t="array" ref="E27">_xll.BDP($B27&amp;" Equity","mifid_Maturity_date")</f>
        <v>20/03/2026</v>
      </c>
      <c r="F27" s="73" cm="1">
        <f t="array" ref="F27">_xll.BDP($B27&amp;" Equity","opt_days_expire")</f>
        <v>77</v>
      </c>
      <c r="G27" s="73" t="str" cm="1">
        <f t="array" ref="G27">_xll.BDP(B27&amp;" Equity","QUOTED_CURRENCY_REALTIME")</f>
        <v>USD</v>
      </c>
      <c r="H27" s="42">
        <v>425</v>
      </c>
      <c r="I27" s="410">
        <v>18</v>
      </c>
      <c r="J27" s="416">
        <f>VLOOKUP(B27,Precificação!$B:$O,14,FALSE)</f>
        <v>21.25</v>
      </c>
      <c r="K27" s="74">
        <f t="shared" si="16"/>
        <v>21.25</v>
      </c>
      <c r="L27" s="74" cm="1">
        <f t="array" ref="L27">_xll.BDP($B27&amp;" Equity","mid")</f>
        <v>34.479999999999997</v>
      </c>
      <c r="M27" s="75">
        <f t="shared" si="0"/>
        <v>0.10788148055442569</v>
      </c>
      <c r="N27" s="353"/>
      <c r="O27" s="75">
        <f t="shared" si="1"/>
        <v>0.62258823529411744</v>
      </c>
      <c r="P27" s="74" cm="1">
        <f t="array" ref="P27">_xll.BDP($B27&amp;" Equity","bid")</f>
        <v>33.85</v>
      </c>
      <c r="Q27" s="74" cm="1">
        <f t="array" ref="Q27">_xll.BDP($B27&amp;" Equity","ask")</f>
        <v>35.1</v>
      </c>
      <c r="R27" s="76">
        <f t="shared" si="2"/>
        <v>3.692762186115206E-2</v>
      </c>
      <c r="S27" s="74" cm="1">
        <f t="array" ref="S27">_xll.BDP(G27&amp;" Curncy","PX_LAST")</f>
        <v>1</v>
      </c>
      <c r="T27" s="42" cm="1">
        <f t="array" ref="T27">_xll.BDP(B27&amp;" Equity","OPT_MULTIPLIER")</f>
        <v>100</v>
      </c>
      <c r="U27" s="42">
        <f t="shared" si="3"/>
        <v>1465399.9999999998</v>
      </c>
      <c r="V27" s="113">
        <f>U27/'Master P&amp;L'!$AD$7*10000</f>
        <v>6.4991588957888231</v>
      </c>
      <c r="W27" s="113">
        <f>(Y27*H27*T27/S27)/'Master P&amp;L'!$AD$7*10000</f>
        <v>2.8028565191525434</v>
      </c>
      <c r="X27" s="118">
        <f t="shared" si="4"/>
        <v>19.610000000000014</v>
      </c>
      <c r="Y27" s="272">
        <f t="shared" si="5"/>
        <v>14.869999999999983</v>
      </c>
      <c r="Z27" s="77">
        <f>_xll.BDP(D27&amp;" Equity","LAST_PRICE")</f>
        <v>319.61</v>
      </c>
      <c r="AA27" s="77" cm="1">
        <f t="array" ref="AA27">_xll.BDP(B27&amp;" Equity","OPT_STRIKE_PX")</f>
        <v>300</v>
      </c>
      <c r="AB27" s="76">
        <f t="shared" si="6"/>
        <v>-6.1356027658709067E-2</v>
      </c>
      <c r="AC27" s="323" cm="1">
        <f t="array" ref="AC27">_xll.BDP($D27&amp;" Equity","volatility_10d")</f>
        <v>16.91173982072155</v>
      </c>
      <c r="AD27" s="77" cm="1">
        <f t="array" ref="AD27">_xll.BDP(B27&amp;" Equity","ivol_mid")</f>
        <v>36.705219999999997</v>
      </c>
      <c r="AE27" s="77">
        <f t="shared" si="7"/>
        <v>2.1703988110688628</v>
      </c>
      <c r="AF27" s="78" cm="1">
        <f t="array" ref="AF27">_xll.BDP(B27&amp;" Equity","DELTA_MID_RT")</f>
        <v>0.6869814395904541</v>
      </c>
      <c r="AG27" s="75">
        <f>AL27/'Master P&amp;L'!$AE$7</f>
        <v>4.1386172227249329E-3</v>
      </c>
      <c r="AH27" s="75">
        <f>AM27/'Master P&amp;L'!$AE$7</f>
        <v>6.0243508546492632E-3</v>
      </c>
      <c r="AI27" s="439">
        <f>AO27/'Master P&amp;L'!$AD$7*10000</f>
        <v>-2.8996978605629289E-2</v>
      </c>
      <c r="AJ27" s="351">
        <f t="shared" si="8"/>
        <v>0.5942351728864449</v>
      </c>
      <c r="AK27" s="78">
        <f>AP27/'Master P&amp;L'!$AD$7*10000</f>
        <v>2.493731792090665</v>
      </c>
      <c r="AL27" s="42">
        <f t="shared" si="9"/>
        <v>9331560.861068964</v>
      </c>
      <c r="AM27" s="42">
        <f t="shared" si="10"/>
        <v>13583425</v>
      </c>
      <c r="AN27" s="78" cm="1">
        <f t="array" ref="AN27">_xll.BDP($B27&amp;" Equity","theta_mid_rt")</f>
        <v>-0.15383772552013397</v>
      </c>
      <c r="AO27" s="42">
        <f t="shared" si="11"/>
        <v>-6538.1033346056938</v>
      </c>
      <c r="AP27" s="42">
        <f t="shared" si="12"/>
        <v>562274.99999999988</v>
      </c>
      <c r="AQ27" s="74" t="str" cm="1">
        <f t="array" ref="AQ27">_xll.BDP($D27&amp;" Equity","EXPECTED_REPORT_DT")</f>
        <v>15/01/2026</v>
      </c>
      <c r="AR27" s="235" cm="1">
        <f t="array" ref="AR27">_xll.BDP($B27&amp;" Equity","GAMMA_LAST")</f>
        <v>2.2926999999999999E-2</v>
      </c>
      <c r="AS27" s="73">
        <f t="shared" si="13"/>
        <v>995352.42589859758</v>
      </c>
      <c r="AT27" s="73">
        <f t="shared" si="14"/>
        <v>4976762.1294929888</v>
      </c>
      <c r="AU27" s="73" t="s">
        <v>151</v>
      </c>
      <c r="AV27" s="322" cm="1">
        <f t="array" ref="AV27">_xll.BDP($D27&amp;" Equity","EST_PE_NXT_YR")*(AA27/Z27)</f>
        <v>23.516318294404527</v>
      </c>
      <c r="AW27" s="73"/>
      <c r="AX27" s="42"/>
      <c r="AY27" s="42">
        <v>34.479999999999997</v>
      </c>
      <c r="AZ27" s="355"/>
      <c r="BA27" s="42">
        <f t="shared" si="17"/>
        <v>34.479999999999997</v>
      </c>
      <c r="BB27" s="347">
        <f t="shared" si="15"/>
        <v>21.25</v>
      </c>
      <c r="BC27" s="347">
        <f t="shared" si="18"/>
        <v>-562274.99999999988</v>
      </c>
      <c r="BD27" s="347">
        <f>BC27/'Master P&amp;L'!$AD$7*10000</f>
        <v>-2.493731792090665</v>
      </c>
    </row>
    <row r="28" spans="1:56" s="59" customFormat="1">
      <c r="A28" s="357"/>
      <c r="B28" t="s">
        <v>2165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20/03/2026</v>
      </c>
      <c r="F28" cm="1">
        <f t="array" ref="F28">_xll.BDP($B28&amp;" Equity","opt_days_expire")</f>
        <v>77</v>
      </c>
      <c r="G28" t="str" cm="1">
        <f t="array" ref="G28">_xll.BDP(B28&amp;" Equity","QUOTED_CURRENCY_REALTIME")</f>
        <v>USD</v>
      </c>
      <c r="H28" s="15">
        <v>-375</v>
      </c>
      <c r="I28" s="411">
        <v>8.3699999999999992</v>
      </c>
      <c r="J28" s="416">
        <f>VLOOKUP(B28,Precificação!$B:$O,14,FALSE)</f>
        <v>10.1</v>
      </c>
      <c r="K28" s="74">
        <f t="shared" si="16"/>
        <v>10.1</v>
      </c>
      <c r="L28" s="74" cm="1">
        <f t="array" ref="L28">_xll.BDP($B28&amp;" Equity","mid")</f>
        <v>18.649999999999999</v>
      </c>
      <c r="M28" s="19">
        <f t="shared" si="0"/>
        <v>5.8352366947216912E-2</v>
      </c>
      <c r="N28" s="351"/>
      <c r="O28" s="19">
        <f t="shared" si="1"/>
        <v>0.8465346534653464</v>
      </c>
      <c r="P28" s="36" cm="1">
        <f t="array" ref="P28">_xll.BDP($B28&amp;" Equity","bid")</f>
        <v>18.399999999999999</v>
      </c>
      <c r="Q28" s="36" cm="1">
        <f t="array" ref="Q28">_xll.BDP($B28&amp;" Equity","ask")</f>
        <v>18.899999999999999</v>
      </c>
      <c r="R28" s="40">
        <f t="shared" si="2"/>
        <v>2.7173913043478271E-2</v>
      </c>
      <c r="S28" s="36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-699374.99999999988</v>
      </c>
      <c r="V28" s="124">
        <f>U28/'Master P&amp;L'!$AD$7*10000</f>
        <v>-3.101780573728885</v>
      </c>
      <c r="W28" s="124">
        <f>(Y28*H28*T28/S28)/'Master P&amp;L'!$AD$7*10000</f>
        <v>-3.101780573728885</v>
      </c>
      <c r="X28" s="414">
        <f t="shared" si="4"/>
        <v>0</v>
      </c>
      <c r="Y28" s="273">
        <f t="shared" si="5"/>
        <v>18.649999999999999</v>
      </c>
      <c r="Z28" s="37">
        <f>_xll.BDP(D28&amp;" Equity","LAST_PRICE")</f>
        <v>319.61</v>
      </c>
      <c r="AA28" s="37" cm="1">
        <f t="array" ref="AA28">_xll.BDP(B28&amp;" Equity","OPT_STRIKE_PX")</f>
        <v>330</v>
      </c>
      <c r="AB28" s="40">
        <f t="shared" si="6"/>
        <v>3.2508369575420026E-2</v>
      </c>
      <c r="AC28" s="324" cm="1">
        <f t="array" ref="AC28">_xll.BDP($D28&amp;" Equity","volatility_10d")</f>
        <v>16.91173982072155</v>
      </c>
      <c r="AD28" s="37" cm="1">
        <f t="array" ref="AD28">_xll.BDP(B28&amp;" Equity","ivol_mid")</f>
        <v>36.362940000000002</v>
      </c>
      <c r="AE28" s="37">
        <f t="shared" si="7"/>
        <v>2.1501596160700958</v>
      </c>
      <c r="AF28" s="38" cm="1">
        <f t="array" ref="AF28">_xll.BDP(B28&amp;" Equity","DELTA_MID_RT")</f>
        <v>0.4775128960609436</v>
      </c>
      <c r="AG28" s="19">
        <f>AL28/'Master P&amp;L'!$AE$7</f>
        <v>-2.5382693148448153E-3</v>
      </c>
      <c r="AH28" s="19">
        <f>AM28/'Master P&amp;L'!$AE$7</f>
        <v>-5.3156036952787611E-3</v>
      </c>
      <c r="AI28" s="438">
        <f>AO28/'Master P&amp;L'!$AD$7*10000</f>
        <v>2.6694894664469816E-2</v>
      </c>
      <c r="AJ28" s="351">
        <f t="shared" si="8"/>
        <v>-0.54705855950961402</v>
      </c>
      <c r="AK28" s="38">
        <f>AP28/'Master P&amp;L'!$AD$7*10000</f>
        <v>-1.4219959198596228</v>
      </c>
      <c r="AL28" s="15">
        <f t="shared" si="9"/>
        <v>-5723171.1266264329</v>
      </c>
      <c r="AM28" s="15">
        <f t="shared" si="10"/>
        <v>-11985375</v>
      </c>
      <c r="AN28" s="38" cm="1">
        <f t="array" ref="AN28">_xll.BDP($B28&amp;" Equity","theta_mid_rt")</f>
        <v>-0.16050773859024048</v>
      </c>
      <c r="AO28" s="15">
        <f t="shared" si="11"/>
        <v>6019.0401971340179</v>
      </c>
      <c r="AP28" s="15">
        <f t="shared" si="12"/>
        <v>-320624.99999999994</v>
      </c>
      <c r="AQ28" s="36" t="str" cm="1">
        <f t="array" ref="AQ28">_xll.BDP($D28&amp;" Equity","EXPECTED_REPORT_DT")</f>
        <v>15/01/2026</v>
      </c>
      <c r="AR28" s="66" cm="1">
        <f t="array" ref="AR28">_xll.BDP($B28&amp;" Equity","GAMMA_LAST")</f>
        <v>2.2336000000000002E-2</v>
      </c>
      <c r="AS28">
        <f t="shared" si="13"/>
        <v>-855613.02438960015</v>
      </c>
      <c r="AT28">
        <f t="shared" si="14"/>
        <v>-4278065.121948</v>
      </c>
      <c r="AU28" t="s">
        <v>151</v>
      </c>
      <c r="AV28" s="277" cm="1">
        <f t="array" ref="AV28">_xll.BDP($D28&amp;" Equity","EST_PE_NXT_YR")*(AA28/Z28)</f>
        <v>25.867950123844981</v>
      </c>
      <c r="AW28"/>
      <c r="AX28" s="15"/>
      <c r="AY28" s="15">
        <v>18.649999999999999</v>
      </c>
      <c r="AZ28" s="356"/>
      <c r="BA28" s="15">
        <f t="shared" si="17"/>
        <v>18.649999999999999</v>
      </c>
      <c r="BB28" s="415">
        <f t="shared" si="15"/>
        <v>10.1</v>
      </c>
      <c r="BC28" s="415">
        <f t="shared" si="18"/>
        <v>320624.99999999994</v>
      </c>
      <c r="BD28" s="415">
        <f>BC28/'Master P&amp;L'!$AD$7*10000</f>
        <v>1.4219959198596228</v>
      </c>
    </row>
    <row r="29" spans="1:56">
      <c r="H29" s="336"/>
      <c r="I29" s="218">
        <f>I5-I4-1.5*I6</f>
        <v>-37.214999999999996</v>
      </c>
      <c r="J29" s="218">
        <f>J5-J4-1.5*J6</f>
        <v>-38.550000000000004</v>
      </c>
      <c r="K29" s="218">
        <f>K5-K4-1.5*K6</f>
        <v>-38.550000000000004</v>
      </c>
      <c r="L29" s="218">
        <f>L5-L4-1.5*L6</f>
        <v>-48.35499999999999</v>
      </c>
      <c r="AY29">
        <v>-48.35499999999999</v>
      </c>
      <c r="AZ29">
        <v>-59.569999999999993</v>
      </c>
    </row>
    <row r="30" spans="1:56">
      <c r="I30" s="64">
        <f>I7-I12</f>
        <v>18.260000000000002</v>
      </c>
      <c r="J30" s="64"/>
      <c r="K30" s="64">
        <f>K7-K12</f>
        <v>16.225000000000001</v>
      </c>
      <c r="L30" s="64">
        <f>L7-L12</f>
        <v>21.15</v>
      </c>
      <c r="AY30">
        <v>21.15</v>
      </c>
      <c r="AZ30">
        <v>18.100000000000001</v>
      </c>
    </row>
    <row r="31" spans="1:56">
      <c r="I31" s="64">
        <f>I7-I6-I10</f>
        <v>-35.39</v>
      </c>
      <c r="J31" s="64">
        <f>J7-J6-J10</f>
        <v>-31.675000000000001</v>
      </c>
      <c r="K31" s="64">
        <f>K7-K6-K10</f>
        <v>-31.675000000000001</v>
      </c>
      <c r="L31" s="64">
        <f>L7-L6-L10</f>
        <v>-38.53</v>
      </c>
      <c r="AY31">
        <v>-38.53</v>
      </c>
      <c r="AZ31">
        <v>-62.749999999999993</v>
      </c>
    </row>
    <row r="32" spans="1:56">
      <c r="I32" s="218"/>
      <c r="J32" s="218"/>
      <c r="K32" s="218"/>
      <c r="L32" s="218"/>
      <c r="AZ32">
        <v>-0.52999999999999936</v>
      </c>
    </row>
    <row r="33" spans="8:52">
      <c r="I33" s="218"/>
      <c r="J33" s="218"/>
      <c r="K33" s="218"/>
      <c r="L33" s="218"/>
      <c r="AZ33" t="e">
        <v>#REF!</v>
      </c>
    </row>
    <row r="35" spans="8:52">
      <c r="H35" s="42">
        <v>-100</v>
      </c>
      <c r="I35" s="410">
        <v>4.71</v>
      </c>
      <c r="J35" s="408">
        <f>H35*I35</f>
        <v>-471</v>
      </c>
    </row>
    <row r="36" spans="8:52">
      <c r="H36" s="15">
        <v>100</v>
      </c>
      <c r="I36" s="411">
        <v>5.85</v>
      </c>
      <c r="J36" s="408">
        <f t="shared" ref="J36:J42" si="51">H36*I36</f>
        <v>585</v>
      </c>
    </row>
    <row r="37" spans="8:52">
      <c r="H37" s="42">
        <v>-150</v>
      </c>
      <c r="I37" s="410">
        <v>2.72</v>
      </c>
      <c r="J37" s="408">
        <f t="shared" si="51"/>
        <v>-408.00000000000006</v>
      </c>
    </row>
    <row r="38" spans="8:52">
      <c r="H38" s="405"/>
      <c r="I38" s="406"/>
      <c r="J38" s="408">
        <f t="shared" si="51"/>
        <v>0</v>
      </c>
    </row>
    <row r="39" spans="8:52">
      <c r="H39" s="405">
        <v>-50</v>
      </c>
      <c r="I39" s="412">
        <v>4.08</v>
      </c>
      <c r="J39" s="408">
        <f t="shared" si="51"/>
        <v>-204</v>
      </c>
    </row>
    <row r="40" spans="8:52">
      <c r="H40" s="405">
        <v>50</v>
      </c>
      <c r="I40" s="412">
        <v>6.05</v>
      </c>
      <c r="J40" s="408">
        <f t="shared" si="51"/>
        <v>302.5</v>
      </c>
    </row>
    <row r="41" spans="8:52">
      <c r="H41" s="405">
        <v>-75</v>
      </c>
      <c r="I41" s="412">
        <v>2.8</v>
      </c>
      <c r="J41" s="408">
        <f t="shared" si="51"/>
        <v>-210</v>
      </c>
    </row>
    <row r="42" spans="8:52">
      <c r="H42" s="349"/>
      <c r="I42" s="407"/>
      <c r="J42" s="408">
        <f t="shared" si="51"/>
        <v>0</v>
      </c>
    </row>
    <row r="44" spans="8:52">
      <c r="H44" s="349">
        <f>H35+H39</f>
        <v>-150</v>
      </c>
      <c r="I44" s="407">
        <f>J44/H44</f>
        <v>4.5</v>
      </c>
      <c r="J44" s="409">
        <f>J35+J39</f>
        <v>-675</v>
      </c>
    </row>
    <row r="45" spans="8:52">
      <c r="H45" s="349">
        <f>H36+H40</f>
        <v>150</v>
      </c>
      <c r="I45" s="407">
        <f t="shared" ref="I45:I47" si="52">J45/H45</f>
        <v>5.916666666666667</v>
      </c>
      <c r="J45" s="409">
        <f>J36+J40</f>
        <v>887.5</v>
      </c>
    </row>
    <row r="46" spans="8:52">
      <c r="H46" s="349">
        <f>H37+H41</f>
        <v>-225</v>
      </c>
      <c r="I46" s="407">
        <f t="shared" si="52"/>
        <v>2.7466666666666666</v>
      </c>
      <c r="J46" s="409">
        <f>J37+J41</f>
        <v>-618</v>
      </c>
    </row>
    <row r="47" spans="8:52">
      <c r="H47" s="349">
        <f>H38+H42</f>
        <v>0</v>
      </c>
      <c r="I47" s="407" t="e">
        <f t="shared" si="52"/>
        <v>#DIV/0!</v>
      </c>
      <c r="J47" s="409">
        <f>J38+J42</f>
        <v>0</v>
      </c>
    </row>
  </sheetData>
  <autoFilter ref="A3:BD31" xr:uid="{0428720F-9028-4D6D-9843-ED7DFFC9E1CA}">
    <sortState xmlns:xlrd2="http://schemas.microsoft.com/office/spreadsheetml/2017/richdata2" ref="A4:BD31">
      <sortCondition ref="D3:D31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0.79999999999999361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2065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14</v>
      </c>
      <c r="F7" s="59" t="str" cm="1">
        <f t="array" ref="F7">_xll.BDP(B7&amp;" Equity","QUOTED_CURRENCY_REALTIME")</f>
        <v>USD</v>
      </c>
      <c r="G7" s="105" t="s">
        <v>247</v>
      </c>
      <c r="H7" s="96">
        <v>50</v>
      </c>
      <c r="I7" s="97">
        <f>IF(G7="Buy",L7,K7)</f>
        <v>23.45</v>
      </c>
      <c r="J7" s="19">
        <f>I7/S7</f>
        <v>7.3370670504677576E-2</v>
      </c>
      <c r="K7" s="36" cm="1">
        <f t="array" ref="K7">_xll.BDP($B7&amp;" Equity","bid")</f>
        <v>21.9</v>
      </c>
      <c r="L7" s="36" cm="1">
        <f t="array" ref="L7">_xll.BDP($B7&amp;" Equity","ask")</f>
        <v>23.45</v>
      </c>
      <c r="M7" s="40">
        <f>(L7/K7-1)</f>
        <v>7.0776255707762692E-2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117250</v>
      </c>
      <c r="Q7" s="58">
        <f>P7/'Master P&amp;L'!$AD$5*10000</f>
        <v>0.55623869732455111</v>
      </c>
      <c r="R7" s="37" cm="1">
        <f t="array" ref="R7">_xll.BDP($C7&amp;" Equity","EST_PE_NXT_YR")*(T7/S7)</f>
        <v>23.516318294404527</v>
      </c>
      <c r="S7" s="36" cm="1">
        <f t="array" ref="S7">_xll.BDP(C7&amp;" Equity","LAST_PRICE")</f>
        <v>319.61</v>
      </c>
      <c r="T7" s="53" cm="1">
        <f t="array" ref="T7">_xll.BDP(B7&amp;" Equity","OPT_STRIKE_PX")</f>
        <v>300</v>
      </c>
      <c r="U7" s="40">
        <f>T7/S7-1</f>
        <v>-6.1356027658709067E-2</v>
      </c>
      <c r="V7" s="37" cm="1">
        <f t="array" ref="V7">_xll.BDP($B7&amp;" Equity","ivol_mid")</f>
        <v>36.644350000000003</v>
      </c>
      <c r="W7" s="38" cm="1">
        <f t="array" ref="W7">_xll.BDP(B7&amp;" Equity","DELTA_MID_RT")</f>
        <v>0.81122386455535889</v>
      </c>
      <c r="X7" s="48">
        <f>Y7/'Master P&amp;L'!$AE$5</f>
        <v>6.1500610878306424E-4</v>
      </c>
      <c r="Y7" s="15">
        <f>IF(G7="Sell", S7*W7*-H7*O7/N7, S7*W7*H7*O7/N7)</f>
        <v>1296376.2967526913</v>
      </c>
      <c r="Z7" s="15" cm="1">
        <f t="array" ref="Z7">_xll.BDP($B7&amp;" Equity","opt_theta")*H7*O7/N7</f>
        <v>-1455.6599999999999</v>
      </c>
      <c r="AA7" s="19" cm="1">
        <f t="array" ref="AA7">_xll.BDP($B7&amp;" Equity","opt_theta")/I7</f>
        <v>-1.2415010660980811E-2</v>
      </c>
      <c r="AB7" s="36" t="str" cm="1">
        <f t="array" ref="AB7">_xll.BDP($C7&amp;" Equity","EXPECTED_REPORT_DT")</f>
        <v>15/01/2026</v>
      </c>
      <c r="AC7" s="15">
        <f>S7*H7*O7/N7</f>
        <v>1598050</v>
      </c>
      <c r="AD7" s="19">
        <f>AC7/'Master P&amp;L'!$AE$5</f>
        <v>7.5812132218294162E-4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1842</v>
      </c>
      <c r="AO7" t="s">
        <v>151</v>
      </c>
    </row>
    <row r="8" spans="1:41">
      <c r="A8" s="98" t="s">
        <v>246</v>
      </c>
      <c r="B8" s="73" t="s">
        <v>2174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14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50</v>
      </c>
      <c r="I8" s="97">
        <f>IF(G8="Buy",L8,K8)</f>
        <v>5.0999999999999996</v>
      </c>
      <c r="J8" s="19">
        <f>I8/S8</f>
        <v>1.3208671104089506E-2</v>
      </c>
      <c r="K8" s="36" cm="1">
        <f t="array" ref="K8">_xll.BDP($B8&amp;" Equity","bid")</f>
        <v>5.0999999999999996</v>
      </c>
      <c r="L8" s="36" cm="1">
        <f t="array" ref="L8">_xll.BDP($B8&amp;" Equity","ask")</f>
        <v>7</v>
      </c>
      <c r="M8" s="40">
        <f>(L8/K8-1)</f>
        <v>0.37254901960784315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-25499.999999999996</v>
      </c>
      <c r="Q8" s="58">
        <f>P8/'Master P&amp;L'!$AD$5*10000</f>
        <v>-0.12097302159297274</v>
      </c>
      <c r="R8" s="37" cm="1">
        <f t="array" ref="R8">_xll.BDP($C8&amp;" Equity","EST_PE_NXT_YR")*(T8/S8)</f>
        <v>49.838004880854534</v>
      </c>
      <c r="S8" s="36" cm="1">
        <f t="array" ref="S8">_xll.BDP(C8&amp;" Equity","LAST_PRICE")</f>
        <v>386.11</v>
      </c>
      <c r="T8" s="53" cm="1">
        <f t="array" ref="T8">_xll.BDP(B8&amp;" Equity","OPT_STRIKE_PX")</f>
        <v>440</v>
      </c>
      <c r="U8" s="40">
        <f>T8/S8-1</f>
        <v>0.13957162466654571</v>
      </c>
      <c r="V8" s="37" cm="1">
        <f t="array" ref="V8">_xll.BDP($B8&amp;" Equity","ivol_mid")</f>
        <v>75.205690000000004</v>
      </c>
      <c r="W8" s="38" cm="1">
        <f t="array" ref="W8">_xll.BDP(B8&amp;" Equity","DELTA_MID_RT")</f>
        <v>0.2044963538646698</v>
      </c>
      <c r="X8" s="48">
        <f>Y8/'Master P&amp;L'!$AE$5</f>
        <v>-1.8729016444429185E-4</v>
      </c>
      <c r="Y8" s="15">
        <f>IF(G8="Sell", S8*W8*-H8*O8/N8, S8*W8*H8*O8/N8)</f>
        <v>-394790.43595343834</v>
      </c>
      <c r="Z8" s="15" cm="1">
        <f t="array" ref="Z8">_xll.BDP($B8&amp;" Equity","opt_theta")*H8*O8/N8</f>
        <v>-2613.67</v>
      </c>
      <c r="AA8" s="19" cm="1">
        <f t="array" ref="AA8">_xll.BDP($B8&amp;" Equity","opt_theta")/I8</f>
        <v>-0.10249686274509805</v>
      </c>
      <c r="AB8" s="36" t="str" cm="1">
        <f t="array" ref="AB8">_xll.BDP($C8&amp;" Equity","EXPECTED_REPORT_DT")</f>
        <v>06/02/2026</v>
      </c>
      <c r="AC8" s="15">
        <f>S8*H8*O8/N8</f>
        <v>1930550</v>
      </c>
      <c r="AD8" s="19">
        <f>AC8/'Master P&amp;L'!$AE$5</f>
        <v>9.1586065426005315E-4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1845</v>
      </c>
      <c r="AO8" t="s">
        <v>151</v>
      </c>
    </row>
    <row r="9" spans="1:41">
      <c r="H9" s="100" t="s">
        <v>116</v>
      </c>
      <c r="I9" s="102">
        <f>I7-I8</f>
        <v>18.350000000000001</v>
      </c>
      <c r="J9" s="100" t="s">
        <v>249</v>
      </c>
      <c r="K9" s="101">
        <f>K8/L7</f>
        <v>0.21748400852878463</v>
      </c>
      <c r="P9" s="100" t="s">
        <v>250</v>
      </c>
      <c r="Q9" s="108">
        <f>Q7+Q8</f>
        <v>0.43526567573157837</v>
      </c>
      <c r="S9" s="100" t="s">
        <v>251</v>
      </c>
      <c r="T9" s="102">
        <f>T8-T7</f>
        <v>140</v>
      </c>
      <c r="W9" s="100" t="s">
        <v>252</v>
      </c>
      <c r="X9" s="122">
        <f>X7+X8</f>
        <v>4.2771594433877239E-4</v>
      </c>
      <c r="Y9" s="13">
        <f>Y7+Y8</f>
        <v>901585.86079925299</v>
      </c>
      <c r="AC9" s="100" t="s">
        <v>229</v>
      </c>
      <c r="AD9" s="122">
        <f>AD7</f>
        <v>7.5812132218294162E-4</v>
      </c>
      <c r="AO9" t="s">
        <v>151</v>
      </c>
    </row>
    <row r="10" spans="1:41">
      <c r="H10" s="100" t="s">
        <v>253</v>
      </c>
      <c r="I10" s="102">
        <f>(T9-I9)/I9</f>
        <v>6.6294277929155312</v>
      </c>
      <c r="J10" s="100" t="s">
        <v>145</v>
      </c>
      <c r="K10" s="223">
        <f>AVERAGE(K7:L7)-AVERAGE(K8:L8)</f>
        <v>16.624999999999996</v>
      </c>
      <c r="L10" s="18"/>
      <c r="P10" s="130">
        <f>P7+P8</f>
        <v>91750</v>
      </c>
      <c r="Q10" s="108"/>
      <c r="S10" s="100"/>
      <c r="T10" s="102"/>
      <c r="W10" s="100"/>
      <c r="X10" s="122"/>
      <c r="Y10" s="13">
        <f>Y9/S7</f>
        <v>2820.8937792911765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6.016199940058807E-2</v>
      </c>
      <c r="K11" s="167">
        <f>K7-K8</f>
        <v>16.799999999999997</v>
      </c>
      <c r="L11" s="167">
        <f>L7-L8</f>
        <v>16.45</v>
      </c>
      <c r="P11" s="40">
        <f>P10/Y9</f>
        <v>0.10176512741522357</v>
      </c>
      <c r="Q11" s="64">
        <f>Q9*I10</f>
        <v>2.885562367997085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5.2570921932428255E-4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2164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77</v>
      </c>
      <c r="F13" s="59" t="str" cm="1">
        <f t="array" ref="F13">_xll.BDP(B13&amp;" Equity","QUOTED_CURRENCY_REALTIME")</f>
        <v>USD</v>
      </c>
      <c r="G13" s="105" t="s">
        <v>247</v>
      </c>
      <c r="H13" s="96">
        <v>370</v>
      </c>
      <c r="I13" s="97">
        <f>IF(G13="Buy",L13,K13)</f>
        <v>35.1</v>
      </c>
      <c r="J13" s="19">
        <f>I13/S13</f>
        <v>0.10982134476393104</v>
      </c>
      <c r="K13" s="36" cm="1">
        <f t="array" ref="K13">_xll.BDP($B13&amp;" Equity","bid")</f>
        <v>33.85</v>
      </c>
      <c r="L13" s="36" cm="1">
        <f t="array" ref="L13">_xll.BDP($B13&amp;" Equity","ask")</f>
        <v>35.1</v>
      </c>
      <c r="M13" s="40">
        <f>(L13/K13-1)</f>
        <v>3.692762186115206E-2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1298700</v>
      </c>
      <c r="Q13" s="58">
        <f>P13/'Master P&amp;L'!$AD$5*10000</f>
        <v>6.1610848291291651</v>
      </c>
      <c r="R13" s="37" cm="1">
        <f t="array" ref="R13">_xll.BDP($C13&amp;" Equity","EST_PE_NXT_YR")*(T13/S13)</f>
        <v>23.516318294404527</v>
      </c>
      <c r="S13" s="36" cm="1">
        <f t="array" ref="S13">_xll.BDP(C13&amp;" Equity","LAST_PRICE")</f>
        <v>319.61</v>
      </c>
      <c r="T13" s="53" cm="1">
        <f t="array" ref="T13">_xll.BDP(B13&amp;" Equity","OPT_STRIKE_PX")</f>
        <v>300</v>
      </c>
      <c r="U13" s="40">
        <f>T13/S13-1</f>
        <v>-6.1356027658709067E-2</v>
      </c>
      <c r="V13" s="37" cm="1">
        <f t="array" ref="V13">_xll.BDP($B13&amp;" Equity","ivol_mid")</f>
        <v>36.705219999999997</v>
      </c>
      <c r="W13" s="38" cm="1">
        <f t="array" ref="W13">_xll.BDP(B13&amp;" Equity","DELTA_MID_RT")</f>
        <v>0.6869814395904541</v>
      </c>
      <c r="X13" s="48">
        <f>Y13/'Master P&amp;L'!$AE$5</f>
        <v>3.8540330520011718E-3</v>
      </c>
      <c r="Y13" s="15">
        <f>IF(G13="Sell", S13*W13*-H13*O13/N13, S13*W13*H13*O13/N13)</f>
        <v>8123947.1025776863</v>
      </c>
      <c r="Z13" s="15" cm="1">
        <f t="array" ref="Z13">_xll.BDP($B13&amp;" Equity","opt_theta")*H13*O13/N13</f>
        <v>-5048.9830000000002</v>
      </c>
      <c r="AA13" s="19" cm="1">
        <f t="array" ref="AA13">_xll.BDP($B13&amp;" Equity","opt_theta")/I13</f>
        <v>-3.8877207977207973E-3</v>
      </c>
      <c r="AB13" s="36" t="str" cm="1">
        <f t="array" ref="AB13">_xll.BDP($C13&amp;" Equity","EXPECTED_REPORT_DT")</f>
        <v>15/01/2026</v>
      </c>
      <c r="AC13" s="15">
        <f>S13*H13*O13/N13</f>
        <v>11825570.000000002</v>
      </c>
      <c r="AD13" s="19">
        <f>AC13/'Master P&amp;L'!$AE$5</f>
        <v>5.6100977841537685E-3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1843</v>
      </c>
    </row>
    <row r="14" spans="1:41">
      <c r="A14" s="98" t="s">
        <v>246</v>
      </c>
      <c r="B14" s="73" t="s">
        <v>2165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77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370</v>
      </c>
      <c r="I14" s="97">
        <f>IF(G14="Buy",L14,K14)</f>
        <v>18.399999999999999</v>
      </c>
      <c r="J14" s="19">
        <f>I14/S14</f>
        <v>5.7570163636932507E-2</v>
      </c>
      <c r="K14" s="36" cm="1">
        <f t="array" ref="K14">_xll.BDP($B14&amp;" Equity","bid")</f>
        <v>18.399999999999999</v>
      </c>
      <c r="L14" s="36" cm="1">
        <f t="array" ref="L14">_xll.BDP($B14&amp;" Equity","ask")</f>
        <v>18.899999999999999</v>
      </c>
      <c r="M14" s="40">
        <f>(L14/K14-1)</f>
        <v>2.7173913043478271E-2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-680799.99999999988</v>
      </c>
      <c r="Q14" s="58">
        <f>P14/'Master P&amp;L'!$AD$5*10000</f>
        <v>-3.2297424745292482</v>
      </c>
      <c r="R14" s="37" cm="1">
        <f t="array" ref="R14">_xll.BDP($C14&amp;" Equity","EST_PE_NXT_YR")*(T14/S14)</f>
        <v>25.867950123844981</v>
      </c>
      <c r="S14" s="36" cm="1">
        <f t="array" ref="S14">_xll.BDP(C14&amp;" Equity","LAST_PRICE")</f>
        <v>319.61</v>
      </c>
      <c r="T14" s="53" cm="1">
        <f t="array" ref="T14">_xll.BDP(B14&amp;" Equity","OPT_STRIKE_PX")</f>
        <v>330</v>
      </c>
      <c r="U14" s="40">
        <f>T14/S14-1</f>
        <v>3.2508369575420026E-2</v>
      </c>
      <c r="V14" s="37" cm="1">
        <f t="array" ref="V14">_xll.BDP($B14&amp;" Equity","ivol_mid")</f>
        <v>36.362940000000002</v>
      </c>
      <c r="W14" s="38" cm="1">
        <f t="array" ref="W14">_xll.BDP(B14&amp;" Equity","DELTA_MID_RT")</f>
        <v>0.4775128960609436</v>
      </c>
      <c r="X14" s="48">
        <f>Y14/'Master P&amp;L'!$AE$5</f>
        <v>-2.6788940400963479E-3</v>
      </c>
      <c r="Y14" s="15">
        <f>IF(G14="Sell", S14*W14*-H14*O14/N14, S14*W14*H14*O14/N14)</f>
        <v>-5646862.1782714128</v>
      </c>
      <c r="Z14" s="15" cm="1">
        <f t="array" ref="Z14">_xll.BDP($B14&amp;" Equity","opt_theta")*H14*O14/N14</f>
        <v>-4775.0350000000008</v>
      </c>
      <c r="AA14" s="19" cm="1">
        <f t="array" ref="AA14">_xll.BDP($B14&amp;" Equity","opt_theta")/I14</f>
        <v>-7.0138586956521743E-3</v>
      </c>
      <c r="AB14" s="36" t="str" cm="1">
        <f t="array" ref="AB14">_xll.BDP($C14&amp;" Equity","EXPECTED_REPORT_DT")</f>
        <v>15/01/2026</v>
      </c>
      <c r="AC14" s="15">
        <f>S14*H14*O14/N14</f>
        <v>11825570.000000002</v>
      </c>
      <c r="AD14" s="19">
        <f>AC14/'Master P&amp;L'!$AE$5</f>
        <v>5.6100977841537685E-3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1844</v>
      </c>
    </row>
    <row r="15" spans="1:41">
      <c r="H15" s="100" t="s">
        <v>116</v>
      </c>
      <c r="I15" s="102">
        <f>I13-I14</f>
        <v>16.700000000000003</v>
      </c>
      <c r="J15" s="100" t="s">
        <v>249</v>
      </c>
      <c r="K15" s="101">
        <f>K14/L13</f>
        <v>0.5242165242165242</v>
      </c>
      <c r="P15" s="100" t="s">
        <v>250</v>
      </c>
      <c r="Q15" s="108">
        <f>Q13+Q14</f>
        <v>2.9313423545999169</v>
      </c>
      <c r="S15" s="100" t="s">
        <v>251</v>
      </c>
      <c r="T15" s="102">
        <f>T14-T13</f>
        <v>30</v>
      </c>
      <c r="W15" s="100" t="s">
        <v>252</v>
      </c>
      <c r="X15" s="122">
        <f>X13+X14</f>
        <v>1.1751390119048239E-3</v>
      </c>
      <c r="Y15" s="13">
        <f>Y13+Y14</f>
        <v>2477084.9243062735</v>
      </c>
      <c r="AC15" s="100" t="s">
        <v>229</v>
      </c>
      <c r="AD15" s="104">
        <f>AD13</f>
        <v>5.6100977841537685E-3</v>
      </c>
    </row>
    <row r="16" spans="1:41">
      <c r="H16" s="100" t="s">
        <v>253</v>
      </c>
      <c r="I16" s="102">
        <f>(T15-I15)/I15</f>
        <v>0.79640718562874224</v>
      </c>
      <c r="J16" s="100" t="s">
        <v>145</v>
      </c>
      <c r="K16" s="223">
        <f>AVERAGE(K13:L13)-AVERAGE(K14:L14)</f>
        <v>15.825000000000003</v>
      </c>
      <c r="P16" s="130">
        <f>P13+P14</f>
        <v>617900.00000000012</v>
      </c>
      <c r="Q16" s="108"/>
      <c r="S16" s="100"/>
      <c r="T16" s="102"/>
      <c r="W16" s="108">
        <f>1/(W13-W14)</f>
        <v>4.7739865048477661</v>
      </c>
      <c r="X16" s="122"/>
      <c r="Y16" s="13">
        <f>Y15/S13</f>
        <v>7750.3361105918884</v>
      </c>
      <c r="AC16" s="100"/>
      <c r="AD16" s="104"/>
    </row>
    <row r="17" spans="1:38">
      <c r="I17" s="21"/>
      <c r="J17" s="43">
        <f>J13-J14</f>
        <v>5.2251181126998537E-2</v>
      </c>
      <c r="K17" s="167">
        <f>K13-K14</f>
        <v>15.450000000000003</v>
      </c>
      <c r="L17" s="167">
        <f>L13-L14</f>
        <v>16.200000000000003</v>
      </c>
      <c r="P17" s="40">
        <f>P16/Y15</f>
        <v>0.24944643356264731</v>
      </c>
      <c r="Q17" s="64">
        <f>Q15*I16</f>
        <v>2.3345421147412502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2092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7</v>
      </c>
      <c r="F19" s="59" t="str">
        <f>_xll.BDP(B19&amp;" Equity","QUOTED_CURRENCY_REALTIME")</f>
        <v>USD</v>
      </c>
      <c r="G19" s="105" t="s">
        <v>248</v>
      </c>
      <c r="H19" s="96">
        <v>500</v>
      </c>
      <c r="I19" s="97">
        <f>IF(G19="Buy",L19,K19)</f>
        <v>0.14000000000000001</v>
      </c>
      <c r="J19" s="19">
        <f>I19/S19</f>
        <v>7.4132909716706388E-4</v>
      </c>
      <c r="K19" s="36">
        <f>_xll.BDP($B19&amp;" Equity","bid")</f>
        <v>0.14000000000000001</v>
      </c>
      <c r="L19" s="36">
        <f>_xll.BDP($B19&amp;" Equity","ask")</f>
        <v>0.15</v>
      </c>
      <c r="M19" s="40">
        <f>(L19/K19-1)</f>
        <v>7.1428571428571397E-2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-7000</v>
      </c>
      <c r="Q19" s="58">
        <f>P19/'Master P&amp;L'!$AD$5*10000</f>
        <v>-3.3208280437286637E-2</v>
      </c>
      <c r="R19" s="37" cm="1">
        <f t="array" ref="R19">_xll.BDP($C19&amp;" Equity","EST_PE_NXT_YR")*(T19/S19)</f>
        <v>26.660588408248088</v>
      </c>
      <c r="S19" s="36" cm="1">
        <f t="array" ref="S19">_xll.BDP(C19&amp;" Equity","LAST_PRICE")</f>
        <v>188.85</v>
      </c>
      <c r="T19" s="53">
        <f>_xll.BDP(B19&amp;" Equity","OPT_STRIKE_PX")</f>
        <v>205</v>
      </c>
      <c r="U19" s="40">
        <f>T19/S19-1</f>
        <v>8.5517606566057669E-2</v>
      </c>
      <c r="V19" s="37">
        <f>_xll.BDP($B19&amp;" Equity","ivol_mid")</f>
        <v>33.286320000000003</v>
      </c>
      <c r="W19" s="38">
        <f>_xll.BDP(B19&amp;" Equity","DELTA_MID_RT")</f>
        <v>4.1529916226863861E-2</v>
      </c>
      <c r="X19" s="48">
        <f>Y19/'Master P&amp;L'!$AE$5</f>
        <v>-1.8603574443104822E-4</v>
      </c>
      <c r="Y19" s="15">
        <f>IF(G19="Sell", S19*W19*-H19*O19/N19, S19*W19*H19*O19/N19)</f>
        <v>-392146.23397216201</v>
      </c>
      <c r="Z19" s="15" cm="1">
        <f t="array" ref="Z19">_xll.BDP($B19&amp;" Equity","opt_theta")*H19*O19/N19</f>
        <v>-1968.9499999999998</v>
      </c>
      <c r="AA19" s="19" cm="1">
        <f t="array" ref="AA19">_xll.BDP($B19&amp;" Equity","opt_theta")/I19</f>
        <v>-0.28127857142857138</v>
      </c>
      <c r="AB19" s="36" t="str" cm="1">
        <f t="array" ref="AB19">_xll.BDP($C19&amp;" Equity","EXPECTED_REPORT_DT")</f>
        <v>26/02/2026</v>
      </c>
      <c r="AC19" s="15">
        <f>S19*H19*O19/N19</f>
        <v>9442500</v>
      </c>
      <c r="AD19" s="19">
        <f>AC19/'Master P&amp;L'!$AE$5</f>
        <v>4.4795598289868437E-3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2182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7</v>
      </c>
      <c r="F20" s="59" t="str" cm="1">
        <f t="array" ref="F20">_xll.BDP(B20&amp;" Equity","QUOTED_CURRENCY_REALTIME")</f>
        <v>USD</v>
      </c>
      <c r="G20" s="105" t="s">
        <v>247</v>
      </c>
      <c r="H20" s="96">
        <f>H19</f>
        <v>500</v>
      </c>
      <c r="I20" s="97">
        <f t="shared" ref="I20" si="0">IF(G20="Buy",L20,K20)</f>
        <v>1.29</v>
      </c>
      <c r="J20" s="19">
        <f t="shared" ref="J20" si="1">I20/S20</f>
        <v>6.8308181096108029E-3</v>
      </c>
      <c r="K20" s="36" cm="1">
        <f t="array" ref="K20">_xll.BDP($B20&amp;" Equity","bid")</f>
        <v>1.28</v>
      </c>
      <c r="L20" s="36" cm="1">
        <f t="array" ref="L20">_xll.BDP($B20&amp;" Equity","ask")</f>
        <v>1.29</v>
      </c>
      <c r="M20" s="40">
        <f t="shared" ref="M20" si="2">(L20/K20-1)</f>
        <v>7.8125E-3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64500</v>
      </c>
      <c r="Q20" s="58">
        <f>P20/'Master P&amp;L'!$AD$5*10000</f>
        <v>0.30599058402928403</v>
      </c>
      <c r="R20" s="37" cm="1">
        <f t="array" ref="R20">_xll.BDP($C20&amp;" Equity","EST_PE_NXT_YR")*(T20/S20)</f>
        <v>25.36007190052867</v>
      </c>
      <c r="S20" s="36" cm="1">
        <f t="array" ref="S20">_xll.BDP(C20&amp;" Equity","LAST_PRICE")</f>
        <v>188.85</v>
      </c>
      <c r="T20" s="53" cm="1">
        <f t="array" ref="T20">_xll.BDP(B20&amp;" Equity","OPT_STRIKE_PX")</f>
        <v>195</v>
      </c>
      <c r="U20" s="40">
        <f t="shared" ref="U20" si="4">T20/S20-1</f>
        <v>3.2565528196981663E-2</v>
      </c>
      <c r="V20" s="37" cm="1">
        <f t="array" ref="V20">_xll.BDP($B20&amp;" Equity","ivol_mid")</f>
        <v>32.149360000000001</v>
      </c>
      <c r="W20" s="38" cm="1">
        <f t="array" ref="W20">_xll.BDP(B20&amp;" Equity","DELTA_MID_RT")</f>
        <v>0.25388675928115845</v>
      </c>
      <c r="X20" s="48">
        <f>Y20/'Master P&amp;L'!$AE$5</f>
        <v>1.1373009279875301E-3</v>
      </c>
      <c r="Y20" s="15">
        <f t="shared" ref="Y20" si="5">IF(G20="Sell", S20*W20*-H20*O20/N20, S20*W20*H20*O20/N20)</f>
        <v>2397325.7245123386</v>
      </c>
      <c r="Z20" s="15" cm="1">
        <f t="array" ref="Z20">_xll.BDP($B20&amp;" Equity","opt_theta")*H20*O20/N20</f>
        <v>-7381.6</v>
      </c>
      <c r="AA20" s="19" cm="1">
        <f t="array" ref="AA20">_xll.BDP($B20&amp;" Equity","opt_theta")/I20</f>
        <v>-0.14721550387596899</v>
      </c>
      <c r="AB20" s="36" t="str" cm="1">
        <f t="array" ref="AB20">_xll.BDP($C20&amp;" Equity","EXPECTED_REPORT_DT")</f>
        <v>26/02/2026</v>
      </c>
      <c r="AC20" s="15">
        <f t="shared" ref="AC20" si="6">S20*H20*O20/N20</f>
        <v>9442500</v>
      </c>
      <c r="AD20" s="19">
        <f>AC20/'Master P&amp;L'!$AE$5</f>
        <v>4.4795598289868437E-3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-1.1499999999999999</v>
      </c>
      <c r="J21" s="100" t="s">
        <v>249</v>
      </c>
      <c r="K21" s="101">
        <f>K20/L19</f>
        <v>8.5333333333333332</v>
      </c>
      <c r="P21" s="100" t="s">
        <v>250</v>
      </c>
      <c r="Q21" s="108">
        <f>Q19+Q20</f>
        <v>0.2727823035919974</v>
      </c>
      <c r="S21" s="100" t="s">
        <v>251</v>
      </c>
      <c r="T21" s="102">
        <f>T20-T19</f>
        <v>-10</v>
      </c>
      <c r="W21" s="100" t="s">
        <v>252</v>
      </c>
      <c r="X21" s="122">
        <f>X19+X20</f>
        <v>9.5126518355648183E-4</v>
      </c>
      <c r="Y21" s="13">
        <f>Y19+Y20</f>
        <v>2005179.4905401766</v>
      </c>
      <c r="AC21" s="100" t="s">
        <v>229</v>
      </c>
      <c r="AD21" s="104">
        <f>AD19</f>
        <v>4.4795598289868437E-3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7.6956521739130439</v>
      </c>
      <c r="J22" s="100" t="s">
        <v>145</v>
      </c>
      <c r="K22" s="223">
        <f>AVERAGE(K19:L19)-AVERAGE(K20:L20)</f>
        <v>-1.1400000000000001</v>
      </c>
      <c r="P22" s="130">
        <f>P19+P20</f>
        <v>57500</v>
      </c>
      <c r="Q22" s="108"/>
      <c r="S22" s="100"/>
      <c r="T22" s="102"/>
      <c r="W22" s="100"/>
      <c r="X22" s="122"/>
      <c r="Y22" s="3">
        <f>Y21/S19</f>
        <v>10617.842152714729</v>
      </c>
      <c r="AC22" s="100"/>
      <c r="AD22" s="104"/>
    </row>
    <row r="23" spans="1:38">
      <c r="I23" s="64">
        <f>I20*2</f>
        <v>2.58</v>
      </c>
      <c r="K23" s="167">
        <f>K19-K20</f>
        <v>-1.1400000000000001</v>
      </c>
      <c r="L23" s="167">
        <f>L19-L20</f>
        <v>-1.1400000000000001</v>
      </c>
      <c r="P23" s="40">
        <f>P22/Y21</f>
        <v>2.8675737145361504E-2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1.467741935483871</v>
      </c>
      <c r="K25" s="238"/>
      <c r="L25" s="238"/>
      <c r="W25" s="50"/>
    </row>
    <row r="26" spans="1:38">
      <c r="A26" s="440">
        <f>A24-H26</f>
        <v>195</v>
      </c>
      <c r="B26" s="132" t="s">
        <v>2131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49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45.5</v>
      </c>
      <c r="J26" s="19">
        <f>I26/S26</f>
        <v>0.11784206573256326</v>
      </c>
      <c r="K26" s="36" cm="1">
        <f t="array" ref="K26">_xll.BDP($B26&amp;" Equity","bid")</f>
        <v>45.5</v>
      </c>
      <c r="L26" s="36" cm="1">
        <f t="array" ref="L26">_xll.BDP($B26&amp;" Equity","ask")</f>
        <v>47.8</v>
      </c>
      <c r="M26" s="40">
        <f>(L26/K26-1)</f>
        <v>5.0549450549450592E-2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-409500</v>
      </c>
      <c r="Q26" s="58">
        <f>P26/'Master P&amp;L'!$AD$5*10000</f>
        <v>-1.9426844055812684</v>
      </c>
      <c r="R26" s="37" cm="1">
        <f t="array" ref="R26">_xll.BDP($C26&amp;" Equity","EST_PE_NXT_YR")*(T26/S26)</f>
        <v>45.307277164413215</v>
      </c>
      <c r="S26" s="36" cm="1">
        <f t="array" ref="S26">_xll.BDP(C26&amp;" Equity","LAST_PRICE")</f>
        <v>386.11</v>
      </c>
      <c r="T26" s="53" cm="1">
        <f t="array" ref="T26">_xll.BDP(B26&amp;" Equity","OPT_STRIKE_PX")</f>
        <v>400</v>
      </c>
      <c r="U26" s="40">
        <f>T26/S26-1</f>
        <v>3.5974204242314345E-2</v>
      </c>
      <c r="V26" s="37" cm="1">
        <f t="array" ref="V26">_xll.BDP($B26&amp;" Equity","ivol_mid")</f>
        <v>92.730320000000006</v>
      </c>
      <c r="W26" s="38" cm="1">
        <f t="array" ref="W26">_xll.BDP(B26&amp;" Equity","DELTA_MID_RT")</f>
        <v>0.53216063976287842</v>
      </c>
      <c r="X26" s="48">
        <f>Y26/'Master P&amp;L'!$AE$5</f>
        <v>-8.7729298506842093E-4</v>
      </c>
      <c r="Y26" s="15">
        <f>IF(G26="Sell", S26*W26*-H26*O26/N26, S26*W26*H26*O26/N26)</f>
        <v>-1849252.9015696051</v>
      </c>
      <c r="Z26" s="15" cm="1">
        <f t="array" ref="Z26">_xll.BDP($B26&amp;" Equity","opt_theta")*H26*O26/N26</f>
        <v>-4495.3650000000007</v>
      </c>
      <c r="AA26" s="19" cm="1">
        <f t="array" ref="AA26">_xll.BDP($B26&amp;" Equity","opt_theta")/I26</f>
        <v>-1.0977692307692308E-2</v>
      </c>
      <c r="AB26" s="36" t="str" cm="1">
        <f t="array" ref="AB26">_xll.BDP($C26&amp;" Equity","EXPECTED_REPORT_DT")</f>
        <v>06/02/2026</v>
      </c>
      <c r="AC26" s="15">
        <f>S26*H26*O26/N26</f>
        <v>3474990</v>
      </c>
      <c r="AD26" s="19">
        <f>AC26/'Master P&amp;L'!$AE$5</f>
        <v>1.6485491776680955E-3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2132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49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31</v>
      </c>
      <c r="J27" s="19">
        <f>I27/S27</f>
        <v>8.0288000828779363E-2</v>
      </c>
      <c r="K27" s="36" cm="1">
        <f t="array" ref="K27">_xll.BDP($B27&amp;" Equity","bid")</f>
        <v>29.5</v>
      </c>
      <c r="L27" s="36" cm="1">
        <f t="array" ref="L27">_xll.BDP($B27&amp;" Equity","ask")</f>
        <v>31</v>
      </c>
      <c r="M27" s="40">
        <f>(L27/K27-1)</f>
        <v>5.0847457627118731E-2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139500</v>
      </c>
      <c r="Q27" s="58">
        <f>P27/'Master P&amp;L'!$AD$5*10000</f>
        <v>0.661793588714498</v>
      </c>
      <c r="R27" s="37" cm="1">
        <f t="array" ref="R27">_xll.BDP($C27&amp;" Equity","EST_PE_NXT_YR")*(T27/S27)</f>
        <v>50.970686809964867</v>
      </c>
      <c r="S27" s="36" cm="1">
        <f t="array" ref="S27">_xll.BDP(C27&amp;" Equity","LAST_PRICE")</f>
        <v>386.11</v>
      </c>
      <c r="T27" s="53" cm="1">
        <f t="array" ref="T27">_xll.BDP(B27&amp;" Equity","OPT_STRIKE_PX")</f>
        <v>450</v>
      </c>
      <c r="U27" s="40">
        <f>T27/S27-1</f>
        <v>0.16547097977260372</v>
      </c>
      <c r="V27" s="37" cm="1">
        <f t="array" ref="V27">_xll.BDP($B27&amp;" Equity","ivol_mid")</f>
        <v>92.711470000000006</v>
      </c>
      <c r="W27" s="38" cm="1">
        <f t="array" ref="W27">_xll.BDP(B27&amp;" Equity","DELTA_MID_RT")</f>
        <v>0.39402821660041809</v>
      </c>
      <c r="X27" s="48">
        <f>Y27/'Master P&amp;L'!$AE$5</f>
        <v>3.2478744622732283E-4</v>
      </c>
      <c r="Y27" s="15">
        <f>IF(G27="Sell", S27*W27*-H27*O27/N27, S27*W27*H27*O27/N27)</f>
        <v>684622.05620214355</v>
      </c>
      <c r="Z27" s="15" cm="1">
        <f t="array" ref="Z27">_xll.BDP($B27&amp;" Equity","opt_theta")*H27*O27/N27</f>
        <v>-2144.232</v>
      </c>
      <c r="AA27" s="19" cm="1">
        <f t="array" ref="AA27">_xll.BDP($B27&amp;" Equity","opt_theta")/I27</f>
        <v>-1.5370838709677419E-2</v>
      </c>
      <c r="AB27" s="36" t="str" cm="1">
        <f t="array" ref="AB27">_xll.BDP($C27&amp;" Equity","EXPECTED_REPORT_DT")</f>
        <v>06/02/2026</v>
      </c>
      <c r="AC27" s="15">
        <f>S27*H27*O27/N27</f>
        <v>1737495</v>
      </c>
      <c r="AD27" s="19">
        <f>AC27/'Master P&amp;L'!$AE$5</f>
        <v>8.2427458883404777E-4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14.5</v>
      </c>
      <c r="J28" s="100" t="s">
        <v>249</v>
      </c>
      <c r="K28" s="101">
        <f>K27/L26</f>
        <v>0.61715481171548126</v>
      </c>
      <c r="P28" s="100" t="s">
        <v>250</v>
      </c>
      <c r="Q28" s="103">
        <f>Q26+Q27</f>
        <v>-1.2808908168667705</v>
      </c>
      <c r="S28" s="100" t="s">
        <v>251</v>
      </c>
      <c r="T28" s="102">
        <f>T27-T26</f>
        <v>50</v>
      </c>
      <c r="W28" s="100" t="s">
        <v>252</v>
      </c>
      <c r="X28" s="122">
        <f>X26+X27</f>
        <v>-5.5250553884109805E-4</v>
      </c>
      <c r="Y28" s="13">
        <f>Y26+Y27</f>
        <v>-1164630.8453674614</v>
      </c>
      <c r="AC28" s="100" t="s">
        <v>229</v>
      </c>
      <c r="AD28" s="104">
        <f>AD26</f>
        <v>1.6485491776680955E-3</v>
      </c>
    </row>
    <row r="29" spans="1:38">
      <c r="A29" s="13">
        <f>A27-A26</f>
        <v>45</v>
      </c>
      <c r="H29" s="100" t="s">
        <v>253</v>
      </c>
      <c r="I29" s="102">
        <f>(T28-I28)/I28</f>
        <v>2.4482758620689653</v>
      </c>
      <c r="J29" s="100" t="s">
        <v>145</v>
      </c>
      <c r="K29" s="109">
        <f>AVERAGE(K26:L26)-AVERAGE(K27:L27)</f>
        <v>16.399999999999999</v>
      </c>
      <c r="P29" s="130">
        <f>P26+P27</f>
        <v>-270000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3.7554064903783893E-2</v>
      </c>
      <c r="K30" s="167">
        <f>K26-K27</f>
        <v>16</v>
      </c>
      <c r="L30" s="167">
        <f>L26-L27</f>
        <v>16.799999999999997</v>
      </c>
      <c r="P30" s="40">
        <f>P29/Y28</f>
        <v>0.23183311782783003</v>
      </c>
      <c r="X30" s="3">
        <f>Y30/I28</f>
        <v>-208.02198504579479</v>
      </c>
      <c r="Y30" s="8">
        <f>Y28/S26</f>
        <v>-3016.3187831640244</v>
      </c>
      <c r="AG30" s="167"/>
      <c r="AH30" s="167"/>
    </row>
    <row r="31" spans="1:38">
      <c r="K31" s="64">
        <f>I27*2-I26</f>
        <v>16.5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2203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77</v>
      </c>
      <c r="F33" t="str" cm="1">
        <f t="array" ref="F33">_xll.BDP(B33&amp;" Equity","QUOTED_CURRENCY_REALTIME")</f>
        <v>USD</v>
      </c>
      <c r="G33" s="105" t="s">
        <v>247</v>
      </c>
      <c r="H33" s="96">
        <v>100</v>
      </c>
      <c r="I33" s="97">
        <f>IF(G33="Buy",L33,K33)</f>
        <v>20.3</v>
      </c>
      <c r="J33" s="19">
        <f>I33/S33</f>
        <v>7.399577167019028E-2</v>
      </c>
      <c r="K33" s="36" cm="1">
        <f t="array" ref="K33">_xll.BDP($B33&amp;" Equity","bid")</f>
        <v>19.45</v>
      </c>
      <c r="L33" s="36" cm="1">
        <f t="array" ref="L33">_xll.BDP($B33&amp;" Equity","ask")</f>
        <v>20.3</v>
      </c>
      <c r="M33" s="40">
        <f>(L33/K33-1)</f>
        <v>4.3701799485861281E-2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203000</v>
      </c>
      <c r="Q33" s="58">
        <f>P33/'Master P&amp;L'!$AD$5*10000</f>
        <v>0.96304013268131239</v>
      </c>
      <c r="R33" s="37" cm="1">
        <f t="array" ref="R33">_xll.BDP($C33&amp;" Equity","EST_PE_NXT_YR")*(T33/S33)</f>
        <v>12.216494826076177</v>
      </c>
      <c r="S33" s="36">
        <f>_xll.BDP(C33&amp;" Equity","LAST_PRICE")</f>
        <v>274.33999999999997</v>
      </c>
      <c r="T33" s="53" cm="1">
        <f t="array" ref="T33">_xll.BDP(B33&amp;" Equity","OPT_STRIKE_PX")</f>
        <v>290</v>
      </c>
      <c r="U33" s="40">
        <f>T33/S33-1</f>
        <v>5.7082452431289843E-2</v>
      </c>
      <c r="V33" s="37" cm="1">
        <f t="array" ref="V33">_xll.BDP($B33&amp;" Equity","ivol_mid")</f>
        <v>51.319479999999999</v>
      </c>
      <c r="W33" s="38" cm="1">
        <f t="array" ref="W33">_xll.BDP(B33&amp;" Equity","DELTA_MID_RT")</f>
        <v>0.46471107006072998</v>
      </c>
      <c r="X33" s="48">
        <f>Y33/'Master P&amp;L'!$AE$5</f>
        <v>6.0481214056998993E-4</v>
      </c>
      <c r="Y33" s="15">
        <f>IF(G33="Sell", S33*W33*-H33*O33/N33, S33*W33*H33*O33/N33)</f>
        <v>1274888.3496046064</v>
      </c>
      <c r="Z33" s="15" cm="1">
        <f t="array" ref="Z33">_xll.BDP($B33&amp;" Equity","opt_theta")*H33*O33/N33</f>
        <v>-1514.98</v>
      </c>
      <c r="AA33" s="19" cm="1">
        <f t="array" ref="AA33">_xll.BDP($B33&amp;" Equity","opt_theta")/I33</f>
        <v>-7.4629556650246303E-3</v>
      </c>
      <c r="AB33" s="36" t="str" cm="1">
        <f t="array" ref="AB33">_xll.BDP($C33&amp;" Equity","EXPECTED_REPORT_DT")</f>
        <v>25/02/2026</v>
      </c>
      <c r="AC33" s="15">
        <f>S33*H33*O33/N33</f>
        <v>2743399.9999999995</v>
      </c>
      <c r="AD33" s="19">
        <f>AC33/'Master P&amp;L'!$AE$5</f>
        <v>1.3014799507378879E-3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2204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77</v>
      </c>
      <c r="F34" t="str" cm="1">
        <f t="array" ref="F34">_xll.BDP(B34&amp;" Equity","QUOTED_CURRENCY_REALTIME")</f>
        <v>USD</v>
      </c>
      <c r="G34" s="105" t="s">
        <v>248</v>
      </c>
      <c r="H34" s="96">
        <v>75</v>
      </c>
      <c r="I34" s="97">
        <f>IF(G34="Buy",L34,K34)</f>
        <v>10.25</v>
      </c>
      <c r="J34" s="19">
        <f>I34/S34</f>
        <v>3.7362397025588689E-2</v>
      </c>
      <c r="K34" s="36" cm="1">
        <f t="array" ref="K34">_xll.BDP($B34&amp;" Equity","bid")</f>
        <v>10.25</v>
      </c>
      <c r="L34" s="36" cm="1">
        <f t="array" ref="L34">_xll.BDP($B34&amp;" Equity","ask")</f>
        <v>11.1</v>
      </c>
      <c r="M34" s="40">
        <f>(L34/K34-1)</f>
        <v>8.2926829268292757E-2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-76875</v>
      </c>
      <c r="Q34" s="58">
        <f>P34/'Master P&amp;L'!$AD$5*10000</f>
        <v>-0.36469807980234425</v>
      </c>
      <c r="R34" s="37" cm="1">
        <f t="array" ref="R34">_xll.BDP($C34&amp;" Equity","EST_PE_NXT_YR")*(T34/S34)</f>
        <v>13.48027015291164</v>
      </c>
      <c r="S34" s="36" cm="1">
        <f t="array" ref="S34">_xll.BDP(C34&amp;" Equity","LAST_PRICE")</f>
        <v>274.33999999999997</v>
      </c>
      <c r="T34" s="53" cm="1">
        <f t="array" ref="T34">_xll.BDP(B34&amp;" Equity","OPT_STRIKE_PX")</f>
        <v>320</v>
      </c>
      <c r="U34" s="40">
        <f>T34/S34-1</f>
        <v>0.16643580957935411</v>
      </c>
      <c r="V34" s="37" cm="1">
        <f t="array" ref="V34">_xll.BDP($B34&amp;" Equity","ivol_mid")</f>
        <v>51.136339999999997</v>
      </c>
      <c r="W34" s="38" cm="1">
        <f t="array" ref="W34">_xll.BDP(B34&amp;" Equity","DELTA_MID_RT")</f>
        <v>0.30031898617744446</v>
      </c>
      <c r="X34" s="48">
        <f>Y34/'Master P&amp;L'!$AE$5</f>
        <v>-2.9314435450190462E-4</v>
      </c>
      <c r="Y34" s="15">
        <f>IF(G34="Sell", S34*W34*-H34*O34/N34, S34*W34*H34*O34/N34)</f>
        <v>-617921.33000940073</v>
      </c>
      <c r="Z34" s="15" cm="1">
        <f t="array" ref="Z34">_xll.BDP($B34&amp;" Equity","opt_theta")*H34*O34/N34</f>
        <v>-871.1400000000001</v>
      </c>
      <c r="AA34" s="19" cm="1">
        <f t="array" ref="AA34">_xll.BDP($B34&amp;" Equity","opt_theta")/I34</f>
        <v>-1.1331902439024391E-2</v>
      </c>
      <c r="AB34" s="36" t="str" cm="1">
        <f t="array" ref="AB34">_xll.BDP($C34&amp;" Equity","EXPECTED_REPORT_DT")</f>
        <v>25/02/2026</v>
      </c>
      <c r="AC34" s="15">
        <f>S34*H34*O34/N34</f>
        <v>2057549.9999999995</v>
      </c>
      <c r="AD34" s="19">
        <f>AC34/'Master P&amp;L'!$AE$5</f>
        <v>9.7610996305341573E-4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>
        <f>I33-I34</f>
        <v>10.050000000000001</v>
      </c>
      <c r="J35" s="100" t="s">
        <v>249</v>
      </c>
      <c r="K35" s="101">
        <f>K34/L33</f>
        <v>0.50492610837438423</v>
      </c>
      <c r="P35" s="100" t="s">
        <v>250</v>
      </c>
      <c r="Q35" s="103">
        <f>Q33+Q34</f>
        <v>0.59834205287896813</v>
      </c>
      <c r="S35" s="100" t="s">
        <v>251</v>
      </c>
      <c r="T35" s="102">
        <f>T34-T33</f>
        <v>30</v>
      </c>
      <c r="W35" s="100" t="s">
        <v>252</v>
      </c>
      <c r="X35" s="122">
        <f>X33+X34</f>
        <v>3.1166778606808531E-4</v>
      </c>
      <c r="Y35" s="13">
        <f>Y33+Y34</f>
        <v>656967.01959520567</v>
      </c>
      <c r="AC35" s="100" t="s">
        <v>229</v>
      </c>
      <c r="AD35" s="104">
        <f>AD33</f>
        <v>1.3014799507378879E-3</v>
      </c>
    </row>
    <row r="36" spans="1:38">
      <c r="H36" s="100" t="s">
        <v>253</v>
      </c>
      <c r="I36" s="102">
        <f>(T35-I35)/I35</f>
        <v>1.9850746268656714</v>
      </c>
      <c r="J36" s="100" t="s">
        <v>145</v>
      </c>
      <c r="K36" s="109">
        <f>AVERAGE(K33:L33)-AVERAGE(K34:L34)</f>
        <v>9.1999999999999993</v>
      </c>
      <c r="P36" s="130">
        <f>P33+P34</f>
        <v>126125</v>
      </c>
      <c r="Q36" s="108"/>
      <c r="S36" s="100"/>
      <c r="T36" s="102"/>
      <c r="W36" s="100"/>
      <c r="X36" s="122"/>
      <c r="Y36" s="13">
        <f>Y35/S33</f>
        <v>2394.7183042764664</v>
      </c>
      <c r="AC36" s="100"/>
      <c r="AD36" s="104"/>
    </row>
    <row r="37" spans="1:38">
      <c r="I37" s="21">
        <f>I35/S33</f>
        <v>3.6633374644601598E-2</v>
      </c>
      <c r="K37" s="64">
        <f>(2*I33)-(I34*3)</f>
        <v>9.8500000000000014</v>
      </c>
      <c r="P37" s="267">
        <f>P36/I35/100</f>
        <v>125.49751243781093</v>
      </c>
      <c r="W37" s="50">
        <f>W33-W34</f>
        <v>0.16439208388328552</v>
      </c>
    </row>
    <row r="38" spans="1:38">
      <c r="H38">
        <v>1</v>
      </c>
      <c r="J38" s="43">
        <f>J39-J40</f>
        <v>6.9619550565361496E-2</v>
      </c>
      <c r="P38" s="13"/>
    </row>
    <row r="39" spans="1:38">
      <c r="A39" s="281">
        <f>S39-T39</f>
        <v>35.285000000000025</v>
      </c>
      <c r="B39" s="73" t="s">
        <v>2186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77</v>
      </c>
      <c r="F39" t="str" cm="1">
        <f t="array" ref="F39">_xll.BDP(B39&amp;" Equity","QUOTED_CURRENCY_REALTIME")</f>
        <v>USD</v>
      </c>
      <c r="G39" s="105" t="s">
        <v>247</v>
      </c>
      <c r="H39" s="96">
        <v>200</v>
      </c>
      <c r="I39" s="224">
        <f>IF(G39="Buy",L39,K39)</f>
        <v>58</v>
      </c>
      <c r="J39" s="19">
        <f>I39/S39</f>
        <v>0.18396054363512376</v>
      </c>
      <c r="K39" s="36" cm="1">
        <f t="array" ref="K39">_xll.BDP($B39&amp;" Equity","bid")</f>
        <v>56.4</v>
      </c>
      <c r="L39" s="36" cm="1">
        <f t="array" ref="L39">_xll.BDP($B39&amp;" Equity","ask")</f>
        <v>58</v>
      </c>
      <c r="M39" s="40">
        <f>(L39/K39-1)</f>
        <v>2.8368794326241176E-2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1160000</v>
      </c>
      <c r="Q39" s="58">
        <f>P39/'Master P&amp;L'!$AD$5*10000</f>
        <v>5.5030864724646422</v>
      </c>
      <c r="R39" s="37" cm="1">
        <f t="array" ref="R39">_xll.BDP($C39&amp;" Equity","EST_PE_NXT_YR")*(T39/S39)</f>
        <v>6.5923287778849868</v>
      </c>
      <c r="S39" s="36" cm="1">
        <f t="array" ref="S39">_xll.BDP(C39&amp;" Equity","LAST_PRICE")</f>
        <v>315.28500000000003</v>
      </c>
      <c r="T39" s="53" cm="1">
        <f t="array" ref="T39">_xll.BDP(B39&amp;" Equity","OPT_STRIKE_PX")</f>
        <v>280</v>
      </c>
      <c r="U39" s="40">
        <f>T39/S39-1</f>
        <v>-0.11191461693388527</v>
      </c>
      <c r="V39" s="37" cm="1">
        <f t="array" ref="V39">_xll.BDP($B39&amp;" Equity","ivol_mid")</f>
        <v>63.442540000000001</v>
      </c>
      <c r="W39" s="38" cm="1">
        <f t="array" ref="W39">_xll.BDP(B39&amp;" Equity","DELTA_MID_RT")</f>
        <v>0.7160835862159729</v>
      </c>
      <c r="X39" s="48">
        <f>Y39/'Master P&amp;L'!$AE$5</f>
        <v>2.1421277729398343E-3</v>
      </c>
      <c r="Y39" s="15">
        <f>IF(G39="Sell", S39*W39*-H39*O39/N39, S39*W39*H39*O39/N39)</f>
        <v>4515408.2696020603</v>
      </c>
      <c r="Z39" s="15" cm="1">
        <f t="array" ref="Z39">_xll.BDP($B39&amp;" Equity","opt_theta")*H39*O39/N39</f>
        <v>-4037.1000000000004</v>
      </c>
      <c r="AA39" s="19" cm="1">
        <f t="array" ref="AA39">_xll.BDP($B39&amp;" Equity","opt_theta")/I39</f>
        <v>-3.4802586206896555E-3</v>
      </c>
      <c r="AB39" s="36" t="str" cm="1">
        <f t="array" ref="AB39">_xll.BDP($C39&amp;" Equity","EXPECTED_REPORT_DT")</f>
        <v>20/03/2026</v>
      </c>
      <c r="AC39" s="15">
        <f>S39*H39*O39/N39</f>
        <v>6305700.0000000009</v>
      </c>
      <c r="AD39" s="19">
        <f>AC39/'Master P&amp;L'!$AE$5</f>
        <v>2.9914493421914052E-3</v>
      </c>
      <c r="AE39" t="str">
        <f>B39  &amp; " - Buy to open " &amp;  "-" &amp; H39 &amp;"x"</f>
        <v>MU US 03/20/26 C280 - Buy to open -200x</v>
      </c>
    </row>
    <row r="40" spans="1:38">
      <c r="A40" s="281">
        <f>S40-T40</f>
        <v>-4.714999999999975</v>
      </c>
      <c r="B40" s="73" t="s">
        <v>2187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77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200</v>
      </c>
      <c r="I40" s="224">
        <f>IF(G40="Buy",L40,K40)</f>
        <v>36.049999999999997</v>
      </c>
      <c r="J40" s="19">
        <f>I40/S40</f>
        <v>0.11434099306976227</v>
      </c>
      <c r="K40" s="36" cm="1">
        <f t="array" ref="K40">_xll.BDP($B40&amp;" Equity","bid")</f>
        <v>36.049999999999997</v>
      </c>
      <c r="L40" s="36" cm="1">
        <f t="array" ref="L40">_xll.BDP($B40&amp;" Equity","ask")</f>
        <v>36.549999999999997</v>
      </c>
      <c r="M40" s="40">
        <f>(L40/K40-1)</f>
        <v>1.3869625520110951E-2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-720999.99999999988</v>
      </c>
      <c r="Q40" s="58">
        <f>P40/'Master P&amp;L'!$AD$5*10000</f>
        <v>-3.4204528850405231</v>
      </c>
      <c r="R40" s="37" cm="1">
        <f t="array" ref="R40">_xll.BDP($C40&amp;" Equity","EST_PE_NXT_YR")*(T40/S40)</f>
        <v>7.5340900318685566</v>
      </c>
      <c r="S40" s="36" cm="1">
        <f t="array" ref="S40">_xll.BDP(C40&amp;" Equity","LAST_PRICE")</f>
        <v>315.28500000000003</v>
      </c>
      <c r="T40" s="53" cm="1">
        <f t="array" ref="T40">_xll.BDP(B40&amp;" Equity","OPT_STRIKE_PX")</f>
        <v>320</v>
      </c>
      <c r="U40" s="40">
        <f>T40/S40-1</f>
        <v>1.4954723504131184E-2</v>
      </c>
      <c r="V40" s="37" cm="1">
        <f t="array" ref="V40">_xll.BDP($B40&amp;" Equity","ivol_mid")</f>
        <v>63.09451</v>
      </c>
      <c r="W40" s="38" cm="1">
        <f t="array" ref="W40">_xll.BDP(B40&amp;" Equity","DELTA_MID_RT")</f>
        <v>0.54974150657653809</v>
      </c>
      <c r="X40" s="48">
        <f>Y40/'Master P&amp;L'!$AE$5</f>
        <v>-1.6445238682236973E-3</v>
      </c>
      <c r="Y40" s="15">
        <f>IF(G40="Sell", S40*W40*-H40*O40/N40, S40*W40*H40*O40/N40)</f>
        <v>-3466505.0180196771</v>
      </c>
      <c r="Z40" s="15" cm="1">
        <f t="array" ref="Z40">_xll.BDP($B40&amp;" Equity","opt_theta")*H40*O40/N40</f>
        <v>-4177.2999999999993</v>
      </c>
      <c r="AA40" s="19" cm="1">
        <f t="array" ref="AA40">_xll.BDP($B40&amp;" Equity","opt_theta")/I40</f>
        <v>-6.657142857142858E-3</v>
      </c>
      <c r="AB40" s="36" t="str" cm="1">
        <f t="array" ref="AB40">_xll.BDP($C40&amp;" Equity","EXPECTED_REPORT_DT")</f>
        <v>20/03/2026</v>
      </c>
      <c r="AC40" s="15">
        <f>S40*H40*O40/N40</f>
        <v>6305700.0000000009</v>
      </c>
      <c r="AD40" s="19">
        <f>AC40/'Master P&amp;L'!$AE$5</f>
        <v>2.9914493421914052E-3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>
        <f>I39-I40</f>
        <v>21.950000000000003</v>
      </c>
      <c r="J41" s="100" t="s">
        <v>249</v>
      </c>
      <c r="K41" s="101">
        <f>K40/L39</f>
        <v>0.62155172413793103</v>
      </c>
      <c r="P41" s="100" t="s">
        <v>250</v>
      </c>
      <c r="Q41" s="108">
        <f>Q39+Q40</f>
        <v>2.0826335874241191</v>
      </c>
      <c r="S41" s="100" t="s">
        <v>251</v>
      </c>
      <c r="T41" s="102">
        <f>T40-T39</f>
        <v>40</v>
      </c>
      <c r="W41" s="100" t="s">
        <v>252</v>
      </c>
      <c r="X41" s="122">
        <f>X39+X40</f>
        <v>4.9760390471613697E-4</v>
      </c>
      <c r="Y41" s="13">
        <f>Y39+Y40</f>
        <v>1048903.2515823832</v>
      </c>
      <c r="AC41" s="100" t="s">
        <v>229</v>
      </c>
      <c r="AD41" s="122">
        <f>AD39</f>
        <v>2.9914493421914052E-3</v>
      </c>
    </row>
    <row r="42" spans="1:38">
      <c r="B42" s="73"/>
      <c r="H42" s="100" t="s">
        <v>253</v>
      </c>
      <c r="I42" s="102">
        <f>(T41-K42)/I41</f>
        <v>0.87015945330296085</v>
      </c>
      <c r="J42" s="100" t="s">
        <v>145</v>
      </c>
      <c r="K42" s="223">
        <f>AVERAGE(K39:L39)-AVERAGE(K40:L40)</f>
        <v>20.900000000000006</v>
      </c>
      <c r="P42" s="130">
        <f>P39+P40</f>
        <v>439000.00000000012</v>
      </c>
      <c r="Q42" s="108"/>
      <c r="S42" s="100"/>
      <c r="T42" s="102"/>
      <c r="W42" s="100"/>
      <c r="X42" s="122"/>
      <c r="Y42" s="13">
        <f>Y41/S39</f>
        <v>3326.8415927886931</v>
      </c>
      <c r="AC42" s="100"/>
      <c r="AD42" s="104"/>
    </row>
    <row r="43" spans="1:38">
      <c r="I43" s="278"/>
      <c r="K43" s="278">
        <f>K36-K42</f>
        <v>-11.700000000000006</v>
      </c>
      <c r="L43" s="278"/>
      <c r="P43" s="5">
        <f>P42/Y41</f>
        <v>0.41853240452608137</v>
      </c>
      <c r="W43" s="50">
        <f>W39-W40</f>
        <v>0.16634207963943481</v>
      </c>
      <c r="Y43" s="13">
        <f>Y42+Y36</f>
        <v>5721.559897065159</v>
      </c>
    </row>
    <row r="44" spans="1:38">
      <c r="K44" s="338">
        <f>K36/K42</f>
        <v>0.44019138755980847</v>
      </c>
      <c r="L44" s="278">
        <f>K36-(K42*2)</f>
        <v>-32.600000000000009</v>
      </c>
      <c r="P44" s="13">
        <f>P36+P42</f>
        <v>565125.00000000012</v>
      </c>
    </row>
    <row r="45" spans="1:38" s="59" customFormat="1">
      <c r="O45" s="163"/>
      <c r="X45" s="127"/>
      <c r="AL45" s="14"/>
    </row>
    <row r="46" spans="1:38">
      <c r="K46" s="64">
        <f>K49*2+K50</f>
        <v>15.9</v>
      </c>
      <c r="L46" s="64">
        <f>L49*2+L50</f>
        <v>16.649999999999999</v>
      </c>
    </row>
    <row r="47" spans="1:38">
      <c r="A47" s="99" t="s">
        <v>255</v>
      </c>
      <c r="B47" s="99"/>
      <c r="K47" s="64"/>
      <c r="L47" s="64"/>
      <c r="P47" s="3">
        <f>P49+P50</f>
        <v>16875</v>
      </c>
      <c r="Q47" s="58"/>
    </row>
    <row r="48" spans="1:38">
      <c r="H48">
        <v>1</v>
      </c>
      <c r="I48" s="64">
        <f>I49-I50</f>
        <v>3.75</v>
      </c>
    </row>
    <row r="49" spans="1:36">
      <c r="A49" s="281">
        <v>4.3</v>
      </c>
      <c r="B49" s="73" t="s">
        <v>2162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77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6.75</v>
      </c>
      <c r="J49" s="19">
        <f>I49/S49</f>
        <v>7.5534617235321108E-2</v>
      </c>
      <c r="K49" s="36" cm="1">
        <f t="array" ref="K49">_xll.BDP($B49&amp;" Equity","bid")</f>
        <v>6.45</v>
      </c>
      <c r="L49" s="36" cm="1">
        <f t="array" ref="L49">_xll.BDP($B49&amp;" Equity","ask")</f>
        <v>6.75</v>
      </c>
      <c r="M49" s="40">
        <f>(L49/K49-1)</f>
        <v>4.6511627906976605E-2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30375</v>
      </c>
      <c r="Q49" s="58">
        <f>P49/'Master P&amp;L'!$AD$5*10000</f>
        <v>0.14410021689751165</v>
      </c>
      <c r="R49" s="37" cm="1">
        <f t="array" ref="R49">_xll.BDP($C49&amp;" Equity","EST_PE_NXT_YR")*(T49/S49)</f>
        <v>22.584798181817597</v>
      </c>
      <c r="S49" s="36" cm="1">
        <f t="array" ref="S49">_xll.BDP(C49&amp;" Equity","LAST_PRICE")</f>
        <v>89.363</v>
      </c>
      <c r="T49" s="53" cm="1">
        <f t="array" ref="T49">_xll.BDP(B49&amp;" Equity","OPT_STRIKE_PX")</f>
        <v>85</v>
      </c>
      <c r="U49" s="40">
        <f>T49/S49-1</f>
        <v>-4.8823338518178661E-2</v>
      </c>
      <c r="V49" s="37" cm="1">
        <f t="array" ref="V49">_xll.BDP($B49&amp;" Equity","ivol_mid")</f>
        <v>54.657910000000001</v>
      </c>
      <c r="W49" s="38" cm="1">
        <f t="array" ref="W49">_xll.BDP(B49&amp;" Equity","DELTA_MID_RT")</f>
        <v>-0.36414861679077148</v>
      </c>
      <c r="X49" s="358">
        <f>Y49/'Master P&amp;L'!$AE$5</f>
        <v>-6.9469994795897982E-5</v>
      </c>
      <c r="Y49" s="15">
        <f>IF(G49="Sell", S49*W49*-H49*O49/N49, S49*W49*H49*O49/N49)</f>
        <v>-146436.35779023173</v>
      </c>
      <c r="Z49" s="15" cm="1">
        <f t="array" ref="Z49">_xll.BDP($B49&amp;" Equity","opt_theta")*H49*O49/N49</f>
        <v>-243.74249999999998</v>
      </c>
      <c r="AA49" s="19" cm="1">
        <f t="array" ref="AA49">_xll.BDP($B49&amp;" Equity","opt_theta")/I49</f>
        <v>-8.0244444444444434E-3</v>
      </c>
      <c r="AB49" s="36" t="str" cm="1">
        <f t="array" ref="AB49">_xll.BDP($C49&amp;" Equity","EXPECTED_REPORT_DT")</f>
        <v>05/03/2026</v>
      </c>
      <c r="AC49" s="15">
        <f>S49*H49*O49/N49</f>
        <v>402133.5</v>
      </c>
      <c r="AD49" s="48">
        <f>AC49/'Master P&amp;L'!$AE$5</f>
        <v>1.9077374344610864E-4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2163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3</v>
      </c>
      <c r="J50" s="19">
        <f>I50/S50</f>
        <v>3.3570940993476045E-2</v>
      </c>
      <c r="K50" s="36" cm="1">
        <f t="array" ref="K50">_xll.BDP($B50&amp;" Equity","bid")</f>
        <v>3</v>
      </c>
      <c r="L50" s="36" cm="1">
        <f t="array" ref="L50">_xll.BDP($B50&amp;" Equity","ask")</f>
        <v>3.15</v>
      </c>
      <c r="M50" s="40">
        <f>(L50/K50-1)</f>
        <v>5.0000000000000044E-2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-13500</v>
      </c>
      <c r="Q50" s="58">
        <f>P50/'Master P&amp;L'!$AD$5*10000</f>
        <v>-6.4044540843338507E-2</v>
      </c>
      <c r="R50" s="37" cm="1">
        <f t="array" ref="R50">_xll.BDP($C50&amp;" Equity","EST_PE_NXT_YR")*(T50/S50)</f>
        <v>19.927763101603762</v>
      </c>
      <c r="S50" s="36" cm="1">
        <f t="array" ref="S50">_xll.BDP(C50&amp;" Equity","LAST_PRICE")</f>
        <v>89.363</v>
      </c>
      <c r="T50" s="53" cm="1">
        <f t="array" ref="T50">_xll.BDP(B50&amp;" Equity","OPT_STRIKE_PX")</f>
        <v>75</v>
      </c>
      <c r="U50" s="40">
        <f>T50/S50-1</f>
        <v>-0.16072647516309879</v>
      </c>
      <c r="V50" s="37" cm="1">
        <f t="array" ref="V50">_xll.BDP(B50&amp;" Equity","ivol_mid")</f>
        <v>54.531309999999998</v>
      </c>
      <c r="W50" s="38" cm="1">
        <f t="array" ref="W50">_xll.BDP(B50&amp;" Equity","DELTA_MID_RT")</f>
        <v>-0.20527209341526031</v>
      </c>
      <c r="X50" s="358">
        <f>Y50/'Master P&amp;L'!$AE$5</f>
        <v>3.9160525685848521E-5</v>
      </c>
      <c r="Y50" s="15">
        <f>IF(G50="Sell", S50*W50*-H50*O50/N50, S50*W50*H50*O50/N50)</f>
        <v>82546.785377405584</v>
      </c>
      <c r="Z50" s="15" cm="1">
        <f t="array" ref="Z50">_xll.BDP($B50&amp;" Equity","opt_theta")*H50*O50/N50</f>
        <v>-203.93549999999999</v>
      </c>
      <c r="AA50" s="19" cm="1">
        <f t="array" ref="AA50">_xll.BDP($B50&amp;" Equity","opt_theta")/I50</f>
        <v>-1.5106333333333333E-2</v>
      </c>
      <c r="AB50" s="36" t="str" cm="1">
        <f t="array" ref="AB50">_xll.BDP($C50&amp;" Equity","EXPECTED_REPORT_DT")</f>
        <v>05/03/2026</v>
      </c>
      <c r="AC50" s="15">
        <f>S50*H50*O50/N50</f>
        <v>402133.5</v>
      </c>
      <c r="AD50" s="19">
        <f>AC50/'Master P&amp;L'!$AE$5</f>
        <v>1.9077374344610864E-4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0.44444444444444442</v>
      </c>
      <c r="L51" s="64"/>
      <c r="P51" s="100" t="s">
        <v>250</v>
      </c>
      <c r="Q51" s="108">
        <f>Q49+Q50</f>
        <v>8.0055676054173144E-2</v>
      </c>
      <c r="S51" s="100" t="s">
        <v>251</v>
      </c>
      <c r="T51" s="102">
        <f>T49-T50</f>
        <v>10</v>
      </c>
      <c r="W51" s="100" t="s">
        <v>252</v>
      </c>
      <c r="X51" s="418">
        <f>X49+X50</f>
        <v>-3.0309469110049462E-5</v>
      </c>
      <c r="Y51" s="13">
        <f>Y49+Y50</f>
        <v>-63889.57241282615</v>
      </c>
      <c r="AC51" s="100" t="s">
        <v>229</v>
      </c>
      <c r="AD51" s="122">
        <f>AD49</f>
        <v>1.9077374344610864E-4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>
        <f>AVERAGE(K49:L49)-AVERAGE(K50:L50)</f>
        <v>3.5249999999999995</v>
      </c>
      <c r="L52" s="64"/>
      <c r="P52" s="100"/>
      <c r="Q52" s="108"/>
      <c r="S52" s="100"/>
      <c r="T52" s="102"/>
      <c r="W52" s="100"/>
      <c r="X52" s="122"/>
      <c r="Z52" s="3">
        <f>Y51/S49</f>
        <v>-714.9443551898006</v>
      </c>
      <c r="AC52" s="100"/>
      <c r="AD52" s="104"/>
    </row>
    <row r="54" spans="1:36">
      <c r="H54">
        <v>1</v>
      </c>
      <c r="I54" s="64"/>
      <c r="J54" s="43">
        <f>J55-J56</f>
        <v>2.4618690061882435E-2</v>
      </c>
      <c r="L54" s="64"/>
      <c r="P54" s="13">
        <f>P55+P56</f>
        <v>48400</v>
      </c>
    </row>
    <row r="55" spans="1:36">
      <c r="A55" s="98" t="s">
        <v>256</v>
      </c>
      <c r="B55" s="59" t="s">
        <v>2162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77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6.75</v>
      </c>
      <c r="J55" s="19">
        <f>I55/S55</f>
        <v>7.5534617235321108E-2</v>
      </c>
      <c r="K55" s="36" cm="1">
        <f t="array" ref="K55">_xll.BDP($B55&amp;" Equity","bid")</f>
        <v>6.45</v>
      </c>
      <c r="L55" s="36" cm="1">
        <f t="array" ref="L55">_xll.BDP($B55&amp;" Equity","ask")</f>
        <v>6.75</v>
      </c>
      <c r="M55" s="40">
        <f>(L55/K55-1)</f>
        <v>4.6511627906976605E-2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148500</v>
      </c>
      <c r="Q55" s="58">
        <f>P55/'Master P&amp;L'!$AD$5*10000</f>
        <v>0.7044899492767237</v>
      </c>
      <c r="R55" s="37" cm="1">
        <f t="array" ref="R55">_xll.BDP($C55&amp;" Equity","EST_PE_NXT_YR")*(T55/S55)</f>
        <v>22.584798181817597</v>
      </c>
      <c r="S55" s="36" cm="1">
        <f t="array" ref="S55">_xll.BDP(C55&amp;" Equity","LAST_PRICE")</f>
        <v>89.363</v>
      </c>
      <c r="T55" s="53" cm="1">
        <f t="array" ref="T55">_xll.BDP(B55&amp;" Equity","OPT_STRIKE_PX")</f>
        <v>85</v>
      </c>
      <c r="U55" s="40">
        <f>T55/S55-1</f>
        <v>-4.8823338518178661E-2</v>
      </c>
      <c r="V55" s="37" cm="1">
        <f t="array" ref="V55">_xll.BDP($B55&amp;" Equity","ivol_mid")</f>
        <v>54.657910000000001</v>
      </c>
      <c r="W55" s="38" cm="1">
        <f t="array" ref="W55">_xll.BDP(B55&amp;" Equity","DELTA_MID_RT")</f>
        <v>-0.36414861679077148</v>
      </c>
      <c r="X55" s="48">
        <f>Y55/'Master P&amp;L'!$AE$5</f>
        <v>-3.3963108566883462E-4</v>
      </c>
      <c r="Y55" s="15">
        <f>IF(G55="Sell", S55*W55*-H55*O55/N55, S55*W55*H55*O55/N55)</f>
        <v>-715911.08253002178</v>
      </c>
      <c r="Z55" s="15" cm="1">
        <f t="array" ref="Z55">_xll.BDP($B55&amp;" Equity","opt_theta")*H55*O55/N55</f>
        <v>-1191.6299999999999</v>
      </c>
      <c r="AA55" s="19" cm="1">
        <f t="array" ref="AA55">_xll.BDP($B55&amp;" Equity","opt_theta")/I55</f>
        <v>-8.0244444444444434E-3</v>
      </c>
      <c r="AB55" s="36" t="str" cm="1">
        <f t="array" ref="AB55">_xll.BDP($C55&amp;" Equity","EXPECTED_REPORT_DT")</f>
        <v>05/03/2026</v>
      </c>
      <c r="AC55" s="15">
        <f>S55*H55*O55/N55</f>
        <v>1965986</v>
      </c>
      <c r="AD55" s="48">
        <f>AC55/'Master P&amp;L'!$AE$5</f>
        <v>9.3267163462542007E-4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2107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4.55</v>
      </c>
      <c r="J56" s="19">
        <f>I56/S56</f>
        <v>5.0915927173438673E-2</v>
      </c>
      <c r="K56" s="36" cm="1">
        <f t="array" ref="K56">_xll.BDP($B56&amp;" Equity","bid")</f>
        <v>4.55</v>
      </c>
      <c r="L56" s="36" cm="1">
        <f t="array" ref="L56">_xll.BDP($B56&amp;" Equity","ask")</f>
        <v>4.7</v>
      </c>
      <c r="M56" s="40">
        <f>(L56/K56-1)</f>
        <v>3.2967032967033072E-2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-100100</v>
      </c>
      <c r="Q56" s="58">
        <f>P56/'Master P&amp;L'!$AD$5*10000</f>
        <v>-0.47487841025319888</v>
      </c>
      <c r="R56" s="37" cm="1">
        <f t="array" ref="R56">_xll.BDP($C56&amp;" Equity","EST_PE_NXT_YR")*(T56/S56)</f>
        <v>21.256280641710681</v>
      </c>
      <c r="S56" s="36" cm="1">
        <f t="array" ref="S56">_xll.BDP(C56&amp;" Equity","LAST_PRICE")</f>
        <v>89.363</v>
      </c>
      <c r="T56" s="53" cm="1">
        <f t="array" ref="T56">_xll.BDP(B56&amp;" Equity","OPT_STRIKE_PX")</f>
        <v>80</v>
      </c>
      <c r="U56" s="40">
        <f>T56/S56-1</f>
        <v>-0.10477490684063873</v>
      </c>
      <c r="V56" s="37" cm="1">
        <f t="array" ref="V56">_xll.BDP(B56&amp;" Equity","ivol_mid")</f>
        <v>54.400230000000001</v>
      </c>
      <c r="W56" s="38" cm="1">
        <f t="array" ref="W56">_xll.BDP(B56&amp;" Equity","DELTA_MID_RT")</f>
        <v>-0.28099870681762695</v>
      </c>
      <c r="X56" s="48">
        <f>Y56/'Master P&amp;L'!$AE$5</f>
        <v>2.6207952321522529E-4</v>
      </c>
      <c r="Y56" s="15">
        <f>IF(G56="Sell", S56*W56*-H56*O56/N56, S56*W56*H56*O56/N56)</f>
        <v>552439.52362155914</v>
      </c>
      <c r="Z56" s="15" cm="1">
        <f t="array" ref="Z56">_xll.BDP($B56&amp;" Equity","opt_theta")*H56*O56/N56</f>
        <v>-1119.932</v>
      </c>
      <c r="AA56" s="19" cm="1">
        <f t="array" ref="AA56">_xll.BDP($B56&amp;" Equity","opt_theta")/I56</f>
        <v>-1.1188131868131869E-2</v>
      </c>
      <c r="AB56" s="36" t="str" cm="1">
        <f t="array" ref="AB56">_xll.BDP($C56&amp;" Equity","EXPECTED_REPORT_DT")</f>
        <v>05/03/2026</v>
      </c>
      <c r="AC56" s="15">
        <f>S56*H56*O56/N56</f>
        <v>1965986</v>
      </c>
      <c r="AD56" s="19">
        <f>AC56/'Master P&amp;L'!$AE$5</f>
        <v>9.3267163462542007E-4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2.2000000000000002</v>
      </c>
      <c r="J57" s="100" t="s">
        <v>249</v>
      </c>
      <c r="K57" s="101">
        <f>K56/L55</f>
        <v>0.67407407407407405</v>
      </c>
      <c r="L57" s="64"/>
      <c r="P57" s="100" t="s">
        <v>250</v>
      </c>
      <c r="Q57" s="108">
        <f>Q55+Q56</f>
        <v>0.22961153902352482</v>
      </c>
      <c r="S57" s="100" t="s">
        <v>251</v>
      </c>
      <c r="T57" s="102">
        <f>T55-T56</f>
        <v>5</v>
      </c>
      <c r="W57" s="100" t="s">
        <v>252</v>
      </c>
      <c r="X57" s="122">
        <f>X55+X56</f>
        <v>-7.7551562453609326E-5</v>
      </c>
      <c r="Y57" s="13"/>
      <c r="AC57" s="100" t="s">
        <v>229</v>
      </c>
      <c r="AD57" s="122">
        <f>AD55</f>
        <v>9.3267163462542007E-4</v>
      </c>
    </row>
    <row r="58" spans="1:36">
      <c r="H58" s="100" t="s">
        <v>253</v>
      </c>
      <c r="I58" s="102">
        <f>(T57-I57)/I57</f>
        <v>1.2727272727272725</v>
      </c>
      <c r="J58" s="100" t="s">
        <v>145</v>
      </c>
      <c r="K58" s="109">
        <f>AVERAGE(K55:L55)-AVERAGE(K56:L56)</f>
        <v>1.9749999999999996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-1.5499999999999998</v>
      </c>
      <c r="Y59" s="13"/>
    </row>
    <row r="60" spans="1:36">
      <c r="I60" s="64">
        <f>I51-I57</f>
        <v>-0.40000000000000013</v>
      </c>
      <c r="K60" s="64">
        <f>K52-K58</f>
        <v>1.5499999999999998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-2.1200000000000045</v>
      </c>
    </row>
    <row r="62" spans="1:36">
      <c r="A62" s="98" t="s">
        <v>256</v>
      </c>
      <c r="B62" s="59" t="s">
        <v>2161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613.12</v>
      </c>
      <c r="T62" s="53" cm="1">
        <f t="array" ref="T62">_xll.BDP(B62&amp;" Equity","OPT_STRIKE_PX")</f>
        <v>611</v>
      </c>
      <c r="U62" s="40">
        <f>T62/S62-1</f>
        <v>-3.4577244258873208E-3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2160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613.12</v>
      </c>
      <c r="T63" s="53" cm="1">
        <f t="array" ref="T63">_xll.BDP(B63&amp;" Equity","OPT_STRIKE_PX")</f>
        <v>610</v>
      </c>
      <c r="U63" s="40">
        <f>T63/S63-1</f>
        <v>-5.0887265135699522E-3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2148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100</v>
      </c>
      <c r="I68" s="97">
        <f>IF(G68="Buy",L68,K68)</f>
        <v>0.01</v>
      </c>
      <c r="J68" s="19">
        <f>I68/S68</f>
        <v>1.6310020876826724E-5</v>
      </c>
      <c r="K68" s="36" t="str" cm="1">
        <f t="array" ref="K68">_xll.BDP($B68&amp;" Equity","bid")</f>
        <v>#N/A N/A</v>
      </c>
      <c r="L68" s="36" cm="1">
        <f t="array" ref="L68">_xll.BDP($B68&amp;" Equity","ask")</f>
        <v>0.01</v>
      </c>
      <c r="M68" s="40" t="e">
        <f>(L68/K68-1)</f>
        <v>#VALUE!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100</v>
      </c>
      <c r="Q68" s="58">
        <f>P68/'Master P&amp;L'!$AD$5*10000</f>
        <v>4.74404006246952E-4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613.12</v>
      </c>
      <c r="T68" s="53" cm="1">
        <f t="array" ref="T68">_xll.BDP(B68&amp;" Equity","OPT_STRIKE_PX")</f>
        <v>610</v>
      </c>
      <c r="U68" s="40">
        <f>T68/S68-1</f>
        <v>-5.0887265135699522E-3</v>
      </c>
      <c r="V68" s="37" cm="1">
        <f t="array" ref="V68">_xll.BDP($B68&amp;" Equity","ivol_mid")</f>
        <v>382.68529999999998</v>
      </c>
      <c r="W68" s="38" cm="1">
        <f t="array" ref="W68">_xll.BDP(B68&amp;" Equity","DELTA_MID_RT")</f>
        <v>-3.4020000603049994E-3</v>
      </c>
      <c r="X68" s="48">
        <f>Y68/'Master P&amp;L'!$AE$5</f>
        <v>-9.895281373637754E-6</v>
      </c>
      <c r="Y68" s="15">
        <f>IF(G68="Sell", S68*W68*-H68*O68/N68, S68*W68*H68*O68/N68)</f>
        <v>-20858.342769742012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6131200</v>
      </c>
      <c r="AD68" s="48">
        <f>AC68/'Master P&amp;L'!$AE$5</f>
        <v>2.9086658431013118E-3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100</v>
      </c>
      <c r="I69" s="97" t="str">
        <f>IF(G69="Buy",L69,K69)</f>
        <v>#N/A N/A</v>
      </c>
      <c r="J69" s="19" t="e">
        <f>I69/S69</f>
        <v>#VALUE!</v>
      </c>
      <c r="K69" s="36" t="str" cm="1">
        <f t="array" ref="K69">_xll.BDP($B69&amp;" Equity","bid")</f>
        <v>#N/A N/A</v>
      </c>
      <c r="L69" s="36" cm="1">
        <f t="array" ref="L69">_xll.BDP($B69&amp;" Equity","ask")</f>
        <v>0.01</v>
      </c>
      <c r="M69" s="40" t="e">
        <f>(L69/K69-1)</f>
        <v>#VALUE!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613.12</v>
      </c>
      <c r="T69" s="53" cm="1">
        <f t="array" ref="T69">_xll.BDP(B69&amp;" Equity","OPT_STRIKE_PX")</f>
        <v>600</v>
      </c>
      <c r="U69" s="40">
        <f>T69/S69-1</f>
        <v>-2.1398747390396711E-2</v>
      </c>
      <c r="V69" s="37" cm="1">
        <f t="array" ref="V69">_xll.BDP($B69&amp;" Equity","ivol_mid")</f>
        <v>611.52639999999997</v>
      </c>
      <c r="W69" s="38" cm="1">
        <f t="array" ref="W69">_xll.BDP(B69&amp;" Equity","DELTA_MID_RT")</f>
        <v>-2.1510000806301832E-3</v>
      </c>
      <c r="X69" s="48">
        <f>Y69/'Master P&amp;L'!$AE$5</f>
        <v>6.2565404630371814E-6</v>
      </c>
      <c r="Y69" s="15">
        <f>IF(G69="Sell", S69*W69*-H69*O69/N69, S69*W69*H69*O69/N69)</f>
        <v>13188.211694359779</v>
      </c>
      <c r="Z69" s="15" cm="1">
        <f t="array" ref="Z69">_xll.BDP($B69&amp;" Equity","opt_theta")*H69*O69/N69</f>
        <v>0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>
        <f>S69*H69*O69/N69</f>
        <v>6131200</v>
      </c>
      <c r="AD69" s="48">
        <f>AC69/'Master P&amp;L'!$AE$5</f>
        <v>2.9086658431013118E-3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>
        <f>X68+X69</f>
        <v>-3.6387409106005726E-6</v>
      </c>
      <c r="AC70" s="100" t="s">
        <v>229</v>
      </c>
      <c r="AD70" s="122">
        <f>AD68</f>
        <v>2.9086658431013118E-3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>
        <f>AVERAGE(K68:L68)-AVERAGE(K69:L69)</f>
        <v>0</v>
      </c>
      <c r="P71" s="100"/>
      <c r="Q71" s="108"/>
      <c r="S71" s="100"/>
      <c r="T71" s="102"/>
      <c r="W71" s="100"/>
      <c r="X71" s="122"/>
      <c r="Y71" s="13">
        <f>Y68+Y69</f>
        <v>-7670.1310753822327</v>
      </c>
      <c r="AC71" s="100"/>
      <c r="AD71" s="104"/>
    </row>
    <row r="72" spans="1:31">
      <c r="K72" s="64" t="e">
        <f>K62-K71</f>
        <v>#VALUE!</v>
      </c>
      <c r="L72" s="64">
        <f>L68-L69</f>
        <v>0</v>
      </c>
      <c r="P72" s="13" t="e">
        <f>-P62-P67</f>
        <v>#VALUE!</v>
      </c>
      <c r="Y72" s="64">
        <f>Y71/S68</f>
        <v>-12.509999796748161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2137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248</v>
      </c>
      <c r="H75" s="96">
        <v>100</v>
      </c>
      <c r="I75" s="97" t="str">
        <f>IF(G75="Buy",L75,K75)</f>
        <v>#N/A N/A</v>
      </c>
      <c r="J75" s="19" t="e">
        <f>I75/S75</f>
        <v>#VALUE!</v>
      </c>
      <c r="K75" s="36" t="str" cm="1">
        <f t="array" ref="K75">_xll.BDP($B75&amp;" Equity","bid")</f>
        <v>#N/A N/A</v>
      </c>
      <c r="L75" s="36" cm="1">
        <f t="array" ref="L75">_xll.BDP($B75&amp;" Equity","ask")</f>
        <v>0.4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373.36</v>
      </c>
      <c r="T75" s="53" cm="1">
        <f t="array" ref="T75">_xll.BDP(B75&amp;" Equity","OPT_STRIKE_PX")</f>
        <v>355</v>
      </c>
      <c r="U75" s="19">
        <f>T75/S75-1</f>
        <v>-4.917505892436258E-2</v>
      </c>
      <c r="V75" s="37" cm="1">
        <f t="array" ref="V75">_xll.BDP($B75&amp;" Equity","ivol_mid")</f>
        <v>1058.923</v>
      </c>
      <c r="W75" s="38" cm="1">
        <f t="array" ref="W75">_xll.BDP(B75&amp;" Equity","DELTA_MID_RT")</f>
        <v>-4.3770000338554382E-2</v>
      </c>
      <c r="X75" s="48">
        <f>Y75/'Master P&amp;L'!$AE$5</f>
        <v>7.7526947696022138E-5</v>
      </c>
      <c r="Y75" s="15">
        <f>IF(G75="Sell", S75*W75*-H75*O75/N75, S75*W75*H75*O75/N75)</f>
        <v>163419.67326402664</v>
      </c>
      <c r="Z75" s="15" cm="1">
        <f t="array" ref="Z75">_xll.BDP($B75&amp;" Equity","opt_theta")*H75*O75/N75</f>
        <v>0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>
        <f>S75*H75*O75/N75</f>
        <v>3733600</v>
      </c>
      <c r="AD75" s="48">
        <f>AC75/'Master P&amp;L'!$AE$5</f>
        <v>1.7712347977236198E-3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2206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7</v>
      </c>
      <c r="F76" t="s">
        <v>194</v>
      </c>
      <c r="G76" s="105" t="s">
        <v>247</v>
      </c>
      <c r="H76" s="96">
        <v>25</v>
      </c>
      <c r="I76" s="97">
        <f>IF(G76="Buy",L76,K76)</f>
        <v>1.57</v>
      </c>
      <c r="J76" s="19">
        <f>I76/S76</f>
        <v>4.2050567816584528E-3</v>
      </c>
      <c r="K76" s="36" cm="1">
        <f t="array" ref="K76">_xll.BDP($B76&amp;" Equity","bid")</f>
        <v>0.78</v>
      </c>
      <c r="L76" s="36" cm="1">
        <f t="array" ref="L76">_xll.BDP($B76&amp;" Equity","ask")</f>
        <v>1.57</v>
      </c>
      <c r="M76" s="40">
        <f>(L76/K76-1)</f>
        <v>1.0128205128205128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3925</v>
      </c>
      <c r="Q76" s="58">
        <f>P76/'Master P&amp;L'!$AD$5*10000</f>
        <v>1.8620357245192863E-2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373.36</v>
      </c>
      <c r="T76" s="53" cm="1">
        <f t="array" ref="T76">_xll.BDP(B76&amp;" Equity","OPT_STRIKE_PX")</f>
        <v>355</v>
      </c>
      <c r="U76" s="19">
        <f>T76/S76-1</f>
        <v>-4.917505892436258E-2</v>
      </c>
      <c r="V76" s="37" cm="1">
        <f t="array" ref="V76">_xll.BDP($B76&amp;" Equity","ivol_mid")</f>
        <v>26.260560000000002</v>
      </c>
      <c r="W76" s="38" cm="1">
        <f t="array" ref="W76">_xll.BDP(B76&amp;" Equity","DELTA_MID_RT")</f>
        <v>-0.13154369592666626</v>
      </c>
      <c r="X76" s="48">
        <f>Y76/'Master P&amp;L'!$AE$5</f>
        <v>-5.8248692911621515E-5</v>
      </c>
      <c r="Y76" s="15">
        <f>IF(G76="Sell", S76*W76*-H76*O76/N76, S76*W76*H76*O76/N76)</f>
        <v>-122782.88577795029</v>
      </c>
      <c r="Z76" s="15" cm="1">
        <f t="array" ref="Z76">_xll.BDP($B76&amp;" Equity","opt_theta")*H76*O76/N76</f>
        <v>-778.50750000000005</v>
      </c>
      <c r="AA76" s="19" cm="1">
        <f t="array" ref="AA76">_xll.BDP($B76&amp;" Equity","opt_theta")/I76</f>
        <v>-0.19834585987261144</v>
      </c>
      <c r="AB76" s="36" t="str" cm="1">
        <f t="array" ref="AB76">_xll.BDP($C76&amp;" Equity","EXPECTED_REPORT_DT")</f>
        <v>#N/A N/A</v>
      </c>
      <c r="AC76" s="15">
        <f>S76*H76*O76/N76</f>
        <v>933400</v>
      </c>
      <c r="AD76" s="48">
        <f>AC76/'Master P&amp;L'!$AE$5</f>
        <v>4.4280869943090495E-4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>
        <f>K76/L75</f>
        <v>1.95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>
        <f>X75+X76</f>
        <v>1.9278254784400623E-5</v>
      </c>
      <c r="AC77" s="100" t="s">
        <v>229</v>
      </c>
      <c r="AD77" s="122">
        <f>AD75</f>
        <v>1.7712347977236198E-3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>
        <f>AVERAGE(K75:L75)-AVERAGE(K76:L76)</f>
        <v>-0.77500000000000002</v>
      </c>
      <c r="P78" s="100"/>
      <c r="Q78" s="108"/>
      <c r="S78" s="100"/>
      <c r="T78" s="102"/>
      <c r="W78" s="100"/>
      <c r="X78" s="122"/>
      <c r="Y78" s="15">
        <f>Y75+Y76</f>
        <v>40636.787486076355</v>
      </c>
      <c r="AC78" s="100"/>
      <c r="AD78" s="104"/>
    </row>
    <row r="79" spans="1:31">
      <c r="I79" s="64"/>
      <c r="K79" s="64">
        <f>K78-K71</f>
        <v>-0.77500000000000002</v>
      </c>
      <c r="L79" s="64"/>
      <c r="N79" s="238">
        <f>K71-(K78*3)</f>
        <v>2.3250000000000002</v>
      </c>
      <c r="W79" s="50">
        <f>W75-W76</f>
        <v>8.7773695588111877E-2</v>
      </c>
      <c r="Y79" s="64">
        <f>Y78/S75</f>
        <v>108.84076356887817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2185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77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57.35</v>
      </c>
      <c r="J81" s="19">
        <f>I81/S81</f>
        <v>0.18189891685300599</v>
      </c>
      <c r="K81" s="36">
        <f>_xll.BDP($B81&amp;" Equity","bid")</f>
        <v>56</v>
      </c>
      <c r="L81" s="36">
        <f>_xll.BDP($B81&amp;" Equity","ask")</f>
        <v>57.35</v>
      </c>
      <c r="M81" s="40">
        <f>(L81/K81-1)</f>
        <v>2.4107142857142883E-2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573500</v>
      </c>
      <c r="Q81" s="58">
        <f>P81/'Master P&amp;L'!$AD$5*10000</f>
        <v>2.7207069758262694</v>
      </c>
      <c r="R81" s="37" cm="1">
        <f t="array" ref="R81">_xll.BDP($C81&amp;" Equity","EST_PE_NXT_YR")*(T81/S81)</f>
        <v>8.2404109723562335</v>
      </c>
      <c r="S81" s="36" cm="1">
        <f t="array" ref="S81">_xll.BDP(C81&amp;" Equity","LAST_PRICE")</f>
        <v>315.28500000000003</v>
      </c>
      <c r="T81" s="53" cm="1">
        <f t="array" ref="T81">_xll.BDP(B81&amp;" Equity","OPT_STRIKE_PX")</f>
        <v>350</v>
      </c>
      <c r="U81" s="19">
        <f>T81/S81-1</f>
        <v>0.11010672883264339</v>
      </c>
      <c r="V81" s="37" cm="1">
        <f t="array" ref="V81">_xll.BDP($B81&amp;" Equity","ivol_mid")</f>
        <v>61.471310000000003</v>
      </c>
      <c r="W81" s="38">
        <f>_xll.BDP(B81&amp;" Equity","DELTA_MID_RT")</f>
        <v>-0.57970833778381348</v>
      </c>
      <c r="X81" s="48">
        <f>Y81/'Master P&amp;L'!$AE$5</f>
        <v>-8.6708406286313078E-4</v>
      </c>
      <c r="Y81" s="15">
        <f>IF(G81="Sell", S81*W81*-H81*O81/N81, S81*W81*H81*O81/N81)</f>
        <v>-1827733.4327816963</v>
      </c>
      <c r="Z81" s="15" cm="1">
        <f t="array" ref="Z81">_xll.BDP($B81&amp;" Equity","opt_theta")*H81*O81/N81</f>
        <v>-1754.88</v>
      </c>
      <c r="AA81" s="19" cm="1">
        <f t="array" ref="AA81">_xll.BDP($B81&amp;" Equity","opt_theta")/I81</f>
        <v>-3.0599476896251091E-3</v>
      </c>
      <c r="AB81" s="36" t="str" cm="1">
        <f t="array" ref="AB81">_xll.BDP($C81&amp;" Equity","EXPECTED_REPORT_DT")</f>
        <v>20/03/2026</v>
      </c>
      <c r="AC81" s="15">
        <f>S81*H81*O81/N81</f>
        <v>3152850.0000000005</v>
      </c>
      <c r="AD81" s="48">
        <f>AC81/'Master P&amp;L'!$AE$5</f>
        <v>1.4957246710957026E-3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1.4957246710957026E-3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1704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-220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1703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-220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-350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1675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1674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1733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1736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1732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1902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1903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2059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-7</v>
      </c>
      <c r="F153" t="str" cm="1">
        <f t="array" ref="F153">_xll.BDP(B153&amp;" Index","QUOTED_CURRENCY_REALTIME")</f>
        <v>USD</v>
      </c>
      <c r="G153" s="105" t="s">
        <v>247</v>
      </c>
      <c r="H153" s="96">
        <v>25</v>
      </c>
      <c r="I153" s="97" t="str">
        <f>IF(G153="Buy",L153,K153)</f>
        <v>#N/A N/A</v>
      </c>
      <c r="J153" s="19" t="e">
        <f>I153/S153</f>
        <v>#VALUE!</v>
      </c>
      <c r="K153" s="36" t="str" cm="1">
        <f t="array" ref="K153">_xll.BDP($B153&amp;" Index","bid")</f>
        <v>#N/A N/A</v>
      </c>
      <c r="L153" s="36" t="str" cm="1">
        <f t="array" ref="L153">_xll.BDP($B153&amp;" Index","ask")</f>
        <v>#N/A N/A</v>
      </c>
      <c r="M153" s="40" t="e">
        <f>(L153/K153-1)</f>
        <v>#VALUE!</v>
      </c>
      <c r="N153" s="36" cm="1">
        <f t="array" ref="N153">_xll.BDP(F153&amp;" Curncy","PX_LAST")</f>
        <v>1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25396.5</v>
      </c>
      <c r="T153" s="53" cm="1">
        <f t="array" ref="T153">_xll.BDP(B153&amp;" Index","OPT_STRIKE_PX")</f>
        <v>25750</v>
      </c>
      <c r="U153" s="40">
        <f>T153/S153-1</f>
        <v>1.3919240840273295E-2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N/A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>
        <f>S153*H153*O153/N153</f>
        <v>12698250</v>
      </c>
      <c r="AD153" s="48">
        <f>AC153/'Master P&amp;L'!$AE$5</f>
        <v>6.0241006723253578E-3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2059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-7</v>
      </c>
      <c r="F154" t="str" cm="1">
        <f t="array" ref="F154">_xll.BDP(B154&amp;" Index","QUOTED_CURRENCY_REALTIME")</f>
        <v>USD</v>
      </c>
      <c r="G154" s="105" t="s">
        <v>248</v>
      </c>
      <c r="H154" s="96">
        <f>H153</f>
        <v>25</v>
      </c>
      <c r="I154" s="97" t="str">
        <f>IF(G154="Buy",L154,K154)</f>
        <v>#N/A N/A</v>
      </c>
      <c r="J154" s="19" t="e">
        <f>I154/S154</f>
        <v>#VALUE!</v>
      </c>
      <c r="K154" s="36" t="str" cm="1">
        <f t="array" ref="K154">_xll.BDP($B154&amp;" Index","bid")</f>
        <v>#N/A N/A</v>
      </c>
      <c r="L154" s="36" t="str" cm="1">
        <f t="array" ref="L154">_xll.BDP($B154&amp;" Index","ask")</f>
        <v>#N/A N/A</v>
      </c>
      <c r="M154" s="40" t="e">
        <f>(L154/K154-1)</f>
        <v>#VALUE!</v>
      </c>
      <c r="N154" s="36" cm="1">
        <f t="array" ref="N154">_xll.BDP(F154&amp;" Curncy","PX_LAST")</f>
        <v>1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25396.5</v>
      </c>
      <c r="T154" s="53" cm="1">
        <f t="array" ref="T154">_xll.BDP(B154&amp;" Index","OPT_STRIKE_PX")</f>
        <v>25750</v>
      </c>
      <c r="U154" s="40">
        <f>T154/S154-1</f>
        <v>1.3919240840273295E-2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N/A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>
        <f>S154*H154*O154/N154</f>
        <v>12698250</v>
      </c>
      <c r="AD154" s="48">
        <f>AC154/'Master P&amp;L'!$AE$5</f>
        <v>6.0241006723253578E-3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>
        <f>AD153</f>
        <v>6.0241006723253578E-3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2211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>
        <f>IF(G160="Buy",L160,K160)</f>
        <v>0.05</v>
      </c>
      <c r="J160" s="19">
        <f>I160/S160</f>
        <v>7.2907872154588018E-6</v>
      </c>
      <c r="K160" s="36" t="str" cm="1">
        <f t="array" ref="K160">_xll.BDP($B160&amp;" Index","bid")</f>
        <v>#N/A N/A</v>
      </c>
      <c r="L160" s="36" cm="1">
        <f t="array" ref="L160">_xll.BDP($B160&amp;" Index","ask")</f>
        <v>0.05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>
        <f>IF(G160="Buy",((I160/N160)*H160*O160),((I160/N160)*-H160*O160))</f>
        <v>500</v>
      </c>
      <c r="Q160" s="58">
        <f>P160/'Master P&amp;L'!$AD$5*10000</f>
        <v>2.3720200312347599E-3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6857.97</v>
      </c>
      <c r="T160" s="53" cm="1">
        <f t="array" ref="T160">_xll.BDP(B160&amp;" Index","OPT_STRIKE_PX")</f>
        <v>6950</v>
      </c>
      <c r="U160" s="40">
        <f>T160/S160-1</f>
        <v>1.3419422948773407E-2</v>
      </c>
      <c r="V160" s="37" cm="1">
        <f t="array" ref="V160">_xll.BDP($B160&amp;" Index","ivol_mid")</f>
        <v>165.97329999999999</v>
      </c>
      <c r="W160" s="38" cm="1">
        <f t="array" ref="W160">_xll.BDP(B160&amp;" Index","DELTA_MID_RT")</f>
        <v>4.258458036929369E-3</v>
      </c>
      <c r="X160" s="48">
        <f>Y160/'Master P&amp;L'!$AE$5</f>
        <v>1.3854673668642323E-4</v>
      </c>
      <c r="Y160" s="15">
        <f>IF(G160="Sell", S160*W160*-H160*O160/N160, S160*W160*H160*O160/N160)</f>
        <v>292043.77463520505</v>
      </c>
      <c r="Z160" s="15" cm="1">
        <f t="array" ref="Z160">_xll.BDP($B160&amp;" Index","opt_theta")*H160*O160/N160</f>
        <v>0</v>
      </c>
      <c r="AA160" s="126" cm="1">
        <f t="array" ref="AA160">_xll.BDP($B160&amp;" Index","opt_theta")/I160</f>
        <v>0</v>
      </c>
      <c r="AB160" s="36" t="str" cm="1">
        <f t="array" ref="AB160">_xll.BDP($C160&amp;" Index","EXPECTED_REPORT_DT")</f>
        <v>#N/A Field Not Applicable</v>
      </c>
      <c r="AC160" s="15">
        <f>S160*H160*O160/N160</f>
        <v>68579700</v>
      </c>
      <c r="AD160" s="48">
        <f>AC160/'Master P&amp;L'!$AE$5</f>
        <v>3.2534484427214093E-2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>
        <f>I160-I161</f>
        <v>0.05</v>
      </c>
      <c r="J162" s="100" t="s">
        <v>249</v>
      </c>
      <c r="K162" s="101">
        <f>K161/L160</f>
        <v>0</v>
      </c>
      <c r="O162" s="164"/>
      <c r="P162" s="100" t="s">
        <v>250</v>
      </c>
      <c r="Q162" s="108">
        <f>Q160+Q161</f>
        <v>2.3720200312347599E-3</v>
      </c>
      <c r="S162" s="100" t="s">
        <v>251</v>
      </c>
      <c r="T162" s="102">
        <f>T161-T160</f>
        <v>-6950</v>
      </c>
      <c r="W162" s="100" t="s">
        <v>252</v>
      </c>
      <c r="X162" s="122">
        <f>X160+X161</f>
        <v>1.3854673668642323E-4</v>
      </c>
      <c r="Y162" s="13">
        <f>Y160+Y161</f>
        <v>292043.77463520505</v>
      </c>
      <c r="AC162" s="100" t="s">
        <v>229</v>
      </c>
      <c r="AD162" s="122">
        <f>AD160</f>
        <v>3.2534484427214093E-2</v>
      </c>
    </row>
    <row r="163" spans="1:37">
      <c r="H163" s="100" t="s">
        <v>253</v>
      </c>
      <c r="I163" s="102">
        <f>(T162-I162)/I162</f>
        <v>-139001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>
        <f>Y162/S160</f>
        <v>42.58458036929369</v>
      </c>
      <c r="AC163" s="100"/>
      <c r="AD163" s="104"/>
    </row>
    <row r="164" spans="1:37">
      <c r="K164" s="64" t="e">
        <f>K160-K161</f>
        <v>#VALUE!</v>
      </c>
      <c r="L164" s="64">
        <f>L160-L161</f>
        <v>0.05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12.999999999999996</v>
      </c>
    </row>
    <row r="168" spans="1:37">
      <c r="A168">
        <v>300</v>
      </c>
      <c r="H168" s="276">
        <v>1</v>
      </c>
      <c r="I168" s="64">
        <f>I170-I171</f>
        <v>12.999999999999996</v>
      </c>
      <c r="K168" s="129"/>
    </row>
    <row r="169" spans="1:37">
      <c r="A169" s="237">
        <v>1</v>
      </c>
      <c r="B169" s="385" t="s">
        <v>2124</v>
      </c>
      <c r="C169" t="str" cm="1">
        <f t="array" ref="C169">_xll.BDP(B169&amp;" Equity","OPT_UNDL_TICKER")</f>
        <v>META US</v>
      </c>
      <c r="D169" s="64">
        <f>A169*AVERAGE(K169:L169)</f>
        <v>15.324999999999999</v>
      </c>
      <c r="E169" cm="1">
        <f t="array" ref="E169">_xll.BDP($B169&amp;" Index","opt_days_expire")</f>
        <v>105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15.25</v>
      </c>
      <c r="J169" s="19">
        <f>I169/S169</f>
        <v>2.3446748973724268E-2</v>
      </c>
      <c r="K169" s="36" cm="1">
        <f t="array" ref="K169">_xll.BDP($B169&amp;" Equity","bid")</f>
        <v>15.25</v>
      </c>
      <c r="L169" s="36" cm="1">
        <f t="array" ref="L169">_xll.BDP($B169&amp;" Equity","ask")</f>
        <v>15.4</v>
      </c>
      <c r="M169" s="40">
        <f>(L169/K169-1)</f>
        <v>9.8360655737705915E-3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-61000</v>
      </c>
      <c r="Q169" s="58">
        <f>P169/'Master P&amp;L'!$AD$5*10000</f>
        <v>-0.28938644381064066</v>
      </c>
      <c r="R169" s="37" cm="1">
        <f t="array" ref="R169">_xll.BDP($C169&amp;" Equity","EST_PE_NXT_YR")*(T169/S169)</f>
        <v>22.542925152201423</v>
      </c>
      <c r="S169" s="36" cm="1">
        <f t="array" ref="S169">_xll.BDP(C169&amp;" Equity","LAST_PRICE")</f>
        <v>650.41</v>
      </c>
      <c r="T169" s="53" cm="1">
        <f t="array" ref="T169">_xll.BDP(B169&amp;" Equity","OPT_STRIKE_PX")</f>
        <v>750</v>
      </c>
      <c r="U169" s="40">
        <f>T169/S169-1</f>
        <v>0.15311880198643935</v>
      </c>
      <c r="V169" s="37" cm="1">
        <f t="array" ref="V169">_xll.BDP($B169&amp;" Equity","ivol_mid")</f>
        <v>31.717759999999998</v>
      </c>
      <c r="W169" s="38" cm="1">
        <f t="array" ref="W169">_xll.BDP(B169&amp;" Equity","DELTA_MID_RT")</f>
        <v>0.24823868274688721</v>
      </c>
      <c r="X169" s="48">
        <f>Y169/'Master P&amp;L'!$AE$5</f>
        <v>-3.0638324185951741E-4</v>
      </c>
      <c r="Y169" s="15">
        <f>IF(G169="Sell", S169*W169*-H169*O169/N169, S169*W169*H169*O169/N169)</f>
        <v>-645827.68658161163</v>
      </c>
      <c r="Z169" s="15" cm="1">
        <f t="array" ref="Z169">_xll.BDP($B169&amp;" Equity","opt_theta")*H169*O169/N169</f>
        <v>-709.12400000000002</v>
      </c>
      <c r="AA169" s="19" cm="1">
        <f t="array" ref="AA169">_xll.BDP($B169&amp;" Equity","opt_theta")/I169</f>
        <v>-1.1624983606557377E-2</v>
      </c>
      <c r="AB169" s="36" t="str" cm="1">
        <f t="array" ref="AB169">_xll.BDP($C169&amp;" Equity","EXPECTED_REPORT_DT")</f>
        <v>29/01/2026</v>
      </c>
      <c r="AC169" s="15">
        <f>S169*H169*O169/N169</f>
        <v>2601640</v>
      </c>
      <c r="AD169" s="19">
        <f>AC169/'Master P&amp;L'!$AE$5</f>
        <v>1.23422843881232E-3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2125</v>
      </c>
      <c r="C170" t="str" cm="1">
        <f t="array" ref="C170">_xll.BDP(B170&amp;" Equity","OPT_UNDL_TICKER")</f>
        <v>META US</v>
      </c>
      <c r="D170" s="64">
        <f>A170*AVERAGE(K170:L170)</f>
        <v>63.9</v>
      </c>
      <c r="E170" cm="1">
        <f t="array" ref="E170">_xll.BDP($B170&amp;" Index","opt_days_expire")</f>
        <v>105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32.049999999999997</v>
      </c>
      <c r="J170" s="19">
        <f>I170/S170</f>
        <v>4.9276610138220503E-2</v>
      </c>
      <c r="K170" s="36" cm="1">
        <f t="array" ref="K170">_xll.BDP($B170&amp;" Equity","bid")</f>
        <v>31.85</v>
      </c>
      <c r="L170" s="36" cm="1">
        <f t="array" ref="L170">_xll.BDP($B170&amp;" Equity","ask")</f>
        <v>32.049999999999997</v>
      </c>
      <c r="M170" s="40">
        <f>(L170/K170-1)</f>
        <v>6.2794348508632414E-3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128200</v>
      </c>
      <c r="Q170" s="58">
        <f>P170/'Master P&amp;L'!$AD$5*10000</f>
        <v>0.60818593600859239</v>
      </c>
      <c r="R170" s="37" cm="1">
        <f t="array" ref="R170">_xll.BDP($C170&amp;" Equity","EST_PE_NXT_YR")*(T170/S170)</f>
        <v>20.739491140025311</v>
      </c>
      <c r="S170" s="36" cm="1">
        <f t="array" ref="S170">_xll.BDP(C170&amp;" Equity","LAST_PRICE")</f>
        <v>650.41</v>
      </c>
      <c r="T170" s="53" cm="1">
        <f t="array" ref="T170">_xll.BDP(B170&amp;" Equity","OPT_STRIKE_PX")</f>
        <v>690</v>
      </c>
      <c r="U170" s="40">
        <f>T170/S170-1</f>
        <v>6.086929782752426E-2</v>
      </c>
      <c r="V170" s="37" cm="1">
        <f t="array" ref="V170">_xll.BDP($B170&amp;" Equity","ivol_mid")</f>
        <v>32.100499999999997</v>
      </c>
      <c r="W170" s="38" cm="1">
        <f t="array" ref="W170">_xll.BDP(B170&amp;" Equity","DELTA_MID_RT")</f>
        <v>0.42501562833786011</v>
      </c>
      <c r="X170" s="48">
        <f>Y170/'Master P&amp;L'!$AE$5</f>
        <v>5.2456637543427424E-4</v>
      </c>
      <c r="Y170" s="15">
        <f>IF(G170="Sell", S170*W170*-H170*O170/N170, S170*W170*H170*O170/N170)</f>
        <v>1105737.6593089101</v>
      </c>
      <c r="Z170" s="15" cm="1">
        <f t="array" ref="Z170">_xll.BDP($B170&amp;" Equity","opt_theta")*H170*O170/N170</f>
        <v>-843.86799999999994</v>
      </c>
      <c r="AA170" s="19" cm="1">
        <f t="array" ref="AA170">_xll.BDP($B170&amp;" Equity","opt_theta")/I170</f>
        <v>-6.5824336973478942E-3</v>
      </c>
      <c r="AB170" s="36" t="str" cm="1">
        <f t="array" ref="AB170">_xll.BDP($C170&amp;" Equity","EXPECTED_REPORT_DT")</f>
        <v>29/01/2026</v>
      </c>
      <c r="AC170" s="15">
        <f>S170*H170*O170/N170</f>
        <v>2601640</v>
      </c>
      <c r="AD170" s="48">
        <f>AC170/'Master P&amp;L'!$AE$5</f>
        <v>1.23422843881232E-3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2126</v>
      </c>
      <c r="C171" t="str" cm="1">
        <f t="array" ref="C171">_xll.BDP(B171&amp;" Equity","OPT_UNDL_TICKER")</f>
        <v>META US</v>
      </c>
      <c r="D171" s="64">
        <f>A171*AVERAGE(K171:L171)</f>
        <v>38.35</v>
      </c>
      <c r="E171" cm="1">
        <f t="array" ref="E171">_xll.BDP($B171&amp;" Index","opt_days_expire")</f>
        <v>105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19.05</v>
      </c>
      <c r="J171" s="19">
        <f>I171/S171</f>
        <v>2.9289217570455561E-2</v>
      </c>
      <c r="K171" s="36" cm="1">
        <f t="array" ref="K171">_xll.BDP($B171&amp;" Equity","bid")</f>
        <v>19.05</v>
      </c>
      <c r="L171" s="36" cm="1">
        <f t="array" ref="L171">_xll.BDP($B171&amp;" Equity","ask")</f>
        <v>19.3</v>
      </c>
      <c r="M171" s="40">
        <f>(L171/K171-1)</f>
        <v>1.3123359580052396E-2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-76200</v>
      </c>
      <c r="Q171" s="58">
        <f>P171/'Master P&amp;L'!$AD$5*10000</f>
        <v>-0.36149585276017737</v>
      </c>
      <c r="R171" s="37" cm="1">
        <f t="array" ref="R171">_xll.BDP($C171&amp;" Equity","EST_PE_NXT_YR")*(T171/S171)</f>
        <v>17.733767786398452</v>
      </c>
      <c r="S171" s="36" cm="1">
        <f t="array" ref="S171">_xll.BDP(C171&amp;" Equity","LAST_PRICE")</f>
        <v>650.41</v>
      </c>
      <c r="T171" s="53" cm="1">
        <f t="array" ref="T171">_xll.BDP(B171&amp;" Equity","OPT_STRIKE_PX")</f>
        <v>590</v>
      </c>
      <c r="U171" s="40">
        <f>T171/S171-1</f>
        <v>-9.2879875770667697E-2</v>
      </c>
      <c r="V171" s="37" cm="1">
        <f t="array" ref="V171">_xll.BDP(B171&amp;" Equity","ivol_mid")</f>
        <v>33.745840000000001</v>
      </c>
      <c r="W171" s="38" cm="1">
        <f t="array" ref="W171">_xll.BDP(B171&amp;" Equity","DELTA_MID_RT")</f>
        <v>-0.2491646409034729</v>
      </c>
      <c r="X171" s="48">
        <f>Y171/'Master P&amp;L'!$AE$5</f>
        <v>3.0752608574952572E-4</v>
      </c>
      <c r="Y171" s="15">
        <f>IF(G171="Sell", S171*W171*-H171*O171/N171, S171*W171*H171*O171/N171)</f>
        <v>648236.69636011124</v>
      </c>
      <c r="Z171" s="15" cm="1">
        <f t="array" ref="Z171">_xll.BDP($B171&amp;" Equity","opt_theta")*H171*O171/N171</f>
        <v>-677.66399999999999</v>
      </c>
      <c r="AA171" s="19" cm="1">
        <f t="array" ref="AA171">_xll.BDP($B171&amp;" Equity","opt_theta")/I171</f>
        <v>-8.8932283464566927E-3</v>
      </c>
      <c r="AB171" s="36" t="str" cm="1">
        <f t="array" ref="AB171">_xll.BDP($C171&amp;" Equity","EXPECTED_REPORT_DT")</f>
        <v>29/01/2026</v>
      </c>
      <c r="AC171" s="15">
        <f>S171*H171*O171/N171</f>
        <v>2601640</v>
      </c>
      <c r="AD171" s="19">
        <f>AC171/'Master P&amp;L'!$AE$5</f>
        <v>1.23422843881232E-3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-2.2500000000000036</v>
      </c>
      <c r="J172" s="100" t="s">
        <v>249</v>
      </c>
      <c r="K172" s="101">
        <f>K171/L170</f>
        <v>0.59438377535101417</v>
      </c>
      <c r="P172" s="130">
        <f>P170+P171+P169</f>
        <v>-9000</v>
      </c>
      <c r="Q172" s="58">
        <f>P172/'Master P&amp;L'!$AD$5*10000</f>
        <v>-4.2696360562225671E-2</v>
      </c>
      <c r="S172" s="100" t="s">
        <v>251</v>
      </c>
      <c r="T172" s="102"/>
      <c r="W172" s="100" t="s">
        <v>252</v>
      </c>
      <c r="X172" s="122">
        <f>X170+X171+X169</f>
        <v>5.2570921932428255E-4</v>
      </c>
      <c r="AC172" s="100" t="s">
        <v>229</v>
      </c>
      <c r="AD172" s="122">
        <f>AD170</f>
        <v>1.23422843881232E-3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-2.5500000000000007</v>
      </c>
      <c r="P173" s="100"/>
      <c r="Q173" s="108"/>
      <c r="S173" s="100"/>
      <c r="T173" s="102"/>
      <c r="W173" s="100"/>
      <c r="X173" s="122"/>
      <c r="Y173" s="13">
        <f>(Y169+Y170+Y171)/S170</f>
        <v>1703.766345977783</v>
      </c>
      <c r="AC173" s="100"/>
      <c r="AD173" s="104"/>
    </row>
    <row r="174" spans="1:37">
      <c r="D174" s="64"/>
      <c r="H174" s="96"/>
      <c r="I174" s="64">
        <f>(I170*A170)-(I171*A171)-(I169*A169)</f>
        <v>10.749999999999993</v>
      </c>
      <c r="K174" s="64"/>
      <c r="N174" s="36"/>
      <c r="O174" s="162"/>
      <c r="P174" s="15"/>
      <c r="Q174" s="58"/>
    </row>
    <row r="175" spans="1:37">
      <c r="I175" s="21">
        <f>I171/I170</f>
        <v>0.59438377535101417</v>
      </c>
    </row>
    <row r="176" spans="1:37">
      <c r="I176" s="21"/>
    </row>
    <row r="177" spans="1:37">
      <c r="H177" s="276">
        <v>1</v>
      </c>
      <c r="I177" s="64">
        <f>I179-I178</f>
        <v>16.799999999999997</v>
      </c>
      <c r="J177" s="18">
        <f>T178-T179</f>
        <v>60</v>
      </c>
      <c r="K177" s="276">
        <f>(J177-I177)/I177</f>
        <v>2.5714285714285721</v>
      </c>
      <c r="Q177" s="276">
        <f>Q179+Q178</f>
        <v>0.15939974609897586</v>
      </c>
    </row>
    <row r="178" spans="1:37">
      <c r="A178" s="237"/>
      <c r="B178" t="s">
        <v>2124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105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15.25</v>
      </c>
      <c r="J178" s="19">
        <f>I178/S178</f>
        <v>2.3446748973724268E-2</v>
      </c>
      <c r="K178" s="36" cm="1">
        <f t="array" ref="K178">_xll.BDP($B178&amp;" Equity","bid")</f>
        <v>15.25</v>
      </c>
      <c r="L178" s="36" cm="1">
        <f t="array" ref="L178">_xll.BDP($B178&amp;" Equity","ask")</f>
        <v>15.4</v>
      </c>
      <c r="M178" s="40">
        <f>(L178/K178-1)</f>
        <v>9.8360655737705915E-3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-30500</v>
      </c>
      <c r="Q178" s="58">
        <f>P178/'Master P&amp;L'!$AD$5*10000</f>
        <v>-0.14469322190532033</v>
      </c>
      <c r="R178" s="37" cm="1">
        <f t="array" ref="R178">_xll.BDP($C178&amp;" Equity","EST_PE_NXT_YR")*(T178/S178)</f>
        <v>22.542925152201423</v>
      </c>
      <c r="S178" s="36" cm="1">
        <f t="array" ref="S178">_xll.BDP(C178&amp;" Equity","LAST_PRICE")</f>
        <v>650.41</v>
      </c>
      <c r="T178" s="53" cm="1">
        <f t="array" ref="T178">_xll.BDP(B178&amp;" Equity","OPT_STRIKE_PX")</f>
        <v>750</v>
      </c>
      <c r="U178" s="40">
        <f>T178/S178-1</f>
        <v>0.15311880198643935</v>
      </c>
      <c r="V178" s="37" cm="1">
        <f t="array" ref="V178">_xll.BDP($B178&amp;" Equity","ivol_mid")</f>
        <v>31.717759999999998</v>
      </c>
      <c r="W178" s="38" cm="1">
        <f t="array" ref="W178">_xll.BDP(B178&amp;" Equity","DELTA_MID_RT")</f>
        <v>0.24823868274688721</v>
      </c>
      <c r="X178" s="48">
        <f>Y178/'Master P&amp;L'!$AE$5</f>
        <v>-1.531916209297587E-4</v>
      </c>
      <c r="Y178" s="15">
        <f>IF(G178="Sell", S178*W178*-H178*O178/N178, S178*W178*H178*O178/N178)</f>
        <v>-322913.84329080582</v>
      </c>
      <c r="Z178" s="15" cm="1">
        <f t="array" ref="Z178">_xll.BDP($B178&amp;" Equity","opt_theta")*H178*O178/N178</f>
        <v>-354.56200000000001</v>
      </c>
      <c r="AA178" s="19" cm="1">
        <f t="array" ref="AA178">_xll.BDP($B178&amp;" Equity","opt_theta")/I178</f>
        <v>-1.1624983606557377E-2</v>
      </c>
      <c r="AB178" s="36" t="str" cm="1">
        <f t="array" ref="AB178">_xll.BDP($C178&amp;" Equity","EXPECTED_REPORT_DT")</f>
        <v>29/01/2026</v>
      </c>
      <c r="AC178" s="15">
        <f>S178*H178*O178/N178</f>
        <v>1300820</v>
      </c>
      <c r="AD178" s="19">
        <f>AC178/'Master P&amp;L'!$AE$5</f>
        <v>6.1711421940616E-4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2125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105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32.049999999999997</v>
      </c>
      <c r="J179" s="19">
        <f>I179/S179</f>
        <v>4.9276610138220503E-2</v>
      </c>
      <c r="K179" s="36" cm="1">
        <f t="array" ref="K179">_xll.BDP($B179&amp;" Equity","bid")</f>
        <v>31.85</v>
      </c>
      <c r="L179" s="36" cm="1">
        <f t="array" ref="L179">_xll.BDP($B179&amp;" Equity","ask")</f>
        <v>32.049999999999997</v>
      </c>
      <c r="M179" s="40">
        <f>(L179/K179-1)</f>
        <v>6.2794348508632414E-3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64100</v>
      </c>
      <c r="Q179" s="58">
        <f>P179/'Master P&amp;L'!$AD$5*10000</f>
        <v>0.30409296800429619</v>
      </c>
      <c r="R179" s="37" cm="1">
        <f t="array" ref="R179">_xll.BDP($C179&amp;" Equity","EST_PE_NXT_YR")*(T179/S179)</f>
        <v>20.739491140025311</v>
      </c>
      <c r="S179" s="36" cm="1">
        <f t="array" ref="S179">_xll.BDP(C179&amp;" Equity","LAST_PRICE")</f>
        <v>650.41</v>
      </c>
      <c r="T179" s="53" cm="1">
        <f t="array" ref="T179">_xll.BDP(B179&amp;" Equity","OPT_STRIKE_PX")</f>
        <v>690</v>
      </c>
      <c r="U179" s="40">
        <f>T179/S179-1</f>
        <v>6.086929782752426E-2</v>
      </c>
      <c r="V179" s="37" cm="1">
        <f t="array" ref="V179">_xll.BDP($B179&amp;" Equity","ivol_mid")</f>
        <v>32.100499999999997</v>
      </c>
      <c r="W179" s="38" cm="1">
        <f t="array" ref="W179">_xll.BDP(B179&amp;" Equity","DELTA_MID_RT")</f>
        <v>0.42501562833786011</v>
      </c>
      <c r="X179" s="48">
        <f>Y179/'Master P&amp;L'!$AE$5</f>
        <v>2.6228318771713712E-4</v>
      </c>
      <c r="Y179" s="15">
        <f>IF(G179="Sell", S179*W179*-H179*O179/N179, S179*W179*H179*O179/N179)</f>
        <v>552868.82965445507</v>
      </c>
      <c r="Z179" s="15" cm="1">
        <f t="array" ref="Z179">_xll.BDP($B179&amp;" Equity","opt_theta")*H179*O179/N179</f>
        <v>-421.93399999999997</v>
      </c>
      <c r="AA179" s="19" cm="1">
        <f t="array" ref="AA179">_xll.BDP($B179&amp;" Equity","opt_theta")/I179</f>
        <v>-6.5824336973478942E-3</v>
      </c>
      <c r="AB179" s="36" t="str" cm="1">
        <f t="array" ref="AB179">_xll.BDP($C179&amp;" Equity","EXPECTED_REPORT_DT")</f>
        <v>29/01/2026</v>
      </c>
      <c r="AC179" s="15">
        <f>S179*H179*O179/N179</f>
        <v>1300820</v>
      </c>
      <c r="AD179" s="48">
        <f>AC179/'Master P&amp;L'!$AE$5</f>
        <v>6.1711421940616E-4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2183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105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22</v>
      </c>
      <c r="J180" s="19">
        <f>I180/S180</f>
        <v>3.382481819160222E-2</v>
      </c>
      <c r="K180" s="36" cm="1">
        <f t="array" ref="K180">_xll.BDP($B180&amp;" Equity","bid")</f>
        <v>22</v>
      </c>
      <c r="L180" s="36" cm="1">
        <f t="array" ref="L180">_xll.BDP($B180&amp;" Equity","ask")</f>
        <v>22.25</v>
      </c>
      <c r="M180" s="40">
        <f>(L180/K180-1)</f>
        <v>1.1363636363636465E-2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-44000</v>
      </c>
      <c r="Q180" s="58">
        <f>P180/'Master P&amp;L'!$AD$5*10000</f>
        <v>-0.20873776274865885</v>
      </c>
      <c r="R180" s="37" cm="1">
        <f t="array" ref="R180">_xll.BDP($C180&amp;" Equity","EST_PE_NXT_YR")*(T180/S180)</f>
        <v>18.03434012176114</v>
      </c>
      <c r="S180" s="36" cm="1">
        <f t="array" ref="S180">_xll.BDP(C180&amp;" Equity","LAST_PRICE")</f>
        <v>650.41</v>
      </c>
      <c r="T180" s="53" cm="1">
        <f t="array" ref="T180">_xll.BDP(B180&amp;" Equity","OPT_STRIKE_PX")</f>
        <v>600</v>
      </c>
      <c r="U180" s="40">
        <f>T180/S180-1</f>
        <v>-7.7504958410848479E-2</v>
      </c>
      <c r="V180" s="37" cm="1">
        <f t="array" ref="V180">_xll.BDP(B180&amp;" Equity","ivol_mid")</f>
        <v>33.50853</v>
      </c>
      <c r="W180" s="38" cm="1">
        <f t="array" ref="W180">_xll.BDP(B180&amp;" Equity","DELTA_MID_RT")</f>
        <v>-0.27896606922149658</v>
      </c>
      <c r="X180" s="48">
        <f>Y180/'Master P&amp;L'!$AE$5</f>
        <v>1.7215392804842866E-4</v>
      </c>
      <c r="Y180" s="15">
        <f>IF(G180="Sell", S180*W180*-H180*O180/N180, S180*W180*H180*O180/N180)</f>
        <v>362884.64216470718</v>
      </c>
      <c r="Z180" s="15" cm="1">
        <f t="array" ref="Z180">_xll.BDP($B180&amp;" Equity","opt_theta")*H180*O180/N180</f>
        <v>-358.50799999999998</v>
      </c>
      <c r="AA180" s="19" cm="1">
        <f t="array" ref="AA180">_xll.BDP($B180&amp;" Equity","opt_theta")/I180</f>
        <v>-8.6381818181818174E-3</v>
      </c>
      <c r="AB180" s="36" t="str" cm="1">
        <f t="array" ref="AB180">_xll.BDP($C180&amp;" Equity","EXPECTED_REPORT_DT")</f>
        <v>29/01/2026</v>
      </c>
      <c r="AC180" s="15">
        <f>S180*H180*O180/N180</f>
        <v>1300820</v>
      </c>
      <c r="AD180" s="19">
        <f>AC180/'Master P&amp;L'!$AE$5</f>
        <v>6.1711421940616E-4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-5.2000000000000028</v>
      </c>
      <c r="J181" s="100" t="s">
        <v>249</v>
      </c>
      <c r="K181" s="101">
        <f>K180/L179</f>
        <v>0.68642745709828401</v>
      </c>
      <c r="P181" s="130">
        <f>P179+P180+P178</f>
        <v>-10400</v>
      </c>
      <c r="Q181" s="58">
        <f>P181/'Master P&amp;L'!$AD$5*10000</f>
        <v>-4.9338016649683E-2</v>
      </c>
      <c r="S181" s="100" t="s">
        <v>251</v>
      </c>
      <c r="T181" s="102"/>
      <c r="W181" s="100" t="s">
        <v>252</v>
      </c>
      <c r="X181" s="122">
        <f>X179+X180+X178</f>
        <v>2.8124549483580705E-4</v>
      </c>
      <c r="AC181" s="100" t="s">
        <v>229</v>
      </c>
      <c r="AD181" s="122">
        <f>AD179</f>
        <v>6.1711421940616E-4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-5.5</v>
      </c>
      <c r="P182" s="100"/>
      <c r="Q182" s="108"/>
      <c r="S182" s="100"/>
      <c r="T182" s="102"/>
      <c r="W182" s="100"/>
      <c r="X182" s="122"/>
      <c r="Y182" s="13">
        <f>(Y178+Y179+Y180)/S179</f>
        <v>911.48602962493885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3.4</v>
      </c>
      <c r="J185" s="18">
        <f>T186-T187</f>
        <v>15</v>
      </c>
      <c r="K185" s="276">
        <f>(J185-I185)/I185</f>
        <v>3.4117647058823528</v>
      </c>
      <c r="Q185" s="276">
        <f>Q187+Q186</f>
        <v>3.2259472424792726E-2</v>
      </c>
    </row>
    <row r="186" spans="1:37">
      <c r="A186" s="237">
        <v>1</v>
      </c>
      <c r="B186" s="132" t="s">
        <v>2152</v>
      </c>
      <c r="C186" t="str" cm="1">
        <f t="array" ref="C186">_xll.BDP(B186&amp;" Equity","OPT_UNDL_TICKER")</f>
        <v>NFLX US</v>
      </c>
      <c r="D186" s="64">
        <f>A186*AVERAGE(K186:L186)</f>
        <v>1.885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1.85</v>
      </c>
      <c r="J186" s="19">
        <f>I186/S186</f>
        <v>2.0334139371290392E-2</v>
      </c>
      <c r="K186" s="36" cm="1">
        <f t="array" ref="K186">_xll.BDP($B186&amp;" Equity","bid")</f>
        <v>1.85</v>
      </c>
      <c r="L186" s="36" cm="1">
        <f t="array" ref="L186">_xll.BDP($B186&amp;" Equity","ask")</f>
        <v>1.92</v>
      </c>
      <c r="M186" s="40">
        <f>(L186/K186-1)</f>
        <v>3.7837837837837673E-2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-3700</v>
      </c>
      <c r="Q186" s="58">
        <f>P186/'Master P&amp;L'!$AD$5*10000</f>
        <v>-1.7552948231137223E-2</v>
      </c>
      <c r="R186" s="37" cm="1">
        <f t="array" ref="R186">_xll.BDP($C186&amp;" Equity","EST_PE_NXT_YR")*(T186/S186)</f>
        <v>32.373597580995479</v>
      </c>
      <c r="S186" s="36" cm="1">
        <f t="array" ref="S186">_xll.BDP(C186&amp;" Equity","LAST_PRICE")</f>
        <v>90.98</v>
      </c>
      <c r="T186" s="53" cm="1">
        <f t="array" ref="T186">_xll.BDP(B186&amp;" Equity","OPT_STRIKE_PX")</f>
        <v>105</v>
      </c>
      <c r="U186" s="40">
        <f>T186/S186-1</f>
        <v>0.15409980215431962</v>
      </c>
      <c r="V186" s="37" cm="1">
        <f t="array" ref="V186">_xll.BDP($B186&amp;" Equity","ivol_mid")</f>
        <v>35.737589999999997</v>
      </c>
      <c r="W186" s="38" cm="1">
        <f t="array" ref="W186">_xll.BDP(B186&amp;" Equity","DELTA_MID_RT")</f>
        <v>0.23273642361164093</v>
      </c>
      <c r="X186" s="48">
        <f>Y186/'Master P&amp;L'!$AE$5</f>
        <v>-2.0090402256822492E-5</v>
      </c>
      <c r="Y186" s="15">
        <f>IF(G186="Sell", S186*W186*-H186*O186/N186, S186*W186*H186*O186/N186)</f>
        <v>-42348.719640374184</v>
      </c>
      <c r="Z186" s="15" cm="1">
        <f t="array" ref="Z186">_xll.BDP($B186&amp;" Equity","opt_theta")*H186*O186/N186</f>
        <v>-67.256</v>
      </c>
      <c r="AA186" s="19" cm="1">
        <f t="array" ref="AA186">_xll.BDP($B186&amp;" Equity","opt_theta")/I186</f>
        <v>-1.8177297297297296E-2</v>
      </c>
      <c r="AB186" s="36" t="str" cm="1">
        <f t="array" ref="AB186">_xll.BDP($C186&amp;" Equity","EXPECTED_REPORT_DT")</f>
        <v>20/01/2026</v>
      </c>
      <c r="AC186" s="15">
        <f>S186*H186*O186/N186</f>
        <v>181960</v>
      </c>
      <c r="AD186" s="19">
        <f>AC186/'Master P&amp;L'!$AE$5</f>
        <v>8.6322552976695376E-5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2150</v>
      </c>
      <c r="C187" t="str" cm="1">
        <f t="array" ref="C187">_xll.BDP(B187&amp;" Equity","OPT_UNDL_TICKER")</f>
        <v>NFLX US</v>
      </c>
      <c r="D187" s="64">
        <f>A187*AVERAGE(K187:L187)</f>
        <v>10.4</v>
      </c>
      <c r="E187" cm="1">
        <f t="array" ref="E187">_xll.BDP($B187&amp;" Index","opt_days_expire")</f>
        <v>77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5.25</v>
      </c>
      <c r="J187" s="19">
        <f>I187/S187</f>
        <v>5.770499010771598E-2</v>
      </c>
      <c r="K187" s="36" cm="1">
        <f t="array" ref="K187">_xll.BDP($B187&amp;" Equity","bid")</f>
        <v>5.15</v>
      </c>
      <c r="L187" s="36" cm="1">
        <f t="array" ref="L187">_xll.BDP($B187&amp;" Equity","ask")</f>
        <v>5.25</v>
      </c>
      <c r="M187" s="40">
        <f>(L187/K187-1)</f>
        <v>1.9417475728155331E-2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10500</v>
      </c>
      <c r="Q187" s="58">
        <f>P187/'Master P&amp;L'!$AD$5*10000</f>
        <v>4.9812420655929952E-2</v>
      </c>
      <c r="R187" s="37" cm="1">
        <f t="array" ref="R187">_xll.BDP($C187&amp;" Equity","EST_PE_NXT_YR")*(T187/S187)</f>
        <v>27.748797926567551</v>
      </c>
      <c r="S187" s="36" cm="1">
        <f t="array" ref="S187">_xll.BDP(C187&amp;" Equity","LAST_PRICE")</f>
        <v>90.98</v>
      </c>
      <c r="T187" s="53" cm="1">
        <f t="array" ref="T187">_xll.BDP(B187&amp;" Equity","OPT_STRIKE_PX")</f>
        <v>90</v>
      </c>
      <c r="U187" s="40">
        <f>T187/S187-1</f>
        <v>-1.0771598153440309E-2</v>
      </c>
      <c r="V187" s="37" cm="1">
        <f t="array" ref="V187">_xll.BDP($B187&amp;" Equity","ivol_mid")</f>
        <v>36.153419999999997</v>
      </c>
      <c r="W187" s="38" cm="1">
        <f t="array" ref="W187">_xll.BDP(B187&amp;" Equity","DELTA_MID_RT")</f>
        <v>-0.42618903517723083</v>
      </c>
      <c r="X187" s="48">
        <f>Y187/'Master P&amp;L'!$AE$5</f>
        <v>-3.67897255671732E-5</v>
      </c>
      <c r="Y187" s="15">
        <f>IF(G187="Sell", S187*W187*-H187*O187/N187, S187*W187*H187*O187/N187)</f>
        <v>-77549.356840848923</v>
      </c>
      <c r="Z187" s="15" cm="1">
        <f t="array" ref="Z187">_xll.BDP($B187&amp;" Equity","opt_theta")*H187*O187/N187</f>
        <v>-75.713999999999999</v>
      </c>
      <c r="AA187" s="19" cm="1">
        <f t="array" ref="AA187">_xll.BDP($B187&amp;" Equity","opt_theta")/I187</f>
        <v>-7.4234285714285713E-3</v>
      </c>
      <c r="AB187" s="36" t="str" cm="1">
        <f t="array" ref="AB187">_xll.BDP($C187&amp;" Equity","EXPECTED_REPORT_DT")</f>
        <v>20/01/2026</v>
      </c>
      <c r="AC187" s="15">
        <f>S187*H187*O187/N187</f>
        <v>181960</v>
      </c>
      <c r="AD187" s="48">
        <f>AC187/'Master P&amp;L'!$AE$5</f>
        <v>8.6322552976695376E-5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2151</v>
      </c>
      <c r="C188" t="str" cm="1">
        <f t="array" ref="C188">_xll.BDP(B188&amp;" Equity","OPT_UNDL_TICKER")</f>
        <v>NFLX US</v>
      </c>
      <c r="D188" s="64">
        <f>A188*AVERAGE(K188:L188)</f>
        <v>3.59</v>
      </c>
      <c r="E188" cm="1">
        <f t="array" ref="E188">_xll.BDP($B188&amp;" Index","opt_days_expire")</f>
        <v>77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1.77</v>
      </c>
      <c r="J188" s="19">
        <f>I188/S188</f>
        <v>1.9454825236315674E-2</v>
      </c>
      <c r="K188" s="36" cm="1">
        <f t="array" ref="K188">_xll.BDP($B188&amp;" Equity","bid")</f>
        <v>1.77</v>
      </c>
      <c r="L188" s="36" cm="1">
        <f t="array" ref="L188">_xll.BDP($B188&amp;" Equity","ask")</f>
        <v>1.82</v>
      </c>
      <c r="M188" s="40">
        <f>(L188/K188-1)</f>
        <v>2.8248587570621542E-2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-5310</v>
      </c>
      <c r="Q188" s="58">
        <f>P188/'Master P&amp;L'!$AD$5*10000</f>
        <v>-2.5190852731713148E-2</v>
      </c>
      <c r="R188" s="37" cm="1">
        <f t="array" ref="R188">_xll.BDP($C188&amp;" Equity","EST_PE_NXT_YR")*(T188/S188)</f>
        <v>24.665598156948935</v>
      </c>
      <c r="S188" s="36" cm="1">
        <f t="array" ref="S188">_xll.BDP(C188&amp;" Equity","LAST_PRICE")</f>
        <v>90.98</v>
      </c>
      <c r="T188" s="53" cm="1">
        <f t="array" ref="T188">_xll.BDP(B188&amp;" Equity","OPT_STRIKE_PX")</f>
        <v>80</v>
      </c>
      <c r="U188" s="40">
        <f>T188/S188-1</f>
        <v>-0.12068586502528034</v>
      </c>
      <c r="V188" s="37" cm="1">
        <f t="array" ref="V188">_xll.BDP(B188&amp;" Equity","ivol_mid")</f>
        <v>38.26126</v>
      </c>
      <c r="W188" s="38" cm="1">
        <f t="array" ref="W188">_xll.BDP(B188&amp;" Equity","DELTA_MID_RT")</f>
        <v>-0.19020676612854004</v>
      </c>
      <c r="X188" s="48">
        <f>Y188/'Master P&amp;L'!$AE$5</f>
        <v>2.4628700468485209E-5</v>
      </c>
      <c r="Y188" s="15">
        <f>IF(G188="Sell", S188*W188*-H188*O188/N188, S188*W188*H188*O188/N188)</f>
        <v>51915.034747123718</v>
      </c>
      <c r="Z188" s="15" cm="1">
        <f t="array" ref="Z188">_xll.BDP($B188&amp;" Equity","opt_theta")*H188*O188/N188</f>
        <v>-73.83</v>
      </c>
      <c r="AA188" s="19" cm="1">
        <f t="array" ref="AA188">_xll.BDP($B188&amp;" Equity","opt_theta")/I188</f>
        <v>-1.537909604519774E-2</v>
      </c>
      <c r="AB188" s="36" t="str" cm="1">
        <f t="array" ref="AB188">_xll.BDP($C188&amp;" Equity","EXPECTED_REPORT_DT")</f>
        <v>20/01/2026</v>
      </c>
      <c r="AC188" s="15">
        <f>S188*H188*O188/N188</f>
        <v>272940</v>
      </c>
      <c r="AD188" s="19">
        <f>AC188/'Master P&amp;L'!$AE$5</f>
        <v>1.2948382946504307E-4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1.63</v>
      </c>
      <c r="J189" s="100" t="s">
        <v>249</v>
      </c>
      <c r="K189" s="101">
        <f>K188/L187</f>
        <v>0.33714285714285713</v>
      </c>
      <c r="P189" s="130">
        <f>P187+P188+P186</f>
        <v>1490</v>
      </c>
      <c r="Q189" s="58">
        <f>P189/'Master P&amp;L'!$AD$5*10000</f>
        <v>7.0686196930795841E-3</v>
      </c>
      <c r="S189" s="100" t="s">
        <v>251</v>
      </c>
      <c r="T189" s="102"/>
      <c r="W189" s="100" t="s">
        <v>252</v>
      </c>
      <c r="X189" s="122">
        <f>X187+X188+X186</f>
        <v>-3.2251427355510483E-5</v>
      </c>
      <c r="AC189" s="100" t="s">
        <v>229</v>
      </c>
      <c r="AD189" s="122">
        <f>AD187</f>
        <v>8.6322552976695376E-5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1.5200000000000005</v>
      </c>
      <c r="P190" s="100"/>
      <c r="Q190" s="108"/>
      <c r="S190" s="100"/>
      <c r="T190" s="102"/>
      <c r="W190" s="100"/>
      <c r="X190" s="122"/>
      <c r="Y190" s="13">
        <f>(Y186+Y187+Y188)/S187</f>
        <v>-747.23061919212341</v>
      </c>
      <c r="AC190" s="100"/>
      <c r="AD190" s="104"/>
    </row>
    <row r="191" spans="1:37">
      <c r="D191" s="64"/>
      <c r="H191" s="96"/>
      <c r="I191" s="64">
        <f>I187-I186</f>
        <v>3.4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6.9</v>
      </c>
      <c r="Q193" s="64">
        <f>Q196+Q197</f>
        <v>0.4091734553879961</v>
      </c>
    </row>
    <row r="194" spans="1:37">
      <c r="A194">
        <v>300</v>
      </c>
      <c r="H194" s="276">
        <v>1</v>
      </c>
      <c r="I194" s="129">
        <f>(I196-I195)/I197</f>
        <v>1.5180722891566265</v>
      </c>
      <c r="K194" s="129"/>
      <c r="Q194" s="129">
        <f>(Q196+Q195)/Q197</f>
        <v>-1.5180722891566265</v>
      </c>
    </row>
    <row r="195" spans="1:37">
      <c r="A195" s="237">
        <v>1</v>
      </c>
      <c r="B195" s="132" t="s">
        <v>2177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77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125</v>
      </c>
      <c r="I195" s="97">
        <f>IF(G195="Buy",L195,K195)</f>
        <v>4.75</v>
      </c>
      <c r="J195" s="19">
        <f>I195/S195</f>
        <v>2.097130242825607E-2</v>
      </c>
      <c r="K195" s="36" cm="1">
        <f t="array" ref="K195">_xll.BDP($B195&amp;" Equity","bid")</f>
        <v>4.75</v>
      </c>
      <c r="L195" s="36" cm="1">
        <f t="array" ref="L195">_xll.BDP($B195&amp;" Equity","ask")</f>
        <v>4.8499999999999996</v>
      </c>
      <c r="M195" s="40">
        <f>(L195/K195-1)</f>
        <v>2.1052631578947212E-2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-59375</v>
      </c>
      <c r="Q195" s="58">
        <f>P195/'Master P&amp;L'!$AD$5*10000</f>
        <v>-0.28167737870912773</v>
      </c>
      <c r="R195" s="37" cm="1">
        <f t="array" ref="R195">_xll.BDP($C195&amp;" Equity","EST_PE_NXT_YR")*(T195/S195)</f>
        <v>27.275321636764314</v>
      </c>
      <c r="S195" s="36" cm="1">
        <f t="array" ref="S195">_xll.BDP(C195&amp;" Equity","LAST_PRICE")</f>
        <v>226.5</v>
      </c>
      <c r="T195" s="53" cm="1">
        <f t="array" ref="T195">_xll.BDP(B195&amp;" Equity","OPT_STRIKE_PX")</f>
        <v>255</v>
      </c>
      <c r="U195" s="40">
        <f>T195/S195-1</f>
        <v>0.1258278145695364</v>
      </c>
      <c r="V195" s="37" cm="1">
        <f t="array" ref="V195">_xll.BDP($B195&amp;" Equity","ivol_mid")</f>
        <v>31.825489999999999</v>
      </c>
      <c r="W195" s="38" cm="1">
        <f t="array" ref="W195">_xll.BDP(B195&amp;" Equity","DELTA_MID_RT")</f>
        <v>0.2536272406578064</v>
      </c>
      <c r="X195" s="48">
        <f>Y195/'Master P&amp;L'!$AE$5</f>
        <v>-3.4066103696765433E-4</v>
      </c>
      <c r="Y195" s="15">
        <f>IF(G195="Sell", S195*W195*-H195*O195/N195, S195*W195*H195*O195/N195)</f>
        <v>-718082.12511241436</v>
      </c>
      <c r="Z195" s="15" cm="1">
        <f t="array" ref="Z195">_xll.BDP($B195&amp;" Equity","opt_theta")*H195*O195/N195</f>
        <v>-934.86249999999984</v>
      </c>
      <c r="AA195" s="19" cm="1">
        <f t="array" ref="AA195">_xll.BDP($B195&amp;" Equity","opt_theta")/I195</f>
        <v>-1.4902947368421054E-2</v>
      </c>
      <c r="AB195" s="36" t="str" cm="1">
        <f t="array" ref="AB195">_xll.BDP($C195&amp;" Equity","EXPECTED_REPORT_DT")</f>
        <v>06/02/2026</v>
      </c>
      <c r="AC195" s="15">
        <f>S195*H195*O195/N195</f>
        <v>2831250</v>
      </c>
      <c r="AD195" s="19">
        <f>AC195/'Master P&amp;L'!$AE$5</f>
        <v>1.3431563426866827E-3</v>
      </c>
      <c r="AE195" t="str">
        <f>B195  &amp; " - Buy to open " &amp;  "-" &amp; H195 &amp;"x"</f>
        <v>AMZN US 03/20/26 C255 - Buy to open -125x</v>
      </c>
      <c r="AK195" s="59" t="s">
        <v>1814</v>
      </c>
    </row>
    <row r="196" spans="1:37">
      <c r="A196" s="237">
        <v>2</v>
      </c>
      <c r="B196" s="132" t="s">
        <v>2176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77</v>
      </c>
      <c r="F196" t="str" cm="1">
        <f t="array" ref="F196">_xll.BDP(B196&amp;" Equity","QUOTED_CURRENCY_REALTIME")</f>
        <v>USD</v>
      </c>
      <c r="G196" s="105" t="s">
        <v>247</v>
      </c>
      <c r="H196" s="131">
        <v>125</v>
      </c>
      <c r="I196" s="97">
        <f>IF(G196="Buy",L196,K196)</f>
        <v>11.05</v>
      </c>
      <c r="J196" s="19">
        <f>I196/S196</f>
        <v>4.8785871964679914E-2</v>
      </c>
      <c r="K196" s="36" cm="1">
        <f t="array" ref="K196">_xll.BDP($B196&amp;" Equity","bid")</f>
        <v>10.9</v>
      </c>
      <c r="L196" s="36" cm="1">
        <f t="array" ref="L196">_xll.BDP($B196&amp;" Equity","ask")</f>
        <v>11.05</v>
      </c>
      <c r="M196" s="40">
        <f>(L196/K196-1)</f>
        <v>1.3761467889908285E-2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138125</v>
      </c>
      <c r="Q196" s="58">
        <f>P196/'Master P&amp;L'!$AD$5*10000</f>
        <v>0.65527053362860244</v>
      </c>
      <c r="R196" s="37" cm="1">
        <f t="array" ref="R196">_xll.BDP($C196&amp;" Equity","EST_PE_NXT_YR")*(T196/S196)</f>
        <v>25.136080724076916</v>
      </c>
      <c r="S196" s="36">
        <f>_xll.BDP(C196&amp;" Equity","LAST_PRICE")</f>
        <v>226.5</v>
      </c>
      <c r="T196" s="53" cm="1">
        <f t="array" ref="T196">_xll.BDP(B196&amp;" Equity","OPT_STRIKE_PX")</f>
        <v>235</v>
      </c>
      <c r="U196" s="40">
        <f>T196/S196-1</f>
        <v>3.7527593818984517E-2</v>
      </c>
      <c r="V196" s="37" cm="1">
        <f t="array" ref="V196">_xll.BDP($B196&amp;" Equity","ivol_mid")</f>
        <v>32.823459999999997</v>
      </c>
      <c r="W196" s="38" cm="1">
        <f t="array" ref="W196">_xll.BDP(B196&amp;" Equity","DELTA_MID_RT")</f>
        <v>0.45523187518119812</v>
      </c>
      <c r="X196" s="48">
        <f>Y196/'Master P&amp;L'!$AE$5</f>
        <v>6.1144758054277855E-4</v>
      </c>
      <c r="Y196" s="15">
        <f>IF(G196="Sell", S196*W196*-H196*O196/N196, S196*W196*H196*O196/N196)</f>
        <v>1288875.2466067672</v>
      </c>
      <c r="Z196" s="15" cm="1">
        <f t="array" ref="Z196">_xll.BDP($B196&amp;" Equity","opt_theta")*H196*O196/N196</f>
        <v>-1099.6374999999998</v>
      </c>
      <c r="AA196" s="19" cm="1">
        <f t="array" ref="AA196">_xll.BDP($B196&amp;" Equity","opt_theta")/I196</f>
        <v>-7.9636199095022633E-3</v>
      </c>
      <c r="AB196" s="36" t="str" cm="1">
        <f t="array" ref="AB196">_xll.BDP($C196&amp;" Equity","EXPECTED_REPORT_DT")</f>
        <v>06/02/2026</v>
      </c>
      <c r="AC196" s="15">
        <f>S196*H196*O196/N196</f>
        <v>2831250</v>
      </c>
      <c r="AD196" s="19">
        <f>AC196/'Master P&amp;L'!$AE$5</f>
        <v>1.3431563426866827E-3</v>
      </c>
      <c r="AE196" t="str">
        <f>B196  &amp; " - Buy to open " &amp;  "-" &amp; H196 &amp;"x"</f>
        <v>AMZN US 03/20/26 C235 - Buy to open -125x</v>
      </c>
      <c r="AK196" s="59" t="s">
        <v>1814</v>
      </c>
    </row>
    <row r="197" spans="1:37">
      <c r="A197" s="237">
        <v>2</v>
      </c>
      <c r="B197" s="132" t="s">
        <v>2175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77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125</v>
      </c>
      <c r="I197" s="97">
        <f>IF(G197="Buy",L197,K197)</f>
        <v>4.1500000000000004</v>
      </c>
      <c r="J197" s="19">
        <f>I197/S197</f>
        <v>1.8322295805739516E-2</v>
      </c>
      <c r="K197" s="36" cm="1">
        <f t="array" ref="K197">_xll.BDP($B197&amp;" Equity","bid")</f>
        <v>4.1500000000000004</v>
      </c>
      <c r="L197" s="36" cm="1">
        <f t="array" ref="L197">_xll.BDP($B197&amp;" Equity","ask")</f>
        <v>4.2</v>
      </c>
      <c r="M197" s="40">
        <f>(L197/K197-1)</f>
        <v>1.2048192771084265E-2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-51875</v>
      </c>
      <c r="Q197" s="58">
        <f>P197/'Master P&amp;L'!$AD$5*10000</f>
        <v>-0.24609707824060634</v>
      </c>
      <c r="R197" s="37" cm="1">
        <f t="array" ref="R197">_xll.BDP($C197&amp;" Equity","EST_PE_NXT_YR")*(T197/S197)</f>
        <v>21.392409126873972</v>
      </c>
      <c r="S197" s="36" cm="1">
        <f t="array" ref="S197">_xll.BDP(C197&amp;" Equity","LAST_PRICE")</f>
        <v>226.5</v>
      </c>
      <c r="T197" s="53" cm="1">
        <f t="array" ref="T197">_xll.BDP(B197&amp;" Equity","OPT_STRIKE_PX")</f>
        <v>200</v>
      </c>
      <c r="U197" s="40">
        <f>T197/S197-1</f>
        <v>-0.11699779249448128</v>
      </c>
      <c r="V197" s="37" cm="1">
        <f t="array" ref="V197">_xll.BDP($B197&amp;" Equity","ivol_mid")</f>
        <v>35.608539999999998</v>
      </c>
      <c r="W197" s="38" cm="1">
        <f t="array" ref="W197">_xll.BDP(B197&amp;" Equity","DELTA_MID_RT")</f>
        <v>-0.18862654268741608</v>
      </c>
      <c r="X197" s="48">
        <f>Y197/'Master P&amp;L'!$AE$5</f>
        <v>2.5335493720966319E-4</v>
      </c>
      <c r="Y197" s="15">
        <f>IF(G197="Sell", S197*W197*-H197*O197/N197, S197*W197*H197*O197/N197)</f>
        <v>534048.89898374677</v>
      </c>
      <c r="Z197" s="15" cm="1">
        <f t="array" ref="Z197">_xll.BDP($B197&amp;" Equity","opt_theta")*H197*O197/N197</f>
        <v>-735.4</v>
      </c>
      <c r="AA197" s="19" cm="1">
        <f t="array" ref="AA197">_xll.BDP($B197&amp;" Equity","opt_theta")/I197</f>
        <v>-1.574481927710843E-2</v>
      </c>
      <c r="AB197" s="36" t="str" cm="1">
        <f t="array" ref="AB197">_xll.BDP($C197&amp;" Equity","EXPECTED_REPORT_DT")</f>
        <v>06/02/2026</v>
      </c>
      <c r="AC197" s="15">
        <f>S197*H197*O197/N197</f>
        <v>2831250</v>
      </c>
      <c r="AD197" s="19">
        <f>AC197/'Master P&amp;L'!$AE$5</f>
        <v>1.3431563426866827E-3</v>
      </c>
      <c r="AE197" t="str">
        <f>B197  &amp; " - Buy to open " &amp;  "-" &amp; H197 &amp;"x"</f>
        <v>AMZN US 03/20/26 P200 - Buy to open -125x</v>
      </c>
      <c r="AK197" s="59" t="s">
        <v>1814</v>
      </c>
    </row>
    <row r="198" spans="1:37">
      <c r="H198" s="100" t="s">
        <v>116</v>
      </c>
      <c r="I198" s="102">
        <f>I196-I195-I197</f>
        <v>2.1500000000000004</v>
      </c>
      <c r="J198" s="100" t="s">
        <v>249</v>
      </c>
      <c r="K198" s="101">
        <f>K197/L196</f>
        <v>0.3755656108597285</v>
      </c>
      <c r="P198" s="130">
        <f>P196+P197+P195</f>
        <v>26875</v>
      </c>
      <c r="Q198" s="58">
        <f>P198/'Master P&amp;L'!$AD$5*10000</f>
        <v>0.12749607667886834</v>
      </c>
      <c r="S198" s="100" t="s">
        <v>251</v>
      </c>
      <c r="T198" s="102"/>
      <c r="W198" s="100" t="s">
        <v>252</v>
      </c>
      <c r="X198" s="122">
        <f>X196+X197+X195</f>
        <v>5.2414148078478741E-4</v>
      </c>
      <c r="AC198" s="100" t="s">
        <v>229</v>
      </c>
      <c r="AD198" s="122">
        <f>AD196</f>
        <v>1.3431563426866827E-3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2.0000000000000009</v>
      </c>
      <c r="P199" s="100"/>
      <c r="Q199" s="108"/>
      <c r="S199" s="100"/>
      <c r="T199" s="102"/>
      <c r="W199" s="100"/>
      <c r="X199" s="122"/>
      <c r="Y199" s="13">
        <f>(Y195+Y196+Y197)/S196</f>
        <v>4877.8897151350975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9.0500000000000007</v>
      </c>
      <c r="K200" s="64"/>
      <c r="N200" s="36"/>
      <c r="O200" s="162"/>
      <c r="P200" s="15"/>
      <c r="Q200" s="58"/>
      <c r="X200" s="71">
        <f>AD198+X198</f>
        <v>1.8672978234714702E-3</v>
      </c>
    </row>
    <row r="201" spans="1:37">
      <c r="I201" s="64"/>
      <c r="K201" s="64"/>
    </row>
    <row r="202" spans="1:37">
      <c r="H202" s="276">
        <v>1</v>
      </c>
      <c r="I202" s="64">
        <f>I204-I205</f>
        <v>3.8799999999999994</v>
      </c>
      <c r="K202" s="64"/>
      <c r="Q202" s="129">
        <f>(Q204+Q203)/Q205</f>
        <v>-1.1740890688259107</v>
      </c>
    </row>
    <row r="203" spans="1:37">
      <c r="A203" s="237"/>
      <c r="B203" s="73" t="s">
        <v>2154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77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2</v>
      </c>
      <c r="J203" s="19">
        <f>I203/S203</f>
        <v>2.1982853374367992E-2</v>
      </c>
      <c r="K203" s="36" cm="1">
        <f t="array" ref="K203">_xll.BDP($B203&amp;" Equity","bid")</f>
        <v>2</v>
      </c>
      <c r="L203" s="36" cm="1">
        <f t="array" ref="L203">_xll.BDP($B203&amp;" Equity","ask")</f>
        <v>2.12</v>
      </c>
      <c r="M203" s="40">
        <f>(L203/K203-1)</f>
        <v>6.0000000000000053E-2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-10000</v>
      </c>
      <c r="Q203" s="58">
        <f>P203/'Master P&amp;L'!$AD$5*10000</f>
        <v>-4.7440400624695192E-2</v>
      </c>
      <c r="R203" s="37" cm="1">
        <f t="array" ref="R203">_xll.BDP($C203&amp;" Equity","EST_PE_NXT_YR")*(T203/S203)</f>
        <v>32.065277604033618</v>
      </c>
      <c r="S203" s="36" cm="1">
        <f t="array" ref="S203">_xll.BDP(C203&amp;" Equity","LAST_PRICE")</f>
        <v>90.98</v>
      </c>
      <c r="T203" s="53" cm="1">
        <f t="array" ref="T203">_xll.BDP(B203&amp;" Equity","OPT_STRIKE_PX")</f>
        <v>104</v>
      </c>
      <c r="U203" s="40">
        <f>T203/S203-1</f>
        <v>0.14310837546713562</v>
      </c>
      <c r="V203" s="37" cm="1">
        <f t="array" ref="V203">_xll.BDP($B203&amp;" Equity","ivol_mid")</f>
        <v>35.768079999999998</v>
      </c>
      <c r="W203" s="38" cm="1">
        <f t="array" ref="W203">_xll.BDP(B203&amp;" Equity","DELTA_MID_RT")</f>
        <v>0.24990418553352356</v>
      </c>
      <c r="X203" s="48">
        <f>Y203/'Master P&amp;L'!$AE$5</f>
        <v>-5.3930918237038746E-5</v>
      </c>
      <c r="Y203" s="15">
        <f>IF(G203="Sell", S203*W203*-H203*O203/N203, S203*W203*H203*O203/N203)</f>
        <v>-113681.41399919987</v>
      </c>
      <c r="Z203" s="15" cm="1">
        <f t="array" ref="Z203">_xll.BDP($B203&amp;" Equity","opt_theta")*H203*O203/N203</f>
        <v>-173.94</v>
      </c>
      <c r="AA203" s="19" cm="1">
        <f t="array" ref="AA203">_xll.BDP($B203&amp;" Equity","opt_theta")/I203</f>
        <v>-1.5809E-2</v>
      </c>
      <c r="AB203" s="36" t="str" cm="1">
        <f t="array" ref="AB203">_xll.BDP($C203&amp;" Equity","EXPECTED_REPORT_DT")</f>
        <v>20/01/2026</v>
      </c>
      <c r="AC203" s="15">
        <f>S203*H203*O203/N203</f>
        <v>454900</v>
      </c>
      <c r="AD203" s="19">
        <f>AC203/'Master P&amp;L'!$AE$5</f>
        <v>2.1580638244173843E-4</v>
      </c>
      <c r="AE203" t="str">
        <f>B203  &amp; " - Buy to open " &amp;  "-" &amp; H203 &amp;"x"</f>
        <v>NFLX US 03/20/26 C104 - Buy to open -50x</v>
      </c>
      <c r="AK203" s="59" t="s">
        <v>1814</v>
      </c>
    </row>
    <row r="204" spans="1:37">
      <c r="A204" s="237"/>
      <c r="B204" t="s">
        <v>2153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77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6.35</v>
      </c>
      <c r="J204" s="19">
        <f>I204/S204</f>
        <v>6.9795559463618373E-2</v>
      </c>
      <c r="K204" s="36" cm="1">
        <f t="array" ref="K204">_xll.BDP($B204&amp;" Equity","bid")</f>
        <v>6.1</v>
      </c>
      <c r="L204" s="36" cm="1">
        <f t="array" ref="L204">_xll.BDP($B204&amp;" Equity","ask")</f>
        <v>6.35</v>
      </c>
      <c r="M204" s="40">
        <f>(L204/K204-1)</f>
        <v>4.0983606557376984E-2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31750</v>
      </c>
      <c r="Q204" s="58">
        <f>P204/'Master P&amp;L'!$AD$5*10000</f>
        <v>0.15062327198340725</v>
      </c>
      <c r="R204" s="37" cm="1">
        <f t="array" ref="R204">_xll.BDP($C204&amp;" Equity","EST_PE_NXT_YR")*(T204/S204)</f>
        <v>28.365437880491275</v>
      </c>
      <c r="S204" s="36">
        <f>_xll.BDP(C204&amp;" Equity","LAST_PRICE")</f>
        <v>90.98</v>
      </c>
      <c r="T204" s="53" cm="1">
        <f t="array" ref="T204">_xll.BDP(B204&amp;" Equity","OPT_STRIKE_PX")</f>
        <v>92</v>
      </c>
      <c r="U204" s="40">
        <f>T204/S204-1</f>
        <v>1.1211255220927585E-2</v>
      </c>
      <c r="V204" s="37" cm="1">
        <f t="array" ref="V204">_xll.BDP($B204&amp;" Equity","ivol_mid")</f>
        <v>36.092449999999999</v>
      </c>
      <c r="W204" s="38" cm="1">
        <f t="array" ref="W204">_xll.BDP(B204&amp;" Equity","DELTA_MID_RT")</f>
        <v>-0.47960522770881653</v>
      </c>
      <c r="X204" s="48">
        <f>Y204/'Master P&amp;L'!$AE$5</f>
        <v>-1.0350186919198591E-4</v>
      </c>
      <c r="Y204" s="15">
        <f>IF(G204="Sell", S204*W204*-H204*O204/N204, S204*W204*H204*O204/N204)</f>
        <v>-218172.41808474064</v>
      </c>
      <c r="Z204" s="15" cm="1">
        <f t="array" ref="Z204">_xll.BDP($B204&amp;" Equity","opt_theta")*H204*O204/N204</f>
        <v>-197.26500000000001</v>
      </c>
      <c r="AA204" s="19" cm="1">
        <f t="array" ref="AA204">_xll.BDP($B204&amp;" Equity","opt_theta")/I204</f>
        <v>-6.2785826771653546E-3</v>
      </c>
      <c r="AB204" s="36" t="str" cm="1">
        <f t="array" ref="AB204">_xll.BDP($C204&amp;" Equity","EXPECTED_REPORT_DT")</f>
        <v>20/01/2026</v>
      </c>
      <c r="AC204" s="15">
        <f>S204*H204*O204/N204</f>
        <v>454900</v>
      </c>
      <c r="AD204" s="19">
        <f>AC204/'Master P&amp;L'!$AE$5</f>
        <v>2.1580638244173843E-4</v>
      </c>
      <c r="AE204" t="str">
        <f>B204  &amp; " - Buy to open " &amp;  "-" &amp; H204 &amp;"x"</f>
        <v>NFLX US 03/20/26 P92 - Buy to open -50x</v>
      </c>
      <c r="AK204" s="59" t="s">
        <v>1814</v>
      </c>
    </row>
    <row r="205" spans="1:37">
      <c r="A205" s="237"/>
      <c r="B205" s="73" t="s">
        <v>2155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77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2.4700000000000002</v>
      </c>
      <c r="J205" s="19">
        <f>I205/S205</f>
        <v>2.7148823917344474E-2</v>
      </c>
      <c r="K205" s="36" cm="1">
        <f t="array" ref="K205">_xll.BDP($B205&amp;" Equity","bid")</f>
        <v>2.4700000000000002</v>
      </c>
      <c r="L205" s="36" cm="1">
        <f t="array" ref="L205">_xll.BDP($B205&amp;" Equity","ask")</f>
        <v>2.62</v>
      </c>
      <c r="M205" s="40">
        <f>(L205/K205-1)</f>
        <v>6.0728744939271273E-2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-18525.000000000004</v>
      </c>
      <c r="Q205" s="58">
        <f>P205/'Master P&amp;L'!$AD$5*10000</f>
        <v>-8.7883342157247871E-2</v>
      </c>
      <c r="R205" s="37" cm="1">
        <f t="array" ref="R205">_xll.BDP($C205&amp;" Equity","EST_PE_NXT_YR")*(T205/S205)</f>
        <v>25.59055808783452</v>
      </c>
      <c r="S205" s="36" cm="1">
        <f t="array" ref="S205">_xll.BDP(C205&amp;" Equity","LAST_PRICE")</f>
        <v>90.98</v>
      </c>
      <c r="T205" s="53" cm="1">
        <f t="array" ref="T205">_xll.BDP(B205&amp;" Equity","OPT_STRIKE_PX")</f>
        <v>83</v>
      </c>
      <c r="U205" s="40">
        <f>T205/S205-1</f>
        <v>-8.7711584963728328E-2</v>
      </c>
      <c r="V205" s="37" cm="1">
        <f t="array" ref="V205">_xll.BDP($B205&amp;" Equity","ivol_mid")</f>
        <v>37.443919999999999</v>
      </c>
      <c r="W205" s="38" cm="1">
        <f t="array" ref="W205">_xll.BDP(B205&amp;" Equity","DELTA_MID_RT")</f>
        <v>-0.2520679235458374</v>
      </c>
      <c r="X205" s="48">
        <f>Y205/'Master P&amp;L'!$AE$5</f>
        <v>8.1596800065041815E-5</v>
      </c>
      <c r="Y205" s="15">
        <f>IF(G205="Sell", S205*W205*-H205*O205/N205, S205*W205*H205*O205/N205)</f>
        <v>171998.54763150215</v>
      </c>
      <c r="Z205" s="15" cm="1">
        <f t="array" ref="Z205">_xll.BDP($B205&amp;" Equity","opt_theta")*H205*O205/N205</f>
        <v>-221.23499999999999</v>
      </c>
      <c r="AA205" s="19" cm="1">
        <f t="array" ref="AA205">_xll.BDP($B205&amp;" Equity","opt_theta")/I205</f>
        <v>-1.297165991902834E-2</v>
      </c>
      <c r="AB205" s="36" t="str" cm="1">
        <f t="array" ref="AB205">_xll.BDP($C205&amp;" Equity","EXPECTED_REPORT_DT")</f>
        <v>20/01/2026</v>
      </c>
      <c r="AC205" s="15">
        <f>S205*H205*O205/N205</f>
        <v>682350</v>
      </c>
      <c r="AD205" s="19">
        <f>AC205/'Master P&amp;L'!$AE$5</f>
        <v>3.2370957366260769E-4</v>
      </c>
      <c r="AE205" t="str">
        <f>B205  &amp; " - Buy to open " &amp;  "-" &amp; H205 &amp;"x"</f>
        <v>NFLX US 03/20/26 P83 - Buy to open -75x</v>
      </c>
      <c r="AK205" s="59" t="s">
        <v>1814</v>
      </c>
    </row>
    <row r="206" spans="1:37">
      <c r="H206" s="100" t="s">
        <v>116</v>
      </c>
      <c r="I206" s="102">
        <f>I204-I203-I205</f>
        <v>1.8799999999999994</v>
      </c>
      <c r="J206" s="100" t="s">
        <v>249</v>
      </c>
      <c r="K206" s="101">
        <f>K205/L204</f>
        <v>0.38897637795275597</v>
      </c>
      <c r="P206" s="130">
        <f>P204+P205+P203</f>
        <v>3224.9999999999964</v>
      </c>
      <c r="Q206" s="58">
        <f>P206/'Master P&amp;L'!$AD$5*10000</f>
        <v>1.5299529201464185E-2</v>
      </c>
      <c r="S206" s="100" t="s">
        <v>251</v>
      </c>
      <c r="T206" s="102"/>
      <c r="W206" s="100" t="s">
        <v>252</v>
      </c>
      <c r="X206" s="122">
        <f>X204+X205+X203</f>
        <v>-7.5835987363982846E-5</v>
      </c>
      <c r="AC206" s="100" t="s">
        <v>229</v>
      </c>
      <c r="AD206" s="122">
        <f>AD204</f>
        <v>2.1580638244173843E-4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1.6199999999999992</v>
      </c>
      <c r="P207" s="100"/>
      <c r="Q207" s="108"/>
      <c r="S207" s="100"/>
      <c r="T207" s="102"/>
      <c r="W207" s="100"/>
      <c r="X207" s="122"/>
      <c r="Y207" s="13">
        <f>(Y203+Y204+Y205)/S204</f>
        <v>-1757.0376396179199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1.3997039507775559E-4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0.40000000000000036</v>
      </c>
      <c r="K210" s="129"/>
      <c r="W210" s="50">
        <f>W212-W211+W214-W213</f>
        <v>0.47515131533145905</v>
      </c>
    </row>
    <row r="211" spans="1:37">
      <c r="A211" s="237">
        <v>9</v>
      </c>
      <c r="B211" t="s">
        <v>2035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167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5.15</v>
      </c>
      <c r="J211" s="19">
        <f>I211/S211</f>
        <v>1.0889330570474056E-2</v>
      </c>
      <c r="K211" s="36" cm="1">
        <f t="array" ref="K211">_xll.BDP($B211&amp;" Equity","bid")</f>
        <v>5.15</v>
      </c>
      <c r="L211" s="36" cm="1">
        <f t="array" ref="L211">_xll.BDP($B211&amp;" Equity","ask")</f>
        <v>5.3</v>
      </c>
      <c r="M211" s="40">
        <f>(L211/K211-1)</f>
        <v>2.9126213592232997E-2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-25750</v>
      </c>
      <c r="Q211" s="58">
        <f>P211/'Master P&amp;L'!$AD$5*10000</f>
        <v>-0.12215903160859014</v>
      </c>
      <c r="R211" s="37" cm="1">
        <f t="array" ref="R211">_xll.BDP($C211&amp;" Equity","EST_PE_NXT_YR")*(T211/S211)</f>
        <v>31.892656354968139</v>
      </c>
      <c r="S211" s="36" cm="1">
        <f t="array" ref="S211">_xll.BDP(C211&amp;" Equity","LAST_PRICE")</f>
        <v>472.94</v>
      </c>
      <c r="T211" s="53" cm="1">
        <f t="array" ref="T211">_xll.BDP(B211&amp;" Equity","OPT_STRIKE_PX")</f>
        <v>585</v>
      </c>
      <c r="U211" s="40">
        <f>T211/S211-1</f>
        <v>0.2369433754810335</v>
      </c>
      <c r="V211" s="37" cm="1">
        <f t="array" ref="V211">_xll.BDP($B211&amp;" Equity","ivol_mid")</f>
        <v>24.300219999999999</v>
      </c>
      <c r="W211" s="38" cm="1">
        <f t="array" ref="W211">_xll.BDP(B211&amp;" Equity","DELTA_MID_RT")</f>
        <v>0.13848893344402313</v>
      </c>
      <c r="X211" s="48">
        <f>Y211/'Master P&amp;L'!$AE$5</f>
        <v>-1.5536009205101999E-4</v>
      </c>
      <c r="Y211" s="15">
        <f>IF(G211="Sell", S211*W211*-H211*O211/N211, S211*W211*H211*O211/N211)</f>
        <v>-327484.78091508144</v>
      </c>
      <c r="Z211" s="15" cm="1">
        <f t="array" ref="Z211">_xll.BDP($B211&amp;" Equity","opt_theta")*H211*O211/N211</f>
        <v>-293.92500000000001</v>
      </c>
      <c r="AA211" s="19" cm="1">
        <f t="array" ref="AA211">_xll.BDP($B211&amp;" Equity","opt_theta")/I211</f>
        <v>-1.003126213592233E-2</v>
      </c>
      <c r="AB211" s="36" t="str" cm="1">
        <f t="array" ref="AB211">_xll.BDP($C211&amp;" Equity","EXPECTED_REPORT_DT")</f>
        <v>29/01/2026</v>
      </c>
      <c r="AC211" s="15">
        <f>S211*H211*O211/N211</f>
        <v>2364700</v>
      </c>
      <c r="AD211" s="19">
        <f>AC211/'Master P&amp;L'!$AE$5</f>
        <v>1.1218231535721672E-3</v>
      </c>
      <c r="AE211" t="s">
        <v>1879</v>
      </c>
      <c r="AK211" t="s">
        <v>1792</v>
      </c>
    </row>
    <row r="212" spans="1:37">
      <c r="A212" s="237">
        <v>3</v>
      </c>
      <c r="B212" s="73" t="s">
        <v>2036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167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19.5</v>
      </c>
      <c r="J212" s="19">
        <f>I212/S212</f>
        <v>4.1231445849367783E-2</v>
      </c>
      <c r="K212" s="36" cm="1">
        <f t="array" ref="K212">_xll.BDP($B212&amp;" Equity","bid")</f>
        <v>19.350000000000001</v>
      </c>
      <c r="L212" s="36" cm="1">
        <f t="array" ref="L212">_xll.BDP($B212&amp;" Equity","ask")</f>
        <v>19.5</v>
      </c>
      <c r="M212" s="40">
        <f>(L212/K212-1)</f>
        <v>7.7519379844961378E-3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97500</v>
      </c>
      <c r="Q212" s="58">
        <f>P212/'Master P&amp;L'!$AD$5*10000</f>
        <v>0.46254390609077811</v>
      </c>
      <c r="R212" s="37" cm="1">
        <f t="array" ref="R212">_xll.BDP($C212&amp;" Equity","EST_PE_NXT_YR")*(T212/S212)</f>
        <v>28.076441064630071</v>
      </c>
      <c r="S212" s="36" cm="1">
        <f t="array" ref="S212">_xll.BDP(C212&amp;" Equity","LAST_PRICE")</f>
        <v>472.94</v>
      </c>
      <c r="T212" s="53" cm="1">
        <f t="array" ref="T212">_xll.BDP(B212&amp;" Equity","OPT_STRIKE_PX")</f>
        <v>515</v>
      </c>
      <c r="U212" s="40">
        <f>T212/S212-1</f>
        <v>8.8933057047405617E-2</v>
      </c>
      <c r="V212" s="37" cm="1">
        <f t="array" ref="V212">_xll.BDP($B212&amp;" Equity","ivol_mid")</f>
        <v>25.227959999999999</v>
      </c>
      <c r="W212" s="38" cm="1">
        <f t="array" ref="W212">_xll.BDP(B212&amp;" Equity","DELTA_MID_RT")</f>
        <v>0.37556198239326477</v>
      </c>
      <c r="X212" s="48">
        <f>Y212/'Master P&amp;L'!$AE$5</f>
        <v>4.2131412745022707E-4</v>
      </c>
      <c r="Y212" s="15">
        <f>IF(G212="Sell", S212*W212*-H212*O212/N212, S212*W212*H212*O212/N212)</f>
        <v>888091.4197653532</v>
      </c>
      <c r="Z212" s="15" cm="1">
        <f t="array" ref="Z212">_xll.BDP($B212&amp;" Equity","opt_theta")*H212*O212/N212</f>
        <v>-474.71499999999997</v>
      </c>
      <c r="AA212" s="19" cm="1">
        <f t="array" ref="AA212">_xll.BDP($B212&amp;" Equity","opt_theta")/I212</f>
        <v>-4.8688717948717946E-3</v>
      </c>
      <c r="AB212" s="36" t="str" cm="1">
        <f t="array" ref="AB212">_xll.BDP($C212&amp;" Equity","EXPECTED_REPORT_DT")</f>
        <v>29/01/2026</v>
      </c>
      <c r="AC212" s="15">
        <f>S212*H212*O212/N212</f>
        <v>2364700</v>
      </c>
      <c r="AD212" s="48">
        <f>AC212/'Master P&amp;L'!$AE$5</f>
        <v>1.1218231535721672E-3</v>
      </c>
      <c r="AE212" t="s">
        <v>1880</v>
      </c>
      <c r="AK212" t="s">
        <v>1793</v>
      </c>
    </row>
    <row r="213" spans="1:37">
      <c r="A213" s="237">
        <v>20</v>
      </c>
      <c r="B213" t="s">
        <v>2037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167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13.95</v>
      </c>
      <c r="J213" s="19">
        <f>I213/S213</f>
        <v>2.9496342030701568E-2</v>
      </c>
      <c r="K213" s="36" cm="1">
        <f t="array" ref="K213">_xll.BDP($B213&amp;" Equity","bid")</f>
        <v>13.95</v>
      </c>
      <c r="L213" s="36" cm="1">
        <f t="array" ref="L213">_xll.BDP($B213&amp;" Equity","ask")</f>
        <v>14.15</v>
      </c>
      <c r="M213" s="40">
        <f>(L213/K213-1)</f>
        <v>1.433691756272415E-2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-69750</v>
      </c>
      <c r="Q213" s="58">
        <f>P213/'Master P&amp;L'!$AD$5*10000</f>
        <v>-0.330896794357249</v>
      </c>
      <c r="R213" s="37" cm="1">
        <f t="array" ref="R213">_xll.BDP($C213&amp;" Equity","EST_PE_NXT_YR")*(T213/S213)</f>
        <v>23.169878548481126</v>
      </c>
      <c r="S213" s="36" cm="1">
        <f t="array" ref="S213">_xll.BDP(C213&amp;" Equity","LAST_PRICE")</f>
        <v>472.94</v>
      </c>
      <c r="T213" s="53" cm="1">
        <f t="array" ref="T213">_xll.BDP(B213&amp;" Equity","OPT_STRIKE_PX")</f>
        <v>425</v>
      </c>
      <c r="U213" s="40">
        <f>T213/S213-1</f>
        <v>-0.10136592379583031</v>
      </c>
      <c r="V213" s="37" cm="1">
        <f t="array" ref="V213">_xll.BDP(B213&amp;" Equity","ivol_mid")</f>
        <v>28.82544</v>
      </c>
      <c r="W213" s="38" cm="1">
        <f t="array" ref="W213">_xll.BDP(B213&amp;" Equity","DELTA_MID_RT")</f>
        <v>-0.23807826638221741</v>
      </c>
      <c r="X213" s="48">
        <f>Y213/'Master P&amp;L'!$AE$5</f>
        <v>2.6708171158989363E-4</v>
      </c>
      <c r="Y213" s="15">
        <f>IF(G213="Sell", S213*W213*-H213*O213/N213, S213*W213*H213*O213/N213)</f>
        <v>562983.6765140295</v>
      </c>
      <c r="Z213" s="15" cm="1">
        <f t="array" ref="Z213">_xll.BDP($B213&amp;" Equity","opt_theta")*H213*O213/N213</f>
        <v>-396.61</v>
      </c>
      <c r="AA213" s="19" cm="1">
        <f t="array" ref="AA213">_xll.BDP($B213&amp;" Equity","opt_theta")/I213</f>
        <v>-6.2199283154121864E-3</v>
      </c>
      <c r="AB213" s="36" t="str" cm="1">
        <f t="array" ref="AB213">_xll.BDP($C213&amp;" Equity","EXPECTED_REPORT_DT")</f>
        <v>29/01/2026</v>
      </c>
      <c r="AC213" s="15">
        <f>S213*H213*O213/N213</f>
        <v>2364700</v>
      </c>
      <c r="AD213" s="19">
        <f>AC213/'Master P&amp;L'!$AE$5</f>
        <v>1.1218231535721672E-3</v>
      </c>
      <c r="AE213" t="s">
        <v>1881</v>
      </c>
      <c r="AK213" t="s">
        <v>1794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0.40000000000000036</v>
      </c>
      <c r="J215" s="100" t="s">
        <v>249</v>
      </c>
      <c r="K215" s="101">
        <f>K214/L212</f>
        <v>0</v>
      </c>
      <c r="P215" s="130">
        <f>P212+P214+P211+P213</f>
        <v>2000</v>
      </c>
      <c r="Q215" s="58">
        <f>P215/'Master P&amp;L'!$AD$5*10000</f>
        <v>9.4880801249390394E-3</v>
      </c>
      <c r="S215" s="100" t="s">
        <v>251</v>
      </c>
      <c r="T215" s="102"/>
      <c r="W215" s="100" t="s">
        <v>252</v>
      </c>
      <c r="X215" s="122">
        <f>X212+X214+X211+X213</f>
        <v>5.3303574698910074E-4</v>
      </c>
      <c r="AC215" s="100" t="s">
        <v>229</v>
      </c>
      <c r="AD215" s="122">
        <f>AD212</f>
        <v>1.1218231535721672E-3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1185.3652447462082</v>
      </c>
      <c r="AC216" s="100"/>
      <c r="AD216" s="104"/>
    </row>
    <row r="217" spans="1:37">
      <c r="D217" s="64"/>
      <c r="H217" s="96"/>
      <c r="I217" s="64">
        <f>I212-I211</f>
        <v>14.35</v>
      </c>
      <c r="K217" s="64">
        <f>(I211/25*A211)+(I212/25*A212)-(I214/25*A214)</f>
        <v>4.194</v>
      </c>
      <c r="N217" s="36"/>
      <c r="O217" s="162"/>
      <c r="P217" s="15"/>
      <c r="Q217" s="58"/>
    </row>
    <row r="218" spans="1:37">
      <c r="I218" s="64">
        <f>I213-I214</f>
        <v>13.95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0.97212543554006969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21.9</v>
      </c>
      <c r="J221" s="64">
        <f>I224-I225</f>
        <v>8.4500000000000011</v>
      </c>
      <c r="K221" s="129"/>
      <c r="W221" s="50">
        <f>W223-W222+W225-W224</f>
        <v>0.27897118031978607</v>
      </c>
    </row>
    <row r="222" spans="1:37">
      <c r="A222" s="237">
        <v>9</v>
      </c>
      <c r="B222" s="59" t="s">
        <v>2181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167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25.35</v>
      </c>
      <c r="J222" s="19">
        <f>I222/S222</f>
        <v>7.2924457741211673E-2</v>
      </c>
      <c r="K222" s="36" cm="1">
        <f t="array" ref="K222">_xll.BDP($B222&amp;" Equity","bid")</f>
        <v>25.35</v>
      </c>
      <c r="L222" s="36" cm="1">
        <f t="array" ref="L222">_xll.BDP($B222&amp;" Equity","ask")</f>
        <v>25.6</v>
      </c>
      <c r="M222" s="40">
        <f>(L222/K222-1)</f>
        <v>9.8619329388560661E-3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-126750</v>
      </c>
      <c r="Q222" s="58">
        <f>P222/'Master P&amp;L'!$AD$5*10000</f>
        <v>-0.60130707791801152</v>
      </c>
      <c r="R222" s="37" cm="1">
        <f t="array" ref="R222">_xll.BDP($C222&amp;" Equity","EST_PE_NXT_YR")*(T222/S222)</f>
        <v>29.638174115095712</v>
      </c>
      <c r="S222" s="36" cm="1">
        <f t="array" ref="S222">_xll.BDP(C222&amp;" Equity","LAST_PRICE")</f>
        <v>347.62</v>
      </c>
      <c r="T222" s="53" cm="1">
        <f t="array" ref="T222">_xll.BDP(B222&amp;" Equity","OPT_STRIKE_PX")</f>
        <v>410</v>
      </c>
      <c r="U222" s="40">
        <f>T222/S222-1</f>
        <v>0.17944882342788104</v>
      </c>
      <c r="V222" s="37" cm="1">
        <f t="array" ref="V222">_xll.BDP($B222&amp;" Equity","ivol_mid")</f>
        <v>47.774700000000003</v>
      </c>
      <c r="W222" s="38" cm="1">
        <f t="array" ref="W222">_xll.BDP(B222&amp;" Equity","DELTA_MID_RT")</f>
        <v>0.38394716382026672</v>
      </c>
      <c r="X222" s="48">
        <f>Y222/'Master P&amp;L'!$AE$5</f>
        <v>-3.165880889659348E-4</v>
      </c>
      <c r="Y222" s="15">
        <f>IF(G222="Sell", S222*W222*-H222*O222/N222, S222*W222*H222*O222/N222)</f>
        <v>-667338.56543600571</v>
      </c>
      <c r="Z222" s="15" cm="1">
        <f t="array" ref="Z222">_xll.BDP($B222&amp;" Equity","opt_theta")*H222*O222/N222</f>
        <v>-626.39499999999998</v>
      </c>
      <c r="AA222" s="19" cm="1">
        <f t="array" ref="AA222">_xll.BDP($B222&amp;" Equity","opt_theta")/I222</f>
        <v>-4.9419723865877707E-3</v>
      </c>
      <c r="AB222" s="36" t="str" cm="1">
        <f t="array" ref="AB222">_xll.BDP($C222&amp;" Equity","EXPECTED_REPORT_DT")</f>
        <v>06/03/2026</v>
      </c>
      <c r="AC222" s="15">
        <f>S222*H222*O222/N222</f>
        <v>1738100</v>
      </c>
      <c r="AD222" s="19">
        <f>AC222/'Master P&amp;L'!$AE$5</f>
        <v>8.2456160325782718E-4</v>
      </c>
      <c r="AE222" t="s">
        <v>1879</v>
      </c>
      <c r="AK222" t="s">
        <v>1792</v>
      </c>
    </row>
    <row r="223" spans="1:37">
      <c r="A223" s="237">
        <v>3</v>
      </c>
      <c r="B223" s="59" t="s">
        <v>2179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167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47.25</v>
      </c>
      <c r="J223" s="19">
        <f>I223/S223</f>
        <v>0.13592428513894483</v>
      </c>
      <c r="K223" s="36" cm="1">
        <f t="array" ref="K223">_xll.BDP($B223&amp;" Equity","bid")</f>
        <v>46.95</v>
      </c>
      <c r="L223" s="36" cm="1">
        <f t="array" ref="L223">_xll.BDP($B223&amp;" Equity","ask")</f>
        <v>47.25</v>
      </c>
      <c r="M223" s="40">
        <f>(L223/K223-1)</f>
        <v>6.389776357827337E-3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236250</v>
      </c>
      <c r="Q223" s="58">
        <f>P223/'Master P&amp;L'!$AD$5*10000</f>
        <v>1.1207794647584239</v>
      </c>
      <c r="R223" s="37" cm="1">
        <f t="array" ref="R223">_xll.BDP($C223&amp;" Equity","EST_PE_NXT_YR")*(T223/S223)</f>
        <v>25.300880342154873</v>
      </c>
      <c r="S223" s="36" cm="1">
        <f t="array" ref="S223">_xll.BDP(C223&amp;" Equity","LAST_PRICE")</f>
        <v>347.62</v>
      </c>
      <c r="T223" s="53" cm="1">
        <f t="array" ref="T223">_xll.BDP(B223&amp;" Equity","OPT_STRIKE_PX")</f>
        <v>350</v>
      </c>
      <c r="U223" s="40">
        <f>T223/S223-1</f>
        <v>6.8465565847763976E-3</v>
      </c>
      <c r="V223" s="37" cm="1">
        <f t="array" ref="V223">_xll.BDP($B223&amp;" Equity","ivol_mid")</f>
        <v>48.695680000000003</v>
      </c>
      <c r="W223" s="38" cm="1">
        <f t="array" ref="W223">_xll.BDP(B223&amp;" Equity","DELTA_MID_RT")</f>
        <v>0.57696014642715454</v>
      </c>
      <c r="X223" s="48">
        <f>Y223/'Master P&amp;L'!$AE$5</f>
        <v>4.7573918335384527E-4</v>
      </c>
      <c r="Y223" s="15">
        <f>IF(G223="Sell", S223*W223*-H223*O223/N223, S223*W223*H223*O223/N223)</f>
        <v>1002814.4305050373</v>
      </c>
      <c r="Z223" s="15" cm="1">
        <f t="array" ref="Z223">_xll.BDP($B223&amp;" Equity","opt_theta")*H223*O223/N223</f>
        <v>-647.28499999999997</v>
      </c>
      <c r="AA223" s="19" cm="1">
        <f t="array" ref="AA223">_xll.BDP($B223&amp;" Equity","opt_theta")/I223</f>
        <v>-2.7398306878306878E-3</v>
      </c>
      <c r="AB223" s="36" t="str" cm="1">
        <f t="array" ref="AB223">_xll.BDP($C223&amp;" Equity","EXPECTED_REPORT_DT")</f>
        <v>06/03/2026</v>
      </c>
      <c r="AC223" s="15">
        <f>S223*H223*O223/N223</f>
        <v>1738100</v>
      </c>
      <c r="AD223" s="48">
        <f>AC223/'Master P&amp;L'!$AE$5</f>
        <v>8.2456160325782718E-4</v>
      </c>
      <c r="AE223" t="s">
        <v>1880</v>
      </c>
      <c r="AK223" t="s">
        <v>1793</v>
      </c>
    </row>
    <row r="224" spans="1:37">
      <c r="A224" s="237"/>
      <c r="B224" s="59" t="s">
        <v>2178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167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22.1</v>
      </c>
      <c r="J224" s="19">
        <f>I224/S224</f>
        <v>6.3575168287210174E-2</v>
      </c>
      <c r="K224" s="36" cm="1">
        <f t="array" ref="K224">_xll.BDP($B224&amp;" Equity","bid")</f>
        <v>22.1</v>
      </c>
      <c r="L224" s="36" cm="1">
        <f t="array" ref="L224">_xll.BDP($B224&amp;" Equity","ask")</f>
        <v>22.35</v>
      </c>
      <c r="M224" s="40">
        <f>(L224/K224-1)</f>
        <v>1.1312217194570096E-2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-110500</v>
      </c>
      <c r="Q224" s="58">
        <f>P224/'Master P&amp;L'!$AD$5*10000</f>
        <v>-0.52421642690288195</v>
      </c>
      <c r="R224" s="37" cm="1">
        <f t="array" ref="R224">_xll.BDP($C224&amp;" Equity","EST_PE_NXT_YR")*(T224/S224)</f>
        <v>21.686468864704178</v>
      </c>
      <c r="S224" s="36" cm="1">
        <f t="array" ref="S224">_xll.BDP(C224&amp;" Equity","LAST_PRICE")</f>
        <v>347.62</v>
      </c>
      <c r="T224" s="53" cm="1">
        <f t="array" ref="T224">_xll.BDP(B224&amp;" Equity","OPT_STRIKE_PX")</f>
        <v>300</v>
      </c>
      <c r="U224" s="40">
        <f>T224/S224-1</f>
        <v>-0.13698866578447733</v>
      </c>
      <c r="V224" s="37" cm="1">
        <f t="array" ref="V224">_xll.BDP(B224&amp;" Equity","ivol_mid")</f>
        <v>50.15551</v>
      </c>
      <c r="W224" s="38" cm="1">
        <f t="array" ref="W224">_xll.BDP(B224&amp;" Equity","DELTA_MID_RT")</f>
        <v>-0.26042544841766357</v>
      </c>
      <c r="X224" s="48">
        <f>Y224/'Master P&amp;L'!$AE$5</f>
        <v>2.1473682527640726E-4</v>
      </c>
      <c r="Y224" s="15">
        <f>IF(G224="Sell", S224*W224*-H224*O224/N224, S224*W224*H224*O224/N224)</f>
        <v>452645.47189474106</v>
      </c>
      <c r="Z224" s="15" cm="1">
        <f t="array" ref="Z224">_xll.BDP($B224&amp;" Equity","opt_theta")*H224*O224/N224</f>
        <v>-567.07500000000005</v>
      </c>
      <c r="AA224" s="19" cm="1">
        <f t="array" ref="AA224">_xll.BDP($B224&amp;" Equity","opt_theta")/I224</f>
        <v>-5.1319004524886871E-3</v>
      </c>
      <c r="AB224" s="36" t="str" cm="1">
        <f t="array" ref="AB224">_xll.BDP($C224&amp;" Equity","EXPECTED_REPORT_DT")</f>
        <v>06/03/2026</v>
      </c>
      <c r="AC224" s="15">
        <f>S224*H224*O224/N224</f>
        <v>1738100</v>
      </c>
      <c r="AD224" s="19">
        <f>AC224/'Master P&amp;L'!$AE$5</f>
        <v>8.2456160325782718E-4</v>
      </c>
      <c r="AE224" t="s">
        <v>1881</v>
      </c>
      <c r="AK224" t="s">
        <v>1794</v>
      </c>
    </row>
    <row r="225" spans="1:37">
      <c r="A225" s="237"/>
      <c r="B225" s="59" t="s">
        <v>2180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167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13.65</v>
      </c>
      <c r="J225" s="19">
        <f t="shared" ref="J225" si="13">I225/S225</f>
        <v>3.9267015706806283E-2</v>
      </c>
      <c r="K225" s="36" cm="1">
        <f t="array" ref="K225">_xll.BDP($B225&amp;" Equity","bid")</f>
        <v>13.4</v>
      </c>
      <c r="L225" s="36" cm="1">
        <f t="array" ref="L225">_xll.BDP($B225&amp;" Equity","ask")</f>
        <v>13.65</v>
      </c>
      <c r="M225" s="40">
        <f t="shared" ref="M225" si="14">(L225/K225-1)</f>
        <v>1.8656716417910557E-2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68250</v>
      </c>
      <c r="Q225" s="58">
        <f>P225/'Master P&amp;L'!$AD$5*10000</f>
        <v>0.3237807342635447</v>
      </c>
      <c r="R225" s="37" cm="1">
        <f t="array" ref="R225">_xll.BDP($C225&amp;" Equity","EST_PE_NXT_YR")*(T225/S225)</f>
        <v>19.517821978233762</v>
      </c>
      <c r="S225" s="36" cm="1">
        <f t="array" ref="S225">_xll.BDP(C225&amp;" Equity","LAST_PRICE")</f>
        <v>347.62</v>
      </c>
      <c r="T225" s="53" cm="1">
        <f t="array" ref="T225">_xll.BDP(B225&amp;" Equity","OPT_STRIKE_PX")</f>
        <v>270</v>
      </c>
      <c r="U225" s="40">
        <f t="shared" ref="U225" si="16">T225/S225-1</f>
        <v>-0.22328979920602954</v>
      </c>
      <c r="V225" s="37" cm="1">
        <f t="array" ref="V225">_xll.BDP(B225&amp;" Equity","ivol_mid")</f>
        <v>51.755569999999999</v>
      </c>
      <c r="W225" s="38" cm="1">
        <f t="array" ref="W225">_xll.BDP(B225&amp;" Equity","DELTA_MID_RT")</f>
        <v>-0.17446725070476532</v>
      </c>
      <c r="X225" s="48">
        <f>Y225/'Master P&amp;L'!$AE$5</f>
        <v>-1.4385899595710657E-4</v>
      </c>
      <c r="Y225" s="15">
        <f t="shared" ref="Y225" si="17">IF(G225="Sell", S225*W225*-H225*O225/N225, S225*W225*H225*O225/N225)</f>
        <v>-303241.5284499526</v>
      </c>
      <c r="Z225" s="15" cm="1">
        <f t="array" ref="Z225">_xll.BDP($B225&amp;" Equity","opt_theta")*H225*O225/N225</f>
        <v>-464.77499999999992</v>
      </c>
      <c r="AA225" s="19" cm="1">
        <f t="array" ref="AA225">_xll.BDP($B225&amp;" Equity","opt_theta")/I225</f>
        <v>-6.8741391941391939E-3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1738100</v>
      </c>
      <c r="AD225" s="19">
        <f>AC225/'Master P&amp;L'!$AE$5</f>
        <v>8.2456160325782718E-4</v>
      </c>
      <c r="AE225" t="s">
        <v>1881</v>
      </c>
      <c r="AK225" t="s">
        <v>1794</v>
      </c>
    </row>
    <row r="226" spans="1:37">
      <c r="H226" s="100" t="s">
        <v>116</v>
      </c>
      <c r="I226" s="102">
        <f>I223+I225-I224-I222</f>
        <v>13.449999999999996</v>
      </c>
      <c r="J226" s="100" t="s">
        <v>249</v>
      </c>
      <c r="K226" s="101">
        <f>K225/L223</f>
        <v>0.28359788359788363</v>
      </c>
      <c r="P226" s="130">
        <f>P223+P225+P222+P224</f>
        <v>67250</v>
      </c>
      <c r="Q226" s="58">
        <f>P226/'Master P&amp;L'!$AD$5*10000</f>
        <v>0.31903669420107517</v>
      </c>
      <c r="S226" s="100" t="s">
        <v>251</v>
      </c>
      <c r="T226" s="102"/>
      <c r="W226" s="100" t="s">
        <v>252</v>
      </c>
      <c r="X226" s="122">
        <f>X223+X225+X222+X224</f>
        <v>2.3002892370721116E-4</v>
      </c>
      <c r="AC226" s="100" t="s">
        <v>229</v>
      </c>
      <c r="AD226" s="122">
        <f>AD223</f>
        <v>8.2456160325782718E-4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12.924999999999997</v>
      </c>
      <c r="P227" s="100"/>
      <c r="Q227" s="108"/>
      <c r="S227" s="100"/>
      <c r="T227" s="102"/>
      <c r="W227" s="100"/>
      <c r="X227" s="122"/>
      <c r="Y227" s="13">
        <f>(Y222+Y223+Y224)/S223</f>
        <v>2267.1921551227565</v>
      </c>
      <c r="AC227" s="100"/>
      <c r="AD227" s="104"/>
    </row>
    <row r="228" spans="1:37">
      <c r="D228" s="64"/>
      <c r="H228" s="96"/>
      <c r="I228" s="64">
        <f>I223-I222</f>
        <v>21.9</v>
      </c>
      <c r="K228" s="64">
        <f>(I222/25*A222)+(I223/25*A223)-(I225/25*A225)</f>
        <v>14.795999999999999</v>
      </c>
      <c r="N228" s="36"/>
      <c r="O228" s="162"/>
      <c r="P228" s="15"/>
      <c r="Q228" s="58"/>
    </row>
    <row r="229" spans="1:37">
      <c r="I229" s="64">
        <f>I224-I225</f>
        <v>8.4500000000000011</v>
      </c>
      <c r="K229">
        <v>11.59</v>
      </c>
      <c r="M229" s="267">
        <f>(I226-K227)*500*100</f>
        <v>26249.999999999931</v>
      </c>
      <c r="P229">
        <v>-7500</v>
      </c>
      <c r="S229">
        <v>521.79999999999995</v>
      </c>
    </row>
    <row r="230" spans="1:37">
      <c r="I230" s="40">
        <f>I229/I228</f>
        <v>0.38584474885844755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2124</v>
      </c>
      <c r="C233" t="str" cm="1">
        <f t="array" ref="C233">_xll.BDP(B233&amp;" Equity","OPT_UNDL_TICKER")</f>
        <v>META US</v>
      </c>
      <c r="D233" s="64">
        <f>A233*AVERAGE(K233:L233)</f>
        <v>30.65</v>
      </c>
      <c r="E233" cm="1">
        <f t="array" ref="E233">_xll.BDP($B233&amp;" Index","opt_days_expire")</f>
        <v>105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15.4</v>
      </c>
      <c r="J233" s="19">
        <f>I233/S233</f>
        <v>2.3677372734121557E-2</v>
      </c>
      <c r="K233" s="36" cm="1">
        <f t="array" ref="K233">_xll.BDP($B233&amp;" Equity","bid")</f>
        <v>15.25</v>
      </c>
      <c r="L233" s="36" cm="1">
        <f t="array" ref="L233">_xll.BDP($B233&amp;" Equity","ask")</f>
        <v>15.4</v>
      </c>
      <c r="M233" s="40">
        <f>(L233/K233-1)</f>
        <v>9.8360655737705915E-3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46200</v>
      </c>
      <c r="Q233" s="58">
        <f>P233/'Master P&amp;L'!$AD$5*10000</f>
        <v>0.21917465088609178</v>
      </c>
      <c r="R233" s="37" cm="1">
        <f t="array" ref="R233">_xll.BDP($C233&amp;" Equity","EST_PE_NXT_YR")*(T233/S233)</f>
        <v>22.542925152201423</v>
      </c>
      <c r="S233" s="36" cm="1">
        <f t="array" ref="S233">_xll.BDP(C233&amp;" Equity","LAST_PRICE")</f>
        <v>650.41</v>
      </c>
      <c r="T233" s="53" cm="1">
        <f t="array" ref="T233">_xll.BDP(B233&amp;" Equity","OPT_STRIKE_PX")</f>
        <v>750</v>
      </c>
      <c r="U233" s="40">
        <f>T233/S233-1</f>
        <v>0.15311880198643935</v>
      </c>
      <c r="V233" s="37" cm="1">
        <f t="array" ref="V233">_xll.BDP($B233&amp;" Equity","ivol_mid")</f>
        <v>31.717759999999998</v>
      </c>
      <c r="W233" s="38" cm="1">
        <f t="array" ref="W233">_xll.BDP(B233&amp;" Equity","DELTA_MID_RT")</f>
        <v>0.24823868274688721</v>
      </c>
      <c r="X233" s="48">
        <f>Y233/'Master P&amp;L'!$AE$5</f>
        <v>2.2978743139463807E-4</v>
      </c>
      <c r="Y233" s="15">
        <f>IF(G233="Sell", S233*W233*-H233*O233/N233, S233*W233*H233*O233/N233)</f>
        <v>484370.76493620872</v>
      </c>
      <c r="Z233" s="15" cm="1">
        <f t="array" ref="Z233">_xll.BDP($B233&amp;" Equity","opt_theta")*H233*O233/N233</f>
        <v>-531.84300000000007</v>
      </c>
      <c r="AA233" s="19" cm="1">
        <f t="array" ref="AA233">_xll.BDP($B233&amp;" Equity","opt_theta")/I233</f>
        <v>-1.1511753246753246E-2</v>
      </c>
      <c r="AB233" s="36" t="str" cm="1">
        <f t="array" ref="AB233">_xll.BDP($C233&amp;" Equity","EXPECTED_REPORT_DT")</f>
        <v>29/01/2026</v>
      </c>
      <c r="AC233" s="15">
        <f>S233*H233*O233/N233</f>
        <v>1951230</v>
      </c>
      <c r="AD233" s="48">
        <f>AC233/'Master P&amp;L'!$AE$5</f>
        <v>9.2567132910924006E-4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2184</v>
      </c>
      <c r="C234" t="str" cm="1">
        <f t="array" ref="C234">_xll.BDP(B234&amp;" Equity","OPT_UNDL_TICKER")</f>
        <v>META US</v>
      </c>
      <c r="D234" s="64">
        <f>A234*AVERAGE(K234:L234)</f>
        <v>28.5</v>
      </c>
      <c r="E234" cm="1">
        <f t="array" ref="E234">_xll.BDP($B234&amp;" Index","opt_days_expire")</f>
        <v>105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14.35</v>
      </c>
      <c r="J234" s="19">
        <f>I234/S234</f>
        <v>2.2063006411340541E-2</v>
      </c>
      <c r="K234" s="36" cm="1">
        <f t="array" ref="K234">_xll.BDP($B234&amp;" Equity","bid")</f>
        <v>14.15</v>
      </c>
      <c r="L234" s="36" cm="1">
        <f t="array" ref="L234">_xll.BDP($B234&amp;" Equity","ask")</f>
        <v>14.35</v>
      </c>
      <c r="M234" s="40">
        <f>(L234/K234-1)</f>
        <v>1.4134275618374437E-2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86100</v>
      </c>
      <c r="Q234" s="58">
        <f>P234/'Master P&amp;L'!$AD$5*10000</f>
        <v>0.40846184937862567</v>
      </c>
      <c r="R234" s="37" cm="1">
        <f t="array" ref="R234">_xll.BDP($C234&amp;" Equity","EST_PE_NXT_YR")*(T234/S234)</f>
        <v>17.132623115673084</v>
      </c>
      <c r="S234" s="36" cm="1">
        <f t="array" ref="S234">_xll.BDP(C234&amp;" Equity","LAST_PRICE")</f>
        <v>650.41</v>
      </c>
      <c r="T234" s="53" cm="1">
        <f t="array" ref="T234">_xll.BDP(B234&amp;" Equity","OPT_STRIKE_PX")</f>
        <v>570</v>
      </c>
      <c r="U234" s="40">
        <f>T234/S234-1</f>
        <v>-0.12362971049030602</v>
      </c>
      <c r="V234" s="37" cm="1">
        <f t="array" ref="V234">_xll.BDP(B234&amp;" Equity","ivol_mid")</f>
        <v>34.2727</v>
      </c>
      <c r="W234" s="38" cm="1">
        <f t="array" ref="W234">_xll.BDP(B234&amp;" Equity","DELTA_MID_RT")</f>
        <v>-0.19605813920497894</v>
      </c>
      <c r="X234" s="48">
        <f>Y234/'Master P&amp;L'!$AE$5</f>
        <v>-3.6297079660111456E-4</v>
      </c>
      <c r="Y234" s="15">
        <f>IF(G234="Sell", S234*W234*-H234*O234/N234, S234*W234*H234*O234/N234)</f>
        <v>-765109.04592186213</v>
      </c>
      <c r="Z234" s="15" cm="1">
        <f t="array" ref="Z234">_xll.BDP($B234&amp;" Equity","opt_theta")*H234*O234/N234</f>
        <v>-886.45799999999997</v>
      </c>
      <c r="AA234" s="19" cm="1">
        <f t="array" ref="AA234">_xll.BDP($B234&amp;" Equity","opt_theta")/I234</f>
        <v>-1.0295679442508712E-2</v>
      </c>
      <c r="AB234" s="36" t="str" cm="1">
        <f t="array" ref="AB234">_xll.BDP($C234&amp;" Equity","EXPECTED_REPORT_DT")</f>
        <v>29/01/2026</v>
      </c>
      <c r="AC234" s="15">
        <f>S234*H234*O234/N234</f>
        <v>3902460</v>
      </c>
      <c r="AD234" s="19">
        <f>AC234/'Master P&amp;L'!$AE$5</f>
        <v>1.8513426582184801E-3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-1.0500000000000007</v>
      </c>
      <c r="J236" s="19"/>
      <c r="K236" s="109">
        <f>AVERAGE(K233:L233)-AVERAGE(K234:L234)</f>
        <v>1.0749999999999993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1840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61.763894675688213</v>
      </c>
      <c r="S239" s="36" cm="1">
        <f t="array" ref="S239">_xll.BDP(C239&amp;" Equity","LAST_PRICE")</f>
        <v>54.97</v>
      </c>
      <c r="T239" s="53" cm="1">
        <f t="array" ref="T239">_xll.BDP(B239&amp;" Equity","OPT_STRIKE_PX")</f>
        <v>50</v>
      </c>
      <c r="U239" s="40">
        <f>T239/S239-1</f>
        <v>-9.0412952519556056E-2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1841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56.822783101633149</v>
      </c>
      <c r="S240" s="36" cm="1">
        <f t="array" ref="S240">_xll.BDP(C240&amp;" Equity","LAST_PRICE")</f>
        <v>54.97</v>
      </c>
      <c r="T240" s="53" cm="1">
        <f t="array" ref="T240">_xll.BDP(B240&amp;" Equity","OPT_STRIKE_PX")</f>
        <v>46</v>
      </c>
      <c r="U240" s="40">
        <f>T240/S240-1</f>
        <v>-0.16317991631799167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1910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26.440920225913757</v>
      </c>
      <c r="S246" s="36" cm="1">
        <f t="array" ref="S246">_xll.BDP(C246&amp;" Equity","LAST_PRICE")</f>
        <v>472.94</v>
      </c>
      <c r="T246" s="53" cm="1">
        <f t="array" ref="T246">_xll.BDP(B246&amp;" Equity","OPT_STRIKE_PX")</f>
        <v>485</v>
      </c>
      <c r="U246" s="40">
        <f t="shared" ref="U246:U251" si="23">T246/S246-1</f>
        <v>2.5500063432993603E-2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P&amp;L'!B29</f>
        <v>SOXX</v>
      </c>
      <c r="B247" t="s">
        <v>1911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35.488248435314077</v>
      </c>
      <c r="S247" s="36" cm="1">
        <f t="array" ref="S247">_xll.BDP(C247&amp;" Equity","LAST_PRICE")</f>
        <v>195.71</v>
      </c>
      <c r="T247" s="53" cm="1">
        <f t="array" ref="T247">_xll.BDP(B247&amp;" Equity","OPT_STRIKE_PX")</f>
        <v>285</v>
      </c>
      <c r="U247" s="40">
        <f t="shared" si="23"/>
        <v>0.45623626794747318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1912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23.531650039561367</v>
      </c>
      <c r="S248" s="36" cm="1">
        <f t="array" ref="S248">_xll.BDP(C248&amp;" Equity","LAST_PRICE")</f>
        <v>226.5</v>
      </c>
      <c r="T248" s="53" cm="1">
        <f t="array" ref="T248">_xll.BDP(B248&amp;" Equity","OPT_STRIKE_PX")</f>
        <v>220</v>
      </c>
      <c r="U248" s="40">
        <f t="shared" si="23"/>
        <v>-2.8697571743929395E-2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1915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21.941780481476052</v>
      </c>
      <c r="S249" s="36" cm="1">
        <f t="array" ref="S249">_xll.BDP(C249&amp;" Equity","LAST_PRICE")</f>
        <v>650.41</v>
      </c>
      <c r="T249" s="53" cm="1">
        <f t="array" ref="T249">_xll.BDP(B249&amp;" Equity","OPT_STRIKE_PX")</f>
        <v>730</v>
      </c>
      <c r="U249" s="40">
        <f t="shared" si="23"/>
        <v>0.12236896726680091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1913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20.808264123510703</v>
      </c>
      <c r="S250" s="36" cm="1">
        <f t="array" ref="S250">_xll.BDP(C250&amp;" Equity","LAST_PRICE")</f>
        <v>188.85</v>
      </c>
      <c r="T250" s="53" cm="1">
        <f t="array" ref="T250">_xll.BDP(B250&amp;" Equity","OPT_STRIKE_PX")</f>
        <v>160</v>
      </c>
      <c r="U250" s="40">
        <f t="shared" si="23"/>
        <v>-0.15276674609478424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1914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23.855115751174598</v>
      </c>
      <c r="S251" s="36" cm="1">
        <f t="array" ref="S251">_xll.BDP(C251&amp;" Equity","LAST_PRICE")</f>
        <v>347.62</v>
      </c>
      <c r="T251" s="53" cm="1">
        <f t="array" ref="T251">_xll.BDP(B251&amp;" Equity","OPT_STRIKE_PX")</f>
        <v>330</v>
      </c>
      <c r="U251" s="40">
        <f t="shared" si="23"/>
        <v>-5.0687532362925003E-2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H33" sqref="H33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1750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P&amp;L'!$H$11:$H$84,'Master P&amp;L'!$B$11:$B$84,Check!B5)))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400</v>
      </c>
      <c r="P5" s="217">
        <f>IF(O5="","",IF(OR(LEFT(O5,4)="Cash",LEFT(O5,4)="Prov"),0,SUMIFS(Input_APM!N:N,Input_APM!L:L,Check!O5)))</f>
        <v>7026</v>
      </c>
      <c r="Q5" s="22">
        <f>IF(O5="","",IF(LEN(O5)&gt;9,SUMIFS(Options!$H$3:$H$28,Options!$B$3:$B$28,Check!O5),SUMIFS('Master P&amp;L'!$H$11:$H$84,'Master P&amp;L'!$B$11:$B$84,Check!O5)))</f>
        <v>7500</v>
      </c>
      <c r="R5" s="217">
        <f>IF(O5="","",P5-Q5)</f>
        <v>-474</v>
      </c>
      <c r="S5" s="362">
        <f>IF(O5="","",IF((P5+Q5)=0,"Ok",IF(OR(P5=0,Q5=0),"Erro",P5/Q5)))</f>
        <v>0.93679999999999997</v>
      </c>
      <c r="V5" s="13"/>
    </row>
    <row r="6" spans="2:22">
      <c r="B6" t="s">
        <v>143</v>
      </c>
      <c r="C6" s="233">
        <f>IF(B6="","",IF(LEN(B6)&gt;9,SUMIFS(Options!$H$3:$H$28,Options!$B$3:$B$28,Check!B6),SUMIFS('Master P&amp;L'!$H$11:$H$84,'Master P&amp;L'!$B$11:$B$84,Check!B6)))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5452</v>
      </c>
      <c r="Q6" s="22">
        <f>IF(O6="","",IF(LEN(O6)&gt;9,SUMIFS(Options!$H$3:$H$28,Options!$B$3:$B$28,Check!O6),SUMIFS('Master P&amp;L'!$H$11:$H$84,'Master P&amp;L'!$B$11:$B$84,Check!O6)))</f>
        <v>6365</v>
      </c>
      <c r="R6" s="217">
        <f t="shared" ref="R6:R69" si="1">IF(O6="","",P6-Q6)</f>
        <v>-913</v>
      </c>
      <c r="S6" s="362">
        <f t="shared" ref="S6:S69" si="2">IF(O6="","",IF((P6+Q6)=0,"Ok",IF(OR(P6=0,Q6=0),"Erro",P6/Q6)))</f>
        <v>0.8565593087195601</v>
      </c>
      <c r="V6" s="13"/>
    </row>
    <row r="7" spans="2:22">
      <c r="B7" t="s">
        <v>3</v>
      </c>
      <c r="C7" s="233">
        <f>IF(B7="","",IF(LEN(B7)&gt;9,SUMIFS(Options!$H$3:$H$28,Options!$B$3:$B$28,Check!B7),SUMIFS('Master P&amp;L'!$H$11:$H$84,'Master P&amp;L'!$B$11:$B$84,Check!B7)))</f>
        <v>-11612</v>
      </c>
      <c r="D7" s="233">
        <f>IF(B7="","",SUMIFS(Input_APM!N:N,Input_APM!L:L,Check!B7,Input_APM!M:M,Check!$F$1))</f>
        <v>-11220</v>
      </c>
      <c r="E7" s="219">
        <f>IF(B7="","",C7-M7)</f>
        <v>0</v>
      </c>
      <c r="F7" s="233">
        <f>IF(B7="","",SUMIFS(Input_APM!N:N,Input_APM!M:M,Check!$F$1,Input_APM!L:L,Check!B7))</f>
        <v>-11220</v>
      </c>
      <c r="G7" s="233">
        <f>IF(B7="","",SUMIFS(Input_APM!N:N,Input_APM!M:M,Check!$G$1,Input_APM!L:L,Check!B7))</f>
        <v>0</v>
      </c>
      <c r="H7" s="217">
        <f>IF(B7="","",F7-G7)</f>
        <v>-11220</v>
      </c>
      <c r="I7" s="217">
        <f>SUMIFS(Input_APM!N:N,Input_APM!L:L,Check!B7)</f>
        <v>-11220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-392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-11612</v>
      </c>
      <c r="O7" t="s">
        <v>2207</v>
      </c>
      <c r="P7" s="217">
        <f>IF(O7="","",IF(OR(LEFT(O7,4)="Cash",LEFT(O7,4)="Prov"),0,SUMIFS(Input_APM!N:N,Input_APM!L:L,Check!O7)))</f>
        <v>3392.35</v>
      </c>
      <c r="Q7" s="22">
        <f>IF(O7="","",IF(LEN(O7)&gt;9,SUMIFS(Options!$H$3:$H$28,Options!$B$3:$B$28,Check!O7),SUMIFS('Master P&amp;L'!$H$11:$H$84,'Master P&amp;L'!$B$11:$B$84,Check!O7)))</f>
        <v>0</v>
      </c>
      <c r="R7" s="217">
        <f t="shared" si="1"/>
        <v>3392.35</v>
      </c>
      <c r="S7" s="362" t="str">
        <f t="shared" si="2"/>
        <v>Erro</v>
      </c>
      <c r="V7" s="13"/>
    </row>
    <row r="8" spans="2:22">
      <c r="B8" t="s">
        <v>400</v>
      </c>
      <c r="C8" s="233">
        <f>IF(B8="","",IF(LEN(B8)&gt;9,SUMIFS(Options!$H$3:$H$28,Options!$B$3:$B$28,Check!B8),SUMIFS('Master P&amp;L'!$H$11:$H$84,'Master P&amp;L'!$B$11:$B$84,Check!B8)))</f>
        <v>7500</v>
      </c>
      <c r="D8" s="233">
        <f>IF(B8="","",SUMIFS(Input_APM!N:N,Input_APM!L:L,Check!B8,Input_APM!M:M,Check!$F$1))</f>
        <v>7026</v>
      </c>
      <c r="E8" s="219">
        <f>IF(B8="","",C8-M8)</f>
        <v>0</v>
      </c>
      <c r="F8" s="233">
        <f>IF(B8="","",SUMIFS(Input_APM!N:N,Input_APM!M:M,Check!$F$1,Input_APM!L:L,Check!B8))</f>
        <v>7026</v>
      </c>
      <c r="G8" s="233">
        <f>IF(B8="","",SUMIFS(Input_APM!N:N,Input_APM!M:M,Check!$G$1,Input_APM!L:L,Check!B8))</f>
        <v>0</v>
      </c>
      <c r="H8" s="217">
        <f t="shared" si="0"/>
        <v>7026</v>
      </c>
      <c r="I8" s="217">
        <f>SUMIFS(Input_APM!N:N,Input_APM!L:L,Check!B8)</f>
        <v>7026</v>
      </c>
      <c r="J8" s="219">
        <f t="shared" si="3"/>
        <v>0</v>
      </c>
      <c r="K8" s="22">
        <f>IF(B8="","",SUMIFS('Input_APM (Zenith)'!N:N,'Input_APM (Zenith)'!L:L,Check!B8,'Input_APM (Zenith)'!M:M,Check!$F$1))</f>
        <v>474</v>
      </c>
      <c r="L8" s="22">
        <f>IF(B8="","",SUMIFS('Input_APM (Zenith)'!N:N,'Input_APM (Zenith)'!L:L,Check!B8,'Input_APM (Zenith)'!M:M,Check!$G$1))</f>
        <v>0</v>
      </c>
      <c r="M8" s="240">
        <f t="shared" si="4"/>
        <v>7500</v>
      </c>
      <c r="O8" t="s">
        <v>2179</v>
      </c>
      <c r="P8" s="217">
        <f>IF(O8="","",IF(OR(LEFT(O8,4)="Cash",LEFT(O8,4)="Prov"),0,SUMIFS(Input_APM!N:N,Input_APM!L:L,Check!O8)))</f>
        <v>48</v>
      </c>
      <c r="Q8" s="22">
        <f>IF(O8="","",IF(LEN(O8)&gt;9,SUMIFS(Options!$H$3:$H$28,Options!$B$3:$B$28,Check!O8),SUMIFS('Master P&amp;L'!$H$11:$H$84,'Master P&amp;L'!$B$11:$B$84,Check!O8)))</f>
        <v>50</v>
      </c>
      <c r="R8" s="217">
        <f t="shared" si="1"/>
        <v>-2</v>
      </c>
      <c r="S8" s="362">
        <f t="shared" si="2"/>
        <v>0.96</v>
      </c>
      <c r="V8" s="13"/>
    </row>
    <row r="9" spans="2:22">
      <c r="B9" t="s">
        <v>81</v>
      </c>
      <c r="C9" s="233">
        <f>IF(B9="","",IF(LEN(B9)&gt;9,SUMIFS(Options!$H$3:$H$28,Options!$B$3:$B$28,Check!B9),SUMIFS('Master P&amp;L'!$H$11:$H$84,'Master P&amp;L'!$B$11:$B$84,Check!B9)))</f>
        <v>2500</v>
      </c>
      <c r="D9" s="233">
        <f>IF(B9="","",SUMIFS(Input_APM!N:N,Input_APM!L:L,Check!B9,Input_APM!M:M,Check!$F$1))</f>
        <v>2339</v>
      </c>
      <c r="E9" s="219">
        <f>IF(B9="","",C9-M9)</f>
        <v>0</v>
      </c>
      <c r="F9" s="233">
        <f>IF(B9="","",SUMIFS(Input_APM!N:N,Input_APM!M:M,Check!$F$1,Input_APM!L:L,Check!B9))</f>
        <v>2339</v>
      </c>
      <c r="G9" s="233">
        <f>IF(B9="","",SUMIFS(Input_APM!N:N,Input_APM!M:M,Check!$G$1,Input_APM!L:L,Check!B9))</f>
        <v>0</v>
      </c>
      <c r="H9" s="217">
        <f t="shared" si="0"/>
        <v>2339</v>
      </c>
      <c r="I9" s="217">
        <f>SUMIFS(Input_APM!N:N,Input_APM!L:L,Check!B9)</f>
        <v>2339</v>
      </c>
      <c r="J9" s="219">
        <f t="shared" si="3"/>
        <v>0</v>
      </c>
      <c r="K9" s="22">
        <f>IF(B9="","",SUMIFS('Input_APM (Zenith)'!N:N,'Input_APM (Zenith)'!L:L,Check!B9,'Input_APM (Zenith)'!M:M,Check!$F$1))</f>
        <v>161</v>
      </c>
      <c r="L9" s="22">
        <f>IF(B9="","",SUMIFS('Input_APM (Zenith)'!N:N,'Input_APM (Zenith)'!L:L,Check!B9,'Input_APM (Zenith)'!M:M,Check!$G$1))</f>
        <v>0</v>
      </c>
      <c r="M9" s="240">
        <f t="shared" si="4"/>
        <v>2500</v>
      </c>
      <c r="O9" t="s">
        <v>2181</v>
      </c>
      <c r="P9" s="217">
        <f>IF(O9="","",IF(OR(LEFT(O9,4)="Cash",LEFT(O9,4)="Prov"),0,SUMIFS(Input_APM!N:N,Input_APM!L:L,Check!O9)))</f>
        <v>-48</v>
      </c>
      <c r="Q9" s="22">
        <f>IF(O9="","",IF(LEN(O9)&gt;9,SUMIFS(Options!$H$3:$H$28,Options!$B$3:$B$28,Check!O9),SUMIFS('Master P&amp;L'!$H$11:$H$84,'Master P&amp;L'!$B$11:$B$84,Check!O9)))</f>
        <v>-50</v>
      </c>
      <c r="R9" s="217">
        <f t="shared" si="1"/>
        <v>2</v>
      </c>
      <c r="S9" s="362">
        <f t="shared" si="2"/>
        <v>0.96</v>
      </c>
      <c r="V9" s="13"/>
    </row>
    <row r="10" spans="2:22">
      <c r="B10" t="s">
        <v>2114</v>
      </c>
      <c r="C10" s="233">
        <f>IF(B10="","",IF(LEN(B10)&gt;9,SUMIFS(Options!$H$3:$H$28,Options!$B$3:$B$28,Check!B10),SUMIFS('Master P&amp;L'!$H$11:$H$84,'Master P&amp;L'!$B$11:$B$84,Check!B10)))</f>
        <v>788</v>
      </c>
      <c r="D10" s="233">
        <f>IF(B10="","",SUMIFS(Input_APM!N:N,Input_APM!L:L,Check!B10,Input_APM!M:M,Check!$F$1))</f>
        <v>124</v>
      </c>
      <c r="E10" s="217">
        <f t="shared" ref="E10:E65" si="5">IF(B10="","",C10-M10)</f>
        <v>655</v>
      </c>
      <c r="F10" s="233">
        <f>IF(B10="","",SUMIFS(Input_APM!N:N,Input_APM!M:M,Check!$F$1,Input_APM!L:L,Check!B10))</f>
        <v>124</v>
      </c>
      <c r="G10" s="233">
        <f>IF(B10="","",SUMIFS(Input_APM!N:N,Input_APM!M:M,Check!$G$1,Input_APM!L:L,Check!B10))</f>
        <v>0</v>
      </c>
      <c r="H10" s="217">
        <f t="shared" si="0"/>
        <v>124</v>
      </c>
      <c r="I10" s="217">
        <f>SUMIFS(Input_APM!N:N,Input_APM!L:L,Check!B10)</f>
        <v>124</v>
      </c>
      <c r="J10" s="219">
        <f t="shared" si="3"/>
        <v>0</v>
      </c>
      <c r="K10" s="22">
        <f>IF(B10="","",SUMIFS('Input_APM (Zenith)'!N:N,'Input_APM (Zenith)'!L:L,Check!B10,'Input_APM (Zenith)'!M:M,Check!$F$1))</f>
        <v>9</v>
      </c>
      <c r="L10" s="22">
        <f>IF(B10="","",SUMIFS('Input_APM (Zenith)'!N:N,'Input_APM (Zenith)'!L:L,Check!B10,'Input_APM (Zenith)'!M:M,Check!$G$1))</f>
        <v>0</v>
      </c>
      <c r="M10" s="240">
        <f t="shared" si="4"/>
        <v>133</v>
      </c>
      <c r="O10" t="s">
        <v>295</v>
      </c>
      <c r="P10" s="217">
        <f>IF(O10="","",IF(OR(LEFT(O10,4)="Cash",LEFT(O10,4)="Prov"),0,SUMIFS(Input_APM!N:N,Input_APM!L:L,Check!O10)))</f>
        <v>0</v>
      </c>
      <c r="Q10" s="22">
        <f>IF(O10="","",IF(LEN(O10)&gt;9,SUMIFS(Options!$H$3:$H$28,Options!$B$3:$B$28,Check!O10),SUMIFS('Master P&amp;L'!$H$11:$H$84,'Master P&amp;L'!$B$11:$B$84,Check!O10)))</f>
        <v>0</v>
      </c>
      <c r="R10" s="217">
        <f t="shared" si="1"/>
        <v>0</v>
      </c>
      <c r="S10" s="362" t="str">
        <f t="shared" si="2"/>
        <v>Ok</v>
      </c>
      <c r="V10" s="13"/>
    </row>
    <row r="11" spans="2:22">
      <c r="B11" t="s">
        <v>2220</v>
      </c>
      <c r="C11" s="233">
        <f>IF(B11="","",IF(LEN(B11)&gt;9,SUMIFS(Options!$H$3:$H$28,Options!$B$3:$B$28,Check!B11),SUMIFS('Master P&amp;L'!$H$11:$H$84,'Master P&amp;L'!$B$11:$B$84,Check!B11)))</f>
        <v>22000</v>
      </c>
      <c r="D11" s="233">
        <f>IF(B11="","",SUMIFS(Input_APM!N:N,Input_APM!L:L,Check!B11,Input_APM!M:M,Check!$F$1))</f>
        <v>20567</v>
      </c>
      <c r="E11" s="217">
        <f t="shared" si="5"/>
        <v>0</v>
      </c>
      <c r="F11" s="233">
        <f>IF(B11="","",SUMIFS(Input_APM!N:N,Input_APM!M:M,Check!$F$1,Input_APM!L:L,Check!B11))</f>
        <v>20567</v>
      </c>
      <c r="G11" s="233">
        <f>IF(B11="","",SUMIFS(Input_APM!N:N,Input_APM!M:M,Check!$G$1,Input_APM!L:L,Check!B11))</f>
        <v>0</v>
      </c>
      <c r="H11" s="217">
        <f t="shared" si="0"/>
        <v>20567</v>
      </c>
      <c r="I11" s="217">
        <f>SUMIFS(Input_APM!N:N,Input_APM!L:L,Check!B11)</f>
        <v>20567</v>
      </c>
      <c r="J11" s="219">
        <f t="shared" si="3"/>
        <v>0</v>
      </c>
      <c r="K11" s="22">
        <f>IF(B11="","",SUMIFS('Input_APM (Zenith)'!N:N,'Input_APM (Zenith)'!L:L,Check!B11,'Input_APM (Zenith)'!M:M,Check!$F$1))</f>
        <v>1433</v>
      </c>
      <c r="L11" s="22">
        <f>IF(B11="","",SUMIFS('Input_APM (Zenith)'!N:N,'Input_APM (Zenith)'!L:L,Check!B11,'Input_APM (Zenith)'!M:M,Check!$G$1))</f>
        <v>0</v>
      </c>
      <c r="M11" s="240">
        <f t="shared" si="4"/>
        <v>22000</v>
      </c>
      <c r="O11" t="s">
        <v>296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IF(O11="","",IF(LEN(O11)&gt;9,SUMIFS(Options!$H$3:$H$28,Options!$B$3:$B$28,Check!O11),SUMIFS('Master P&amp;L'!$H$11:$H$84,'Master P&amp;L'!$B$11:$B$84,Check!O11)))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94</v>
      </c>
      <c r="C12" s="233">
        <f>IF(B12="","",IF(LEN(B12)&gt;9,SUMIFS(Options!$H$3:$H$28,Options!$B$3:$B$28,Check!B12),SUMIFS('Master P&amp;L'!$H$11:$H$84,'Master P&amp;L'!$B$11:$B$84,Check!B12)))</f>
        <v>25160</v>
      </c>
      <c r="D12" s="233">
        <f>IF(B12="","",SUMIFS(Input_APM!N:N,Input_APM!L:L,Check!B12,Input_APM!M:M,Check!$F$1))</f>
        <v>20613</v>
      </c>
      <c r="E12" s="217">
        <f t="shared" si="5"/>
        <v>1320</v>
      </c>
      <c r="F12" s="233">
        <f>IF(B12="","",SUMIFS(Input_APM!N:N,Input_APM!M:M,Check!$F$1,Input_APM!L:L,Check!B12))</f>
        <v>20613</v>
      </c>
      <c r="G12" s="233">
        <f>IF(B12="","",SUMIFS(Input_APM!N:N,Input_APM!M:M,Check!$G$1,Input_APM!L:L,Check!B12))</f>
        <v>0</v>
      </c>
      <c r="H12" s="217">
        <f t="shared" si="0"/>
        <v>20613</v>
      </c>
      <c r="I12" s="217">
        <f>SUMIFS(Input_APM!N:N,Input_APM!L:L,Check!B12)</f>
        <v>20613</v>
      </c>
      <c r="J12" s="219">
        <f t="shared" si="3"/>
        <v>0</v>
      </c>
      <c r="K12" s="22">
        <f>IF(B12="","",SUMIFS('Input_APM (Zenith)'!N:N,'Input_APM (Zenith)'!L:L,Check!B12,'Input_APM (Zenith)'!M:M,Check!$F$1))</f>
        <v>3227</v>
      </c>
      <c r="L12" s="22">
        <f>IF(B12="","",SUMIFS('Input_APM (Zenith)'!N:N,'Input_APM (Zenith)'!L:L,Check!B12,'Input_APM (Zenith)'!M:M,Check!$G$1))</f>
        <v>0</v>
      </c>
      <c r="M12" s="240">
        <f t="shared" si="4"/>
        <v>23840</v>
      </c>
      <c r="O12" t="s">
        <v>297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IF(O12="","",IF(LEN(O12)&gt;9,SUMIFS(Options!$H$3:$H$28,Options!$B$3:$B$28,Check!O12),SUMIFS('Master P&amp;L'!$H$11:$H$84,'Master P&amp;L'!$B$11:$B$84,Check!O12)))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137</v>
      </c>
      <c r="C13" s="233">
        <f>IF(B13="","",IF(LEN(B13)&gt;9,SUMIFS(Options!$H$3:$H$28,Options!$B$3:$B$28,Check!B13),SUMIFS('Master P&amp;L'!$H$11:$H$84,'Master P&amp;L'!$B$11:$B$84,Check!B13)))</f>
        <v>6365</v>
      </c>
      <c r="D13" s="233">
        <f>IF(B13="","",SUMIFS(Input_APM!N:N,Input_APM!L:L,Check!B13,Input_APM!M:M,Check!$F$1))</f>
        <v>5452</v>
      </c>
      <c r="E13" s="219">
        <f t="shared" si="5"/>
        <v>715</v>
      </c>
      <c r="F13" s="233">
        <f>IF(B13="","",SUMIFS(Input_APM!N:N,Input_APM!M:M,Check!$F$1,Input_APM!L:L,Check!B13))</f>
        <v>5452</v>
      </c>
      <c r="G13" s="233">
        <f>IF(B13="","",SUMIFS(Input_APM!N:N,Input_APM!M:M,Check!$G$1,Input_APM!L:L,Check!B13))</f>
        <v>0</v>
      </c>
      <c r="H13" s="217">
        <f t="shared" si="0"/>
        <v>5452</v>
      </c>
      <c r="I13" s="217">
        <f>SUMIFS(Input_APM!N:N,Input_APM!L:L,Check!B13)</f>
        <v>5452</v>
      </c>
      <c r="J13" s="219">
        <f t="shared" si="3"/>
        <v>0</v>
      </c>
      <c r="K13" s="22">
        <f>IF(B13="","",SUMIFS('Input_APM (Zenith)'!N:N,'Input_APM (Zenith)'!L:L,Check!B13,'Input_APM (Zenith)'!M:M,Check!$F$1))</f>
        <v>198</v>
      </c>
      <c r="L13" s="22">
        <f>IF(B13="","",SUMIFS('Input_APM (Zenith)'!N:N,'Input_APM (Zenith)'!L:L,Check!B13,'Input_APM (Zenith)'!M:M,Check!$G$1))</f>
        <v>0</v>
      </c>
      <c r="M13" s="240">
        <f t="shared" si="4"/>
        <v>5650</v>
      </c>
      <c r="O13" t="s">
        <v>2208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IF(O13="","",IF(LEN(O13)&gt;9,SUMIFS(Options!$H$3:$H$28,Options!$B$3:$B$28,Check!O13),SUMIFS('Master P&amp;L'!$H$11:$H$84,'Master P&amp;L'!$B$11:$B$84,Check!O13)))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96</v>
      </c>
      <c r="C14" s="233">
        <f>IF(B14="","",IF(LEN(B14)&gt;9,SUMIFS(Options!$H$3:$H$28,Options!$B$3:$B$28,Check!B14),SUMIFS('Master P&amp;L'!$H$11:$H$84,'Master P&amp;L'!$B$11:$B$84,Check!B14)))</f>
        <v>4449</v>
      </c>
      <c r="D14" s="233">
        <f>IF(B14="","",SUMIFS(Input_APM!N:N,Input_APM!L:L,Check!B14,Input_APM!M:M,Check!$F$1))</f>
        <v>2103</v>
      </c>
      <c r="E14" s="217">
        <f t="shared" si="5"/>
        <v>2199</v>
      </c>
      <c r="F14" s="233">
        <f>IF(B14="","",SUMIFS(Input_APM!N:N,Input_APM!M:M,Check!$F$1,Input_APM!L:L,Check!B14))</f>
        <v>2103</v>
      </c>
      <c r="G14" s="233">
        <f>IF(B14="","",SUMIFS(Input_APM!N:N,Input_APM!M:M,Check!$G$1,Input_APM!L:L,Check!B14))</f>
        <v>0</v>
      </c>
      <c r="H14" s="217">
        <f t="shared" si="0"/>
        <v>2103</v>
      </c>
      <c r="I14" s="217">
        <f>SUMIFS(Input_APM!N:N,Input_APM!L:L,Check!B14)</f>
        <v>2103</v>
      </c>
      <c r="J14" s="219">
        <f t="shared" si="3"/>
        <v>0</v>
      </c>
      <c r="K14" s="22">
        <f>IF(B14="","",SUMIFS('Input_APM (Zenith)'!N:N,'Input_APM (Zenith)'!L:L,Check!B14,'Input_APM (Zenith)'!M:M,Check!$F$1))</f>
        <v>147</v>
      </c>
      <c r="L14" s="22">
        <f>IF(B14="","",SUMIFS('Input_APM (Zenith)'!N:N,'Input_APM (Zenith)'!L:L,Check!B14,'Input_APM (Zenith)'!M:M,Check!$G$1))</f>
        <v>0</v>
      </c>
      <c r="M14" s="240">
        <f t="shared" si="4"/>
        <v>2250</v>
      </c>
      <c r="O14" t="s">
        <v>298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IF(O14="","",IF(LEN(O14)&gt;9,SUMIFS(Options!$H$3:$H$28,Options!$B$3:$B$28,Check!O14),SUMIFS('Master P&amp;L'!$H$11:$H$84,'Master P&amp;L'!$B$11:$B$84,Check!O14)))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138</v>
      </c>
      <c r="C15" s="233">
        <f>IF(B15="","",IF(LEN(B15)&gt;9,SUMIFS(Options!$H$3:$H$28,Options!$B$3:$B$28,Check!B15),SUMIFS('Master P&amp;L'!$H$11:$H$84,'Master P&amp;L'!$B$11:$B$84,Check!B15)))</f>
        <v>-1000</v>
      </c>
      <c r="D15" s="233">
        <f>IF(B15="","",SUMIFS(Input_APM!N:N,Input_APM!L:L,Check!B15,Input_APM!M:M,Check!$F$1))</f>
        <v>-936</v>
      </c>
      <c r="E15" s="219">
        <f t="shared" si="5"/>
        <v>0</v>
      </c>
      <c r="F15" s="233">
        <f>IF(B15="","",SUMIFS(Input_APM!N:N,Input_APM!M:M,Check!$F$1,Input_APM!L:L,Check!B15))</f>
        <v>-936</v>
      </c>
      <c r="G15" s="233">
        <f>IF(B15="","",SUMIFS(Input_APM!N:N,Input_APM!M:M,Check!$G$1,Input_APM!L:L,Check!B15))</f>
        <v>0</v>
      </c>
      <c r="H15" s="217">
        <f t="shared" si="0"/>
        <v>-936</v>
      </c>
      <c r="I15" s="217">
        <f>SUMIFS(Input_APM!N:N,Input_APM!L:L,Check!B15)</f>
        <v>-936</v>
      </c>
      <c r="J15" s="219">
        <f t="shared" si="3"/>
        <v>0</v>
      </c>
      <c r="K15" s="22">
        <f>IF(B15="","",SUMIFS('Input_APM (Zenith)'!N:N,'Input_APM (Zenith)'!L:L,Check!B15,'Input_APM (Zenith)'!M:M,Check!$F$1))</f>
        <v>-64</v>
      </c>
      <c r="L15" s="22">
        <f>IF(B15="","",SUMIFS('Input_APM (Zenith)'!N:N,'Input_APM (Zenith)'!L:L,Check!B15,'Input_APM (Zenith)'!M:M,Check!$G$1))</f>
        <v>0</v>
      </c>
      <c r="M15" s="240">
        <f t="shared" si="4"/>
        <v>-1000</v>
      </c>
      <c r="O15" t="s">
        <v>299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IF(O15="","",IF(LEN(O15)&gt;9,SUMIFS(Options!$H$3:$H$28,Options!$B$3:$B$28,Check!O15),SUMIFS('Master P&amp;L'!$H$11:$H$84,'Master P&amp;L'!$B$11:$B$84,Check!O15)))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136</v>
      </c>
      <c r="C16" s="233">
        <f>IF(B16="","",IF(LEN(B16)&gt;9,SUMIFS(Options!$H$3:$H$28,Options!$B$3:$B$28,Check!B16),SUMIFS('Master P&amp;L'!$H$11:$H$84,'Master P&amp;L'!$B$11:$B$84,Check!B16)))</f>
        <v>0</v>
      </c>
      <c r="D16" s="233">
        <f>IF(B16="","",SUMIFS(Input_APM!N:N,Input_APM!L:L,Check!B16,Input_APM!M:M,Check!$F$1))</f>
        <v>0</v>
      </c>
      <c r="E16" s="217">
        <f t="shared" si="5"/>
        <v>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300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P&amp;L'!$H$11:$H$84,'Master P&amp;L'!$B$11:$B$84,Check!O16)))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95</v>
      </c>
      <c r="C17" s="233">
        <f>IF(B17="","",IF(LEN(B17)&gt;9,SUMIFS(Options!$H$3:$H$28,Options!$B$3:$B$28,Check!B17),SUMIFS('Master P&amp;L'!$H$11:$H$84,'Master P&amp;L'!$B$11:$B$84,Check!B17)))</f>
        <v>-4832</v>
      </c>
      <c r="D17" s="233">
        <f>IF(B17="","",SUMIFS(Input_APM!N:N,Input_APM!L:L,Check!B17,Input_APM!M:M,Check!$F$1))</f>
        <v>-4517</v>
      </c>
      <c r="E17" s="219">
        <f t="shared" si="5"/>
        <v>0</v>
      </c>
      <c r="F17" s="233">
        <f>IF(B17="","",SUMIFS(Input_APM!N:N,Input_APM!M:M,Check!$F$1,Input_APM!L:L,Check!B17))</f>
        <v>-4517</v>
      </c>
      <c r="G17" s="233">
        <f>IF(B17="","",SUMIFS(Input_APM!N:N,Input_APM!M:M,Check!$G$1,Input_APM!L:L,Check!B17))</f>
        <v>0</v>
      </c>
      <c r="H17" s="217">
        <f t="shared" si="0"/>
        <v>-4517</v>
      </c>
      <c r="I17" s="217">
        <f>SUMIFS(Input_APM!N:N,Input_APM!L:L,Check!B17)</f>
        <v>-4517</v>
      </c>
      <c r="J17" s="219">
        <f t="shared" si="3"/>
        <v>0</v>
      </c>
      <c r="K17" s="22">
        <f>IF(B17="","",SUMIFS('Input_APM (Zenith)'!N:N,'Input_APM (Zenith)'!L:L,Check!B17,'Input_APM (Zenith)'!M:M,Check!$F$1))</f>
        <v>-315</v>
      </c>
      <c r="L17" s="22">
        <f>IF(B17="","",SUMIFS('Input_APM (Zenith)'!N:N,'Input_APM (Zenith)'!L:L,Check!B17,'Input_APM (Zenith)'!M:M,Check!$G$1))</f>
        <v>0</v>
      </c>
      <c r="M17" s="240">
        <f t="shared" si="4"/>
        <v>-4832</v>
      </c>
      <c r="O17" t="s">
        <v>301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P&amp;L'!$H$11:$H$84,'Master P&amp;L'!$B$11:$B$84,Check!O17)))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1755</v>
      </c>
      <c r="C18" s="233">
        <f>IF(B18="","",IF(LEN(B18)&gt;9,SUMIFS(Options!$H$3:$H$28,Options!$B$3:$B$28,Check!B18),SUMIFS('Master P&amp;L'!$H$11:$H$84,'Master P&amp;L'!$B$11:$B$84,Check!B18)))</f>
        <v>27451</v>
      </c>
      <c r="D18" s="233">
        <f>IF(B18="","",SUMIFS(Input_APM!N:N,Input_APM!L:L,Check!B18,Input_APM!M:M,Check!$F$1))</f>
        <v>26957</v>
      </c>
      <c r="E18" s="219">
        <f t="shared" si="5"/>
        <v>0</v>
      </c>
      <c r="F18" s="233">
        <f>IF(B18="","",SUMIFS(Input_APM!N:N,Input_APM!M:M,Check!$F$1,Input_APM!L:L,Check!B18))</f>
        <v>26957</v>
      </c>
      <c r="G18" s="233">
        <f>IF(B18="","",SUMIFS(Input_APM!N:N,Input_APM!M:M,Check!$G$1,Input_APM!L:L,Check!B18))</f>
        <v>0</v>
      </c>
      <c r="H18" s="217">
        <f t="shared" si="0"/>
        <v>26957</v>
      </c>
      <c r="I18" s="217">
        <f>SUMIFS(Input_APM!N:N,Input_APM!L:L,Check!B18)</f>
        <v>26957</v>
      </c>
      <c r="J18" s="219">
        <f t="shared" si="3"/>
        <v>0</v>
      </c>
      <c r="K18" s="22">
        <f>IF(B18="","",SUMIFS('Input_APM (Zenith)'!N:N,'Input_APM (Zenith)'!L:L,Check!B18,'Input_APM (Zenith)'!M:M,Check!$F$1))</f>
        <v>494</v>
      </c>
      <c r="L18" s="22">
        <f>IF(B18="","",SUMIFS('Input_APM (Zenith)'!N:N,'Input_APM (Zenith)'!L:L,Check!B18,'Input_APM (Zenith)'!M:M,Check!$G$1))</f>
        <v>0</v>
      </c>
      <c r="M18" s="240">
        <f t="shared" si="4"/>
        <v>27451</v>
      </c>
      <c r="O18" t="s">
        <v>302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P&amp;L'!$H$11:$H$84,'Master P&amp;L'!$B$11:$B$84,Check!O18)))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1762</v>
      </c>
      <c r="C19" s="233">
        <f>IF(B19="","",IF(LEN(B19)&gt;9,SUMIFS(Options!$H$3:$H$28,Options!$B$3:$B$28,Check!B19),SUMIFS('Master P&amp;L'!$H$11:$H$84,'Master P&amp;L'!$B$11:$B$84,Check!B19)))</f>
        <v>1500</v>
      </c>
      <c r="D19" s="233">
        <f>IF(B19="","",SUMIFS(Input_APM!N:N,Input_APM!L:L,Check!B19,Input_APM!M:M,Check!$F$1))</f>
        <v>0</v>
      </c>
      <c r="E19" s="219">
        <f t="shared" si="5"/>
        <v>1500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1916</v>
      </c>
      <c r="P19" s="217">
        <f>IF(O19="","",IF(OR(LEFT(O19,4)="Cash",LEFT(O19,4)="Prov"),0,SUMIFS(Input_APM!N:N,Input_APM!L:L,Check!O19)))</f>
        <v>4625000</v>
      </c>
      <c r="Q19" s="22">
        <f>IF(O19="","",IF(LEN(O19)&gt;9,SUMIFS(Options!$H$3:$H$28,Options!$B$3:$B$28,Check!O19),SUMIFS('Master P&amp;L'!$H$11:$H$84,'Master P&amp;L'!$B$11:$B$84,Check!O19)))</f>
        <v>0</v>
      </c>
      <c r="R19" s="217">
        <f t="shared" si="1"/>
        <v>4625000</v>
      </c>
      <c r="S19" s="362" t="str">
        <f t="shared" si="2"/>
        <v>Erro</v>
      </c>
      <c r="V19" s="13"/>
    </row>
    <row r="20" spans="2:22">
      <c r="B20" t="s">
        <v>2242</v>
      </c>
      <c r="C20" s="233">
        <f>IF(B20="","",IF(LEN(B20)&gt;9,SUMIFS(Options!$H$3:$H$28,Options!$B$3:$B$28,Check!B20),SUMIFS('Master P&amp;L'!$H$11:$H$84,'Master P&amp;L'!$B$11:$B$84,Check!B20)))</f>
        <v>12662</v>
      </c>
      <c r="D20" s="233">
        <f>IF(B20="","",SUMIFS(Input_APM!N:N,Input_APM!L:L,Check!B20,Input_APM!M:M,Check!$F$1))</f>
        <v>0</v>
      </c>
      <c r="E20" s="219">
        <f>IF(B20="","",C20-M20)</f>
        <v>12662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1776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IF(O20="","",IF(LEN(O20)&gt;9,SUMIFS(Options!$H$3:$H$28,Options!$B$3:$B$28,Check!O20),SUMIFS('Master P&amp;L'!$H$11:$H$84,'Master P&amp;L'!$B$11:$B$84,Check!O20)))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90</v>
      </c>
      <c r="C21" s="233">
        <f>IF(B21="","",IF(LEN(B21)&gt;9,SUMIFS(Options!$H$3:$H$28,Options!$B$3:$B$28,Check!B21),SUMIFS('Master P&amp;L'!$H$11:$H$84,'Master P&amp;L'!$B$11:$B$84,Check!B21)))</f>
        <v>4460</v>
      </c>
      <c r="D21" s="233">
        <f>IF(B21="","",SUMIFS(Input_APM!N:N,Input_APM!L:L,Check!B21,Input_APM!M:M,Check!$F$1))</f>
        <v>3180</v>
      </c>
      <c r="E21" s="217">
        <f t="shared" si="5"/>
        <v>1060</v>
      </c>
      <c r="F21" s="233">
        <f>IF(B21="","",SUMIFS(Input_APM!N:N,Input_APM!M:M,Check!$F$1,Input_APM!L:L,Check!B21))</f>
        <v>3180</v>
      </c>
      <c r="G21" s="233">
        <f>IF(B21="","",SUMIFS(Input_APM!N:N,Input_APM!M:M,Check!$G$1,Input_APM!L:L,Check!B21))</f>
        <v>0</v>
      </c>
      <c r="H21" s="217">
        <f t="shared" si="0"/>
        <v>3180</v>
      </c>
      <c r="I21" s="217">
        <f>SUMIFS(Input_APM!N:N,Input_APM!L:L,Check!B21)</f>
        <v>3180</v>
      </c>
      <c r="J21" s="219">
        <f t="shared" si="3"/>
        <v>0</v>
      </c>
      <c r="K21" s="22">
        <f>IF(B21="","",SUMIFS('Input_APM (Zenith)'!N:N,'Input_APM (Zenith)'!L:L,Check!B21,'Input_APM (Zenith)'!M:M,Check!$F$1))</f>
        <v>220</v>
      </c>
      <c r="L21" s="22">
        <f>IF(B21="","",SUMIFS('Input_APM (Zenith)'!N:N,'Input_APM (Zenith)'!L:L,Check!B21,'Input_APM (Zenith)'!M:M,Check!$G$1))</f>
        <v>0</v>
      </c>
      <c r="M21" s="240">
        <f t="shared" si="4"/>
        <v>3400</v>
      </c>
      <c r="O21" t="s">
        <v>1755</v>
      </c>
      <c r="P21" s="217">
        <f>IF(O21="","",IF(OR(LEFT(O21,4)="Cash",LEFT(O21,4)="Prov"),0,SUMIFS(Input_APM!N:N,Input_APM!L:L,Check!O21)))</f>
        <v>26957</v>
      </c>
      <c r="Q21" s="22">
        <f>IF(O21="","",IF(LEN(O21)&gt;9,SUMIFS(Options!$H$3:$H$28,Options!$B$3:$B$28,Check!O21),SUMIFS('Master P&amp;L'!$H$11:$H$84,'Master P&amp;L'!$B$11:$B$84,Check!O21)))</f>
        <v>27451</v>
      </c>
      <c r="R21" s="217">
        <f t="shared" si="1"/>
        <v>-494</v>
      </c>
      <c r="S21" s="362">
        <f t="shared" si="2"/>
        <v>0.98200429856835814</v>
      </c>
      <c r="V21" s="13"/>
    </row>
    <row r="22" spans="2:22">
      <c r="B22" t="s">
        <v>2113</v>
      </c>
      <c r="C22" s="233">
        <f>IF(B22="","",IF(LEN(B22)&gt;9,SUMIFS(Options!$H$3:$H$28,Options!$B$3:$B$28,Check!B22),SUMIFS('Master P&amp;L'!$H$11:$H$84,'Master P&amp;L'!$B$11:$B$84,Check!B22)))</f>
        <v>31500</v>
      </c>
      <c r="D22" s="233">
        <f>IF(B22="","",SUMIFS(Input_APM!N:N,Input_APM!L:L,Check!B22,Input_APM!M:M,Check!$F$1))</f>
        <v>29484</v>
      </c>
      <c r="E22" s="217">
        <f t="shared" si="5"/>
        <v>0</v>
      </c>
      <c r="F22" s="233">
        <f>IF(B22="","",SUMIFS(Input_APM!N:N,Input_APM!M:M,Check!$F$1,Input_APM!L:L,Check!B22))</f>
        <v>29484</v>
      </c>
      <c r="G22" s="233">
        <f>IF(B22="","",SUMIFS(Input_APM!N:N,Input_APM!M:M,Check!$G$1,Input_APM!L:L,Check!B22))</f>
        <v>0</v>
      </c>
      <c r="H22" s="217">
        <f t="shared" si="0"/>
        <v>29484</v>
      </c>
      <c r="I22" s="217">
        <f>SUMIFS(Input_APM!N:N,Input_APM!L:L,Check!B22)</f>
        <v>29484</v>
      </c>
      <c r="J22" s="219">
        <f t="shared" si="3"/>
        <v>0</v>
      </c>
      <c r="K22" s="22">
        <f>IF(B22="","",SUMIFS('Input_APM (Zenith)'!N:N,'Input_APM (Zenith)'!L:L,Check!B22,'Input_APM (Zenith)'!M:M,Check!$F$1))</f>
        <v>2016</v>
      </c>
      <c r="L22" s="22">
        <f>IF(B22="","",SUMIFS('Input_APM (Zenith)'!N:N,'Input_APM (Zenith)'!L:L,Check!B22,'Input_APM (Zenith)'!M:M,Check!$G$1))</f>
        <v>0</v>
      </c>
      <c r="M22" s="240">
        <f t="shared" si="4"/>
        <v>31500</v>
      </c>
      <c r="O22" t="s">
        <v>131</v>
      </c>
      <c r="P22" s="217">
        <f>IF(O22="","",IF(OR(LEFT(O22,4)="Cash",LEFT(O22,4)="Prov"),0,SUMIFS(Input_APM!N:N,Input_APM!L:L,Check!O22)))</f>
        <v>5393</v>
      </c>
      <c r="Q22" s="22">
        <f>IF(O22="","",IF(LEN(O22)&gt;9,SUMIFS(Options!$H$3:$H$28,Options!$B$3:$B$28,Check!O22),SUMIFS('Master P&amp;L'!$H$11:$H$84,'Master P&amp;L'!$B$11:$B$84,Check!O22)))</f>
        <v>0</v>
      </c>
      <c r="R22" s="217">
        <f t="shared" si="1"/>
        <v>5393</v>
      </c>
      <c r="S22" s="362" t="str">
        <f t="shared" si="2"/>
        <v>Erro</v>
      </c>
      <c r="V22" s="13"/>
    </row>
    <row r="23" spans="2:22">
      <c r="B23" t="s">
        <v>2116</v>
      </c>
      <c r="C23" s="233">
        <f>IF(B23="","",IF(LEN(B23)&gt;9,SUMIFS(Options!$H$3:$H$28,Options!$B$3:$B$28,Check!B23),SUMIFS('Master P&amp;L'!$H$11:$H$84,'Master P&amp;L'!$B$11:$B$84,Check!B23)))</f>
        <v>0</v>
      </c>
      <c r="D23" s="233">
        <f>IF(B23="","",SUMIFS(Input_APM!N:N,Input_APM!L:L,Check!B23,Input_APM!M:M,Check!$F$1))</f>
        <v>0</v>
      </c>
      <c r="E23" s="217">
        <f t="shared" si="5"/>
        <v>0</v>
      </c>
      <c r="F23" s="233">
        <f>IF(B23="","",SUMIFS(Input_APM!N:N,Input_APM!M:M,Check!$F$1,Input_APM!L:L,Check!B23))</f>
        <v>0</v>
      </c>
      <c r="G23" s="233">
        <f>IF(B23="","",SUMIFS(Input_APM!N:N,Input_APM!M:M,Check!$G$1,Input_APM!L:L,Check!B23))</f>
        <v>0</v>
      </c>
      <c r="H23" s="217">
        <f t="shared" si="0"/>
        <v>0</v>
      </c>
      <c r="I23" s="217">
        <f>SUMIFS(Input_APM!N:N,Input_APM!L:L,Check!B23)</f>
        <v>0</v>
      </c>
      <c r="J23" s="219">
        <f t="shared" si="3"/>
        <v>0</v>
      </c>
      <c r="K23" s="22">
        <f>IF(B23="","",SUMIFS('Input_APM (Zenith)'!N:N,'Input_APM (Zenith)'!L:L,Check!B23,'Input_APM (Zenith)'!M:M,Check!$F$1))</f>
        <v>0</v>
      </c>
      <c r="L23" s="22">
        <f>IF(B23="","",SUMIFS('Input_APM (Zenith)'!N:N,'Input_APM (Zenith)'!L:L,Check!B23,'Input_APM (Zenith)'!M:M,Check!$G$1))</f>
        <v>0</v>
      </c>
      <c r="M23" s="240">
        <f t="shared" si="4"/>
        <v>0</v>
      </c>
      <c r="O23" t="s">
        <v>1900</v>
      </c>
      <c r="P23" s="217">
        <f>IF(O23="","",IF(OR(LEFT(O23,4)="Cash",LEFT(O23,4)="Prov"),0,SUMIFS(Input_APM!N:N,Input_APM!L:L,Check!O23)))</f>
        <v>276451</v>
      </c>
      <c r="Q23" s="22">
        <f>IF(O23="","",IF(LEN(O23)&gt;9,SUMIFS(Options!$H$3:$H$28,Options!$B$3:$B$28,Check!O23),SUMIFS('Master P&amp;L'!$H$11:$H$84,'Master P&amp;L'!$B$11:$B$84,Check!O23)))</f>
        <v>0</v>
      </c>
      <c r="R23" s="217">
        <f t="shared" si="1"/>
        <v>276451</v>
      </c>
      <c r="S23" s="362" t="str">
        <f t="shared" si="2"/>
        <v>Erro</v>
      </c>
      <c r="V23" s="13"/>
    </row>
    <row r="24" spans="2:22">
      <c r="B24" t="s">
        <v>2181</v>
      </c>
      <c r="C24" s="233">
        <f>IF(B24="","",IF(LEN(B24)&gt;9,SUMIFS(Options!$H$3:$H$28,Options!$B$3:$B$28,Check!B24),SUMIFS('Master P&amp;L'!$H$11:$H$84,'Master P&amp;L'!$B$11:$B$84,Check!B24)))</f>
        <v>-50</v>
      </c>
      <c r="D24" s="233">
        <f>IF(B24="","",SUMIFS(Input_APM!N:N,Input_APM!L:L,Check!B24,Input_APM!M:M,Check!$F$1))</f>
        <v>-48</v>
      </c>
      <c r="E24" s="217">
        <f t="shared" si="5"/>
        <v>0</v>
      </c>
      <c r="F24" s="233">
        <f>IF(B24="","",SUMIFS(Input_APM!N:N,Input_APM!M:M,Check!$F$1,Input_APM!L:L,Check!B24))</f>
        <v>-48</v>
      </c>
      <c r="G24" s="233">
        <f>IF(B24="","",SUMIFS(Input_APM!N:N,Input_APM!M:M,Check!$G$1,Input_APM!L:L,Check!B24))</f>
        <v>0</v>
      </c>
      <c r="H24" s="217">
        <f t="shared" si="0"/>
        <v>-48</v>
      </c>
      <c r="I24" s="217">
        <f>SUMIFS(Input_APM!N:N,Input_APM!L:L,Check!B24)</f>
        <v>-48</v>
      </c>
      <c r="J24" s="219">
        <f t="shared" si="3"/>
        <v>0</v>
      </c>
      <c r="K24" s="22">
        <f>IF(B24="","",SUMIFS('Input_APM (Zenith)'!N:N,'Input_APM (Zenith)'!L:L,Check!B24,'Input_APM (Zenith)'!M:M,Check!$F$1))</f>
        <v>-2</v>
      </c>
      <c r="L24" s="22">
        <f>IF(B24="","",SUMIFS('Input_APM (Zenith)'!N:N,'Input_APM (Zenith)'!L:L,Check!B24,'Input_APM (Zenith)'!M:M,Check!$G$1))</f>
        <v>0</v>
      </c>
      <c r="M24" s="240">
        <f t="shared" si="4"/>
        <v>-50</v>
      </c>
      <c r="O24" t="s">
        <v>1901</v>
      </c>
      <c r="P24" s="217">
        <f>IF(O24="","",IF(OR(LEFT(O24,4)="Cash",LEFT(O24,4)="Prov"),0,SUMIFS(Input_APM!N:N,Input_APM!L:L,Check!O24)))</f>
        <v>-276451</v>
      </c>
      <c r="Q24" s="22">
        <f>IF(O24="","",IF(LEN(O24)&gt;9,SUMIFS(Options!$H$3:$H$28,Options!$B$3:$B$28,Check!O24),SUMIFS('Master P&amp;L'!$H$11:$H$84,'Master P&amp;L'!$B$11:$B$84,Check!O24)))</f>
        <v>0</v>
      </c>
      <c r="R24" s="217">
        <f t="shared" si="1"/>
        <v>-276451</v>
      </c>
      <c r="S24" s="362" t="str">
        <f t="shared" si="2"/>
        <v>Erro</v>
      </c>
      <c r="V24" s="13"/>
    </row>
    <row r="25" spans="2:22">
      <c r="B25" t="s">
        <v>2179</v>
      </c>
      <c r="C25" s="233">
        <f>IF(B25="","",IF(LEN(B25)&gt;9,SUMIFS(Options!$H$3:$H$28,Options!$B$3:$B$28,Check!B25),SUMIFS('Master P&amp;L'!$H$11:$H$84,'Master P&amp;L'!$B$11:$B$84,Check!B25)))</f>
        <v>50</v>
      </c>
      <c r="D25" s="233">
        <f>IF(B25="","",SUMIFS(Input_APM!N:N,Input_APM!L:L,Check!B25,Input_APM!M:M,Check!$F$1))</f>
        <v>48</v>
      </c>
      <c r="E25" s="217">
        <f t="shared" si="5"/>
        <v>0</v>
      </c>
      <c r="F25" s="233">
        <f>IF(B25="","",SUMIFS(Input_APM!N:N,Input_APM!M:M,Check!$F$1,Input_APM!L:L,Check!B25))</f>
        <v>48</v>
      </c>
      <c r="G25" s="233">
        <f>IF(B25="","",SUMIFS(Input_APM!N:N,Input_APM!M:M,Check!$G$1,Input_APM!L:L,Check!B25))</f>
        <v>0</v>
      </c>
      <c r="H25" s="217">
        <f t="shared" si="0"/>
        <v>48</v>
      </c>
      <c r="I25" s="217">
        <f>SUMIFS(Input_APM!N:N,Input_APM!L:L,Check!B25)</f>
        <v>48</v>
      </c>
      <c r="J25" s="219">
        <f t="shared" si="3"/>
        <v>0</v>
      </c>
      <c r="K25" s="22">
        <f>IF(B25="","",SUMIFS('Input_APM (Zenith)'!N:N,'Input_APM (Zenith)'!L:L,Check!B25,'Input_APM (Zenith)'!M:M,Check!$F$1))</f>
        <v>2</v>
      </c>
      <c r="L25" s="22">
        <f>IF(B25="","",SUMIFS('Input_APM (Zenith)'!N:N,'Input_APM (Zenith)'!L:L,Check!B25,'Input_APM (Zenith)'!M:M,Check!$G$1))</f>
        <v>0</v>
      </c>
      <c r="M25" s="240">
        <f t="shared" si="4"/>
        <v>50</v>
      </c>
      <c r="O25" t="s">
        <v>2114</v>
      </c>
      <c r="P25" s="217">
        <f>IF(O25="","",IF(OR(LEFT(O25,4)="Cash",LEFT(O25,4)="Prov"),0,SUMIFS(Input_APM!N:N,Input_APM!L:L,Check!O25)))</f>
        <v>124</v>
      </c>
      <c r="Q25" s="22">
        <f>IF(O25="","",IF(LEN(O25)&gt;9,SUMIFS(Options!$H$3:$H$28,Options!$B$3:$B$28,Check!O25),SUMIFS('Master P&amp;L'!$H$11:$H$84,'Master P&amp;L'!$B$11:$B$84,Check!O25)))</f>
        <v>788</v>
      </c>
      <c r="R25" s="217">
        <f t="shared" si="1"/>
        <v>-664</v>
      </c>
      <c r="S25" s="362">
        <f t="shared" si="2"/>
        <v>0.15736040609137056</v>
      </c>
      <c r="V25" s="13"/>
    </row>
    <row r="26" spans="2:22">
      <c r="B26" t="s">
        <v>2131</v>
      </c>
      <c r="C26" s="233">
        <f>IF(B26="","",IF(LEN(B26)&gt;9,SUMIFS(Options!$H$3:$H$28,Options!$B$3:$B$28,Check!B26),SUMIFS('Master P&amp;L'!$H$11:$H$84,'Master P&amp;L'!$B$11:$B$84,Check!B26)))</f>
        <v>90</v>
      </c>
      <c r="D26" s="233">
        <f>IF(B26="","",SUMIFS(Input_APM!N:N,Input_APM!L:L,Check!B26,Input_APM!M:M,Check!$F$1))</f>
        <v>84</v>
      </c>
      <c r="E26" s="219">
        <f>IF(B26="","",C26-M26)</f>
        <v>0</v>
      </c>
      <c r="F26" s="233">
        <f>IF(B26="","",SUMIFS(Input_APM!N:N,Input_APM!M:M,Check!$F$1,Input_APM!L:L,Check!B26))</f>
        <v>84</v>
      </c>
      <c r="G26" s="233">
        <f>IF(B26="","",SUMIFS(Input_APM!N:N,Input_APM!M:M,Check!$G$1,Input_APM!L:L,Check!B26))</f>
        <v>0</v>
      </c>
      <c r="H26" s="217">
        <f t="shared" si="0"/>
        <v>84</v>
      </c>
      <c r="I26" s="217">
        <f>SUMIFS(Input_APM!N:N,Input_APM!L:L,Check!B26)</f>
        <v>84</v>
      </c>
      <c r="J26" s="219">
        <f t="shared" si="3"/>
        <v>0</v>
      </c>
      <c r="K26" s="22">
        <f>IF(B26="","",SUMIFS('Input_APM (Zenith)'!N:N,'Input_APM (Zenith)'!L:L,Check!B26,'Input_APM (Zenith)'!M:M,Check!$F$1))</f>
        <v>6</v>
      </c>
      <c r="L26" s="22">
        <f>IF(B26="","",SUMIFS('Input_APM (Zenith)'!N:N,'Input_APM (Zenith)'!L:L,Check!B26,'Input_APM (Zenith)'!M:M,Check!$G$1))</f>
        <v>0</v>
      </c>
      <c r="M26" s="240">
        <f t="shared" si="4"/>
        <v>90</v>
      </c>
      <c r="O26" t="s">
        <v>2131</v>
      </c>
      <c r="P26" s="217">
        <f>IF(O26="","",IF(OR(LEFT(O26,4)="Cash",LEFT(O26,4)="Prov"),0,SUMIFS(Input_APM!N:N,Input_APM!L:L,Check!O26)))</f>
        <v>84</v>
      </c>
      <c r="Q26" s="22">
        <f>IF(O26="","",IF(LEN(O26)&gt;9,SUMIFS(Options!$H$3:$H$28,Options!$B$3:$B$28,Check!O26),SUMIFS('Master P&amp;L'!$H$11:$H$84,'Master P&amp;L'!$B$11:$B$84,Check!O26)))</f>
        <v>90</v>
      </c>
      <c r="R26" s="217">
        <f t="shared" si="1"/>
        <v>-6</v>
      </c>
      <c r="S26" s="362">
        <f t="shared" si="2"/>
        <v>0.93333333333333335</v>
      </c>
      <c r="V26" s="13"/>
    </row>
    <row r="27" spans="2:22">
      <c r="B27" t="s">
        <v>2132</v>
      </c>
      <c r="C27" s="233">
        <f>IF(B27="","",IF(LEN(B27)&gt;9,SUMIFS(Options!$H$3:$H$28,Options!$B$3:$B$28,Check!B27),SUMIFS('Master P&amp;L'!$H$11:$H$84,'Master P&amp;L'!$B$11:$B$84,Check!B27)))</f>
        <v>-45</v>
      </c>
      <c r="D27" s="233">
        <f>IF(B27="","",SUMIFS(Input_APM!N:N,Input_APM!L:L,Check!B27,Input_APM!M:M,Check!$F$1))</f>
        <v>-41</v>
      </c>
      <c r="E27" s="219">
        <f t="shared" si="5"/>
        <v>0</v>
      </c>
      <c r="F27" s="233">
        <f>IF(B27="","",SUMIFS(Input_APM!N:N,Input_APM!M:M,Check!$F$1,Input_APM!L:L,Check!B27))</f>
        <v>-41</v>
      </c>
      <c r="G27" s="233">
        <f>IF(B27="","",SUMIFS(Input_APM!N:N,Input_APM!M:M,Check!$G$1,Input_APM!L:L,Check!B27))</f>
        <v>0</v>
      </c>
      <c r="H27" s="217">
        <f t="shared" si="0"/>
        <v>-41</v>
      </c>
      <c r="I27" s="217">
        <f>SUMIFS(Input_APM!N:N,Input_APM!L:L,Check!B27)</f>
        <v>-41</v>
      </c>
      <c r="J27" s="219">
        <f t="shared" si="3"/>
        <v>0</v>
      </c>
      <c r="K27" s="22">
        <f>IF(B27="","",SUMIFS('Input_APM (Zenith)'!N:N,'Input_APM (Zenith)'!L:L,Check!B27,'Input_APM (Zenith)'!M:M,Check!$F$1))</f>
        <v>-4</v>
      </c>
      <c r="L27" s="22">
        <f>IF(B27="","",SUMIFS('Input_APM (Zenith)'!N:N,'Input_APM (Zenith)'!L:L,Check!B27,'Input_APM (Zenith)'!M:M,Check!$G$1))</f>
        <v>0</v>
      </c>
      <c r="M27" s="240">
        <f t="shared" si="4"/>
        <v>-45</v>
      </c>
      <c r="O27" t="s">
        <v>2132</v>
      </c>
      <c r="P27" s="217">
        <f>IF(O27="","",IF(OR(LEFT(O27,4)="Cash",LEFT(O27,4)="Prov"),0,SUMIFS(Input_APM!N:N,Input_APM!L:L,Check!O27)))</f>
        <v>-41</v>
      </c>
      <c r="Q27" s="22">
        <f>IF(O27="","",IF(LEN(O27)&gt;9,SUMIFS(Options!$H$3:$H$28,Options!$B$3:$B$28,Check!O27),SUMIFS('Master P&amp;L'!$H$11:$H$84,'Master P&amp;L'!$B$11:$B$84,Check!O27)))</f>
        <v>-45</v>
      </c>
      <c r="R27" s="217">
        <f t="shared" si="1"/>
        <v>4</v>
      </c>
      <c r="S27" s="362">
        <f t="shared" si="2"/>
        <v>0.91111111111111109</v>
      </c>
      <c r="V27" s="13"/>
    </row>
    <row r="28" spans="2:22">
      <c r="B28" t="s">
        <v>2124</v>
      </c>
      <c r="C28" s="233">
        <f>IF(B28="","",IF(LEN(B28)&gt;9,SUMIFS(Options!$H$3:$H$28,Options!$B$3:$B$28,Check!B28),SUMIFS('Master P&amp;L'!$H$11:$H$84,'Master P&amp;L'!$B$11:$B$84,Check!B28)))</f>
        <v>-20</v>
      </c>
      <c r="D28" s="233">
        <f>IF(B28="","",SUMIFS(Input_APM!N:N,Input_APM!L:L,Check!B28,Input_APM!M:M,Check!$F$1))</f>
        <v>-20</v>
      </c>
      <c r="E28" s="219">
        <f>IF(B28="","",C28-M28)</f>
        <v>0</v>
      </c>
      <c r="F28" s="233">
        <f>IF(B28="","",SUMIFS(Input_APM!N:N,Input_APM!M:M,Check!$F$1,Input_APM!L:L,Check!B28))</f>
        <v>-20</v>
      </c>
      <c r="G28" s="233">
        <f>IF(B28="","",SUMIFS(Input_APM!N:N,Input_APM!M:M,Check!$G$1,Input_APM!L:L,Check!B28))</f>
        <v>0</v>
      </c>
      <c r="H28" s="217">
        <f t="shared" si="0"/>
        <v>-20</v>
      </c>
      <c r="I28" s="217">
        <f>SUMIFS(Input_APM!N:N,Input_APM!L:L,Check!B28)</f>
        <v>-20</v>
      </c>
      <c r="J28" s="219">
        <f t="shared" si="3"/>
        <v>0</v>
      </c>
      <c r="K28" s="22">
        <f>IF(B28="","",SUMIFS('Input_APM (Zenith)'!N:N,'Input_APM (Zenith)'!L:L,Check!B28,'Input_APM (Zenith)'!M:M,Check!$F$1))</f>
        <v>0</v>
      </c>
      <c r="L28" s="22">
        <f>IF(B28="","",SUMIFS('Input_APM (Zenith)'!N:N,'Input_APM (Zenith)'!L:L,Check!B28,'Input_APM (Zenith)'!M:M,Check!$G$1))</f>
        <v>0</v>
      </c>
      <c r="M28" s="240">
        <f t="shared" si="4"/>
        <v>-20</v>
      </c>
      <c r="O28" t="s">
        <v>81</v>
      </c>
      <c r="P28" s="217">
        <f>IF(O28="","",IF(OR(LEFT(O28,4)="Cash",LEFT(O28,4)="Prov"),0,SUMIFS(Input_APM!N:N,Input_APM!L:L,Check!O28)))</f>
        <v>2339</v>
      </c>
      <c r="Q28" s="22">
        <f>IF(O28="","",IF(LEN(O28)&gt;9,SUMIFS(Options!$H$3:$H$28,Options!$B$3:$B$28,Check!O28),SUMIFS('Master P&amp;L'!$H$11:$H$84,'Master P&amp;L'!$B$11:$B$84,Check!O28)))</f>
        <v>2500</v>
      </c>
      <c r="R28" s="217">
        <f t="shared" si="1"/>
        <v>-161</v>
      </c>
      <c r="S28" s="362">
        <f t="shared" si="2"/>
        <v>0.93559999999999999</v>
      </c>
      <c r="V28" s="13"/>
    </row>
    <row r="29" spans="2:22">
      <c r="B29" t="s">
        <v>2125</v>
      </c>
      <c r="C29" s="233">
        <f>IF(B29="","",IF(LEN(B29)&gt;9,SUMIFS(Options!$H$3:$H$28,Options!$B$3:$B$28,Check!B29),SUMIFS('Master P&amp;L'!$H$11:$H$84,'Master P&amp;L'!$B$11:$B$84,Check!B29)))</f>
        <v>60</v>
      </c>
      <c r="D29" s="233">
        <f>IF(B29="","",SUMIFS(Input_APM!N:N,Input_APM!L:L,Check!B29,Input_APM!M:M,Check!$F$1))</f>
        <v>57</v>
      </c>
      <c r="E29" s="219">
        <f t="shared" si="5"/>
        <v>0</v>
      </c>
      <c r="F29" s="233">
        <f>IF(B29="","",SUMIFS(Input_APM!N:N,Input_APM!M:M,Check!$F$1,Input_APM!L:L,Check!B29))</f>
        <v>57</v>
      </c>
      <c r="G29" s="233">
        <f>IF(B29="","",SUMIFS(Input_APM!N:N,Input_APM!M:M,Check!$G$1,Input_APM!L:L,Check!B29))</f>
        <v>0</v>
      </c>
      <c r="H29" s="217">
        <f t="shared" si="0"/>
        <v>57</v>
      </c>
      <c r="I29" s="217">
        <f>SUMIFS(Input_APM!N:N,Input_APM!L:L,Check!B29)</f>
        <v>57</v>
      </c>
      <c r="J29" s="219">
        <f t="shared" si="3"/>
        <v>0</v>
      </c>
      <c r="K29" s="22">
        <f>IF(B29="","",SUMIFS('Input_APM (Zenith)'!N:N,'Input_APM (Zenith)'!L:L,Check!B29,'Input_APM (Zenith)'!M:M,Check!$F$1))</f>
        <v>3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60</v>
      </c>
      <c r="O29" t="s">
        <v>2125</v>
      </c>
      <c r="P29" s="217">
        <f>IF(O29="","",IF(OR(LEFT(O29,4)="Cash",LEFT(O29,4)="Prov"),0,SUMIFS(Input_APM!N:N,Input_APM!L:L,Check!O29)))</f>
        <v>57</v>
      </c>
      <c r="Q29" s="22">
        <f>IF(O29="","",IF(LEN(O29)&gt;9,SUMIFS(Options!$H$3:$H$28,Options!$B$3:$B$28,Check!O29),SUMIFS('Master P&amp;L'!$H$11:$H$84,'Master P&amp;L'!$B$11:$B$84,Check!O29)))</f>
        <v>60</v>
      </c>
      <c r="R29" s="217">
        <f t="shared" si="1"/>
        <v>-3</v>
      </c>
      <c r="S29" s="362">
        <f t="shared" si="2"/>
        <v>0.95</v>
      </c>
      <c r="V29" s="13"/>
    </row>
    <row r="30" spans="2:22">
      <c r="B30" t="s">
        <v>2183</v>
      </c>
      <c r="C30" s="233">
        <f>IF(B30="","",IF(LEN(B30)&gt;9,SUMIFS(Options!$H$3:$H$28,Options!$B$3:$B$28,Check!B30),SUMIFS('Master P&amp;L'!$H$11:$H$84,'Master P&amp;L'!$B$11:$B$84,Check!B30)))</f>
        <v>-20</v>
      </c>
      <c r="D30" s="233">
        <f>IF(B30="","",SUMIFS(Input_APM!N:N,Input_APM!L:L,Check!B30,Input_APM!M:M,Check!$F$1))</f>
        <v>-19</v>
      </c>
      <c r="E30" s="219">
        <f t="shared" si="5"/>
        <v>0</v>
      </c>
      <c r="F30" s="233">
        <f>IF(B30="","",SUMIFS(Input_APM!N:N,Input_APM!M:M,Check!$F$1,Input_APM!L:L,Check!B30))</f>
        <v>-19</v>
      </c>
      <c r="G30" s="233">
        <f>IF(B30="","",SUMIFS(Input_APM!N:N,Input_APM!M:M,Check!$G$1,Input_APM!L:L,Check!B30))</f>
        <v>0</v>
      </c>
      <c r="H30" s="217">
        <f t="shared" si="0"/>
        <v>-19</v>
      </c>
      <c r="I30" s="217">
        <f>SUMIFS(Input_APM!N:N,Input_APM!L:L,Check!B30)</f>
        <v>-19</v>
      </c>
      <c r="J30" s="219">
        <f t="shared" si="3"/>
        <v>0</v>
      </c>
      <c r="K30" s="22">
        <f>IF(B30="","",SUMIFS('Input_APM (Zenith)'!N:N,'Input_APM (Zenith)'!L:L,Check!B30,'Input_APM (Zenith)'!M:M,Check!$F$1))</f>
        <v>-1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-20</v>
      </c>
      <c r="O30" t="s">
        <v>2124</v>
      </c>
      <c r="P30" s="217">
        <f>IF(O30="","",IF(OR(LEFT(O30,4)="Cash",LEFT(O30,4)="Prov"),0,SUMIFS(Input_APM!N:N,Input_APM!L:L,Check!O30)))</f>
        <v>-20</v>
      </c>
      <c r="Q30" s="22">
        <f>IF(O30="","",IF(LEN(O30)&gt;9,SUMIFS(Options!$H$3:$H$28,Options!$B$3:$B$28,Check!O30),SUMIFS('Master P&amp;L'!$H$11:$H$84,'Master P&amp;L'!$B$11:$B$84,Check!O30)))</f>
        <v>-20</v>
      </c>
      <c r="R30" s="217">
        <f t="shared" si="1"/>
        <v>0</v>
      </c>
      <c r="S30" s="362">
        <f t="shared" si="2"/>
        <v>1</v>
      </c>
      <c r="V30" s="13"/>
    </row>
    <row r="31" spans="2:22">
      <c r="B31" t="s">
        <v>2184</v>
      </c>
      <c r="C31" s="233">
        <f>IF(B31="","",IF(LEN(B31)&gt;9,SUMIFS(Options!$H$3:$H$28,Options!$B$3:$B$28,Check!B31),SUMIFS('Master P&amp;L'!$H$11:$H$84,'Master P&amp;L'!$B$11:$B$84,Check!B31)))</f>
        <v>20</v>
      </c>
      <c r="D31" s="233">
        <f>IF(B31="","",SUMIFS(Input_APM!N:N,Input_APM!L:L,Check!B31,Input_APM!M:M,Check!$F$1))</f>
        <v>19</v>
      </c>
      <c r="E31" s="219">
        <f>IF(B31="","",C31-M31)</f>
        <v>0</v>
      </c>
      <c r="F31" s="233">
        <f>IF(B31="","",SUMIFS(Input_APM!N:N,Input_APM!M:M,Check!$F$1,Input_APM!L:L,Check!B31))</f>
        <v>19</v>
      </c>
      <c r="G31" s="233">
        <f>IF(B31="","",SUMIFS(Input_APM!N:N,Input_APM!M:M,Check!$G$1,Input_APM!L:L,Check!B31))</f>
        <v>0</v>
      </c>
      <c r="H31" s="217">
        <f t="shared" si="0"/>
        <v>19</v>
      </c>
      <c r="I31" s="217">
        <f>SUMIFS(Input_APM!N:N,Input_APM!L:L,Check!B31)</f>
        <v>19</v>
      </c>
      <c r="J31" s="219">
        <f t="shared" si="3"/>
        <v>0</v>
      </c>
      <c r="K31" s="22">
        <f>IF(B31="","",SUMIFS('Input_APM (Zenith)'!N:N,'Input_APM (Zenith)'!L:L,Check!B31,'Input_APM (Zenith)'!M:M,Check!$F$1))</f>
        <v>1</v>
      </c>
      <c r="L31" s="22">
        <f>IF(B31="","",SUMIFS('Input_APM (Zenith)'!N:N,'Input_APM (Zenith)'!L:L,Check!B31,'Input_APM (Zenith)'!M:M,Check!$G$1))</f>
        <v>0</v>
      </c>
      <c r="M31" s="240">
        <f t="shared" si="4"/>
        <v>20</v>
      </c>
      <c r="O31" t="s">
        <v>2184</v>
      </c>
      <c r="P31" s="217">
        <f>IF(O31="","",IF(OR(LEFT(O31,4)="Cash",LEFT(O31,4)="Prov"),0,SUMIFS(Input_APM!N:N,Input_APM!L:L,Check!O31)))</f>
        <v>19</v>
      </c>
      <c r="Q31" s="22">
        <f>IF(O31="","",IF(LEN(O31)&gt;9,SUMIFS(Options!$H$3:$H$28,Options!$B$3:$B$28,Check!O31),SUMIFS('Master P&amp;L'!$H$11:$H$84,'Master P&amp;L'!$B$11:$B$84,Check!O31)))</f>
        <v>20</v>
      </c>
      <c r="R31" s="217">
        <f t="shared" si="1"/>
        <v>-1</v>
      </c>
      <c r="S31" s="362">
        <f t="shared" si="2"/>
        <v>0.95</v>
      </c>
      <c r="V31" s="13"/>
    </row>
    <row r="32" spans="2:22">
      <c r="B32" t="s">
        <v>2108</v>
      </c>
      <c r="C32" s="233">
        <f>IF(B32="","",IF(LEN(B32)&gt;9,SUMIFS(Options!$H$3:$H$28,Options!$B$3:$B$28,Check!B32),SUMIFS('Master P&amp;L'!$H$11:$H$84,'Master P&amp;L'!$B$11:$B$84,Check!B32)))</f>
        <v>200</v>
      </c>
      <c r="D32" s="233">
        <f>IF(B32="","",SUMIFS(Input_APM!N:N,Input_APM!L:L,Check!B32,Input_APM!M:M,Check!$F$1))</f>
        <v>186</v>
      </c>
      <c r="E32" s="219">
        <f t="shared" si="5"/>
        <v>0</v>
      </c>
      <c r="F32" s="233">
        <f>IF(B32="","",SUMIFS(Input_APM!N:N,Input_APM!M:M,Check!$F$1,Input_APM!L:L,Check!B32))</f>
        <v>186</v>
      </c>
      <c r="G32" s="233">
        <f>IF(B32="","",SUMIFS(Input_APM!N:N,Input_APM!M:M,Check!$G$1,Input_APM!L:L,Check!B32))</f>
        <v>0</v>
      </c>
      <c r="H32" s="217">
        <f t="shared" si="0"/>
        <v>186</v>
      </c>
      <c r="I32" s="217">
        <f>SUMIFS(Input_APM!N:N,Input_APM!L:L,Check!B32)</f>
        <v>186</v>
      </c>
      <c r="J32" s="219">
        <f t="shared" si="3"/>
        <v>0</v>
      </c>
      <c r="K32" s="22">
        <f>IF(B32="","",SUMIFS('Input_APM (Zenith)'!N:N,'Input_APM (Zenith)'!L:L,Check!B32,'Input_APM (Zenith)'!M:M,Check!$F$1))</f>
        <v>14</v>
      </c>
      <c r="L32" s="22">
        <f>IF(B32="","",SUMIFS('Input_APM (Zenith)'!N:N,'Input_APM (Zenith)'!L:L,Check!B32,'Input_APM (Zenith)'!M:M,Check!$G$1))</f>
        <v>0</v>
      </c>
      <c r="M32" s="240">
        <f t="shared" si="4"/>
        <v>200</v>
      </c>
      <c r="O32" t="s">
        <v>2183</v>
      </c>
      <c r="P32" s="217">
        <f>IF(O32="","",IF(OR(LEFT(O32,4)="Cash",LEFT(O32,4)="Prov"),0,SUMIFS(Input_APM!N:N,Input_APM!L:L,Check!O32)))</f>
        <v>-19</v>
      </c>
      <c r="Q32" s="22">
        <f>IF(O32="","",IF(LEN(O32)&gt;9,SUMIFS(Options!$H$3:$H$28,Options!$B$3:$B$28,Check!O32),SUMIFS('Master P&amp;L'!$H$11:$H$84,'Master P&amp;L'!$B$11:$B$84,Check!O32)))</f>
        <v>-20</v>
      </c>
      <c r="R32" s="217">
        <f t="shared" si="1"/>
        <v>1</v>
      </c>
      <c r="S32" s="362">
        <f t="shared" si="2"/>
        <v>0.95</v>
      </c>
      <c r="V32" s="13"/>
    </row>
    <row r="33" spans="1:22">
      <c r="B33" t="s">
        <v>2162</v>
      </c>
      <c r="C33" s="233">
        <f>IF(B33="","",IF(LEN(B33)&gt;9,SUMIFS(Options!$H$3:$H$28,Options!$B$3:$B$28,Check!B33),SUMIFS('Master P&amp;L'!$H$11:$H$84,'Master P&amp;L'!$B$11:$B$84,Check!B33)))</f>
        <v>300</v>
      </c>
      <c r="D33" s="233">
        <f>IF(B33="","",SUMIFS(Input_APM!N:N,Input_APM!L:L,Check!B33,Input_APM!M:M,Check!$F$1))</f>
        <v>280</v>
      </c>
      <c r="E33" s="217">
        <f t="shared" si="5"/>
        <v>0</v>
      </c>
      <c r="F33" s="233">
        <f>IF(B33="","",SUMIFS(Input_APM!N:N,Input_APM!M:M,Check!$F$1,Input_APM!L:L,Check!B33))</f>
        <v>280</v>
      </c>
      <c r="G33" s="233">
        <f>IF(B33="","",SUMIFS(Input_APM!N:N,Input_APM!M:M,Check!$G$1,Input_APM!L:L,Check!B33))</f>
        <v>0</v>
      </c>
      <c r="H33" s="217">
        <f t="shared" si="0"/>
        <v>280</v>
      </c>
      <c r="I33" s="217">
        <f>SUMIFS(Input_APM!N:N,Input_APM!L:L,Check!B33)</f>
        <v>280</v>
      </c>
      <c r="J33" s="219">
        <f t="shared" si="3"/>
        <v>0</v>
      </c>
      <c r="K33" s="22">
        <f>IF(B33="","",SUMIFS('Input_APM (Zenith)'!N:N,'Input_APM (Zenith)'!L:L,Check!B33,'Input_APM (Zenith)'!M:M,Check!$F$1))</f>
        <v>20</v>
      </c>
      <c r="L33" s="22">
        <f>IF(B33="","",SUMIFS('Input_APM (Zenith)'!N:N,'Input_APM (Zenith)'!L:L,Check!B33,'Input_APM (Zenith)'!M:M,Check!$G$1))</f>
        <v>0</v>
      </c>
      <c r="M33" s="240">
        <f t="shared" si="4"/>
        <v>300</v>
      </c>
      <c r="O33" t="s">
        <v>138</v>
      </c>
      <c r="P33" s="217">
        <f>IF(O33="","",IF(OR(LEFT(O33,4)="Cash",LEFT(O33,4)="Prov"),0,SUMIFS(Input_APM!N:N,Input_APM!L:L,Check!O33)))</f>
        <v>-936</v>
      </c>
      <c r="Q33" s="22">
        <f>IF(O33="","",IF(LEN(O33)&gt;9,SUMIFS(Options!$H$3:$H$28,Options!$B$3:$B$28,Check!O33),SUMIFS('Master P&amp;L'!$H$11:$H$84,'Master P&amp;L'!$B$11:$B$84,Check!O33)))</f>
        <v>-1000</v>
      </c>
      <c r="R33" s="217">
        <f t="shared" si="1"/>
        <v>64</v>
      </c>
      <c r="S33" s="362">
        <f t="shared" si="2"/>
        <v>0.93600000000000005</v>
      </c>
      <c r="V33" s="13"/>
    </row>
    <row r="34" spans="1:22">
      <c r="B34" t="s">
        <v>2107</v>
      </c>
      <c r="C34" s="233">
        <f>IF(B34="","",IF(LEN(B34)&gt;9,SUMIFS(Options!$H$3:$H$28,Options!$B$3:$B$28,Check!B34),SUMIFS('Master P&amp;L'!$H$11:$H$84,'Master P&amp;L'!$B$11:$B$84,Check!B34)))</f>
        <v>-400</v>
      </c>
      <c r="D34" s="233">
        <f>IF(B34="","",SUMIFS(Input_APM!N:N,Input_APM!L:L,Check!B34,Input_APM!M:M,Check!$F$1))</f>
        <v>-374</v>
      </c>
      <c r="E34" s="217">
        <f t="shared" si="5"/>
        <v>0</v>
      </c>
      <c r="F34" s="233">
        <f>IF(B34="","",SUMIFS(Input_APM!N:N,Input_APM!M:M,Check!$F$1,Input_APM!L:L,Check!B34))</f>
        <v>-374</v>
      </c>
      <c r="G34" s="233">
        <f>IF(B34="","",SUMIFS(Input_APM!N:N,Input_APM!M:M,Check!$G$1,Input_APM!L:L,Check!B34))</f>
        <v>0</v>
      </c>
      <c r="H34" s="217">
        <f t="shared" si="0"/>
        <v>-374</v>
      </c>
      <c r="I34" s="217">
        <f>SUMIFS(Input_APM!N:N,Input_APM!L:L,Check!B34)</f>
        <v>-374</v>
      </c>
      <c r="J34" s="219">
        <f t="shared" si="3"/>
        <v>0</v>
      </c>
      <c r="K34" s="22">
        <f>IF(B34="","",SUMIFS('Input_APM (Zenith)'!N:N,'Input_APM (Zenith)'!L:L,Check!B34,'Input_APM (Zenith)'!M:M,Check!$F$1))</f>
        <v>-26</v>
      </c>
      <c r="L34" s="22">
        <f>IF(B34="","",SUMIFS('Input_APM (Zenith)'!N:N,'Input_APM (Zenith)'!L:L,Check!B34,'Input_APM (Zenith)'!M:M,Check!$G$1))</f>
        <v>0</v>
      </c>
      <c r="M34" s="240">
        <f t="shared" si="4"/>
        <v>-400</v>
      </c>
      <c r="O34" t="s">
        <v>2163</v>
      </c>
      <c r="P34" s="217">
        <f>IF(O34="","",IF(OR(LEFT(O34,4)="Cash",LEFT(O34,4)="Prov"),0,SUMIFS(Input_APM!N:N,Input_APM!L:L,Check!O34)))</f>
        <v>-94</v>
      </c>
      <c r="Q34" s="22">
        <f>IF(O34="","",IF(LEN(O34)&gt;9,SUMIFS(Options!$H$3:$H$28,Options!$B$3:$B$28,Check!O34),SUMIFS('Master P&amp;L'!$H$11:$H$84,'Master P&amp;L'!$B$11:$B$84,Check!O34)))</f>
        <v>-100</v>
      </c>
      <c r="R34" s="217">
        <f t="shared" si="1"/>
        <v>6</v>
      </c>
      <c r="S34" s="362">
        <f t="shared" si="2"/>
        <v>0.94</v>
      </c>
      <c r="V34" s="13"/>
    </row>
    <row r="35" spans="1:22">
      <c r="B35" t="s">
        <v>2163</v>
      </c>
      <c r="C35" s="233">
        <f>IF(B35="","",IF(LEN(B35)&gt;9,SUMIFS(Options!$H$3:$H$28,Options!$B$3:$B$28,Check!B35),SUMIFS('Master P&amp;L'!$H$11:$H$84,'Master P&amp;L'!$B$11:$B$84,Check!B35)))</f>
        <v>-100</v>
      </c>
      <c r="D35" s="233">
        <f>IF(B35="","",SUMIFS(Input_APM!N:N,Input_APM!L:L,Check!B35,Input_APM!M:M,Check!$F$1))</f>
        <v>-94</v>
      </c>
      <c r="E35" s="219">
        <f t="shared" si="5"/>
        <v>0</v>
      </c>
      <c r="F35" s="233">
        <f>IF(B35="","",SUMIFS(Input_APM!N:N,Input_APM!M:M,Check!$F$1,Input_APM!L:L,Check!B35))</f>
        <v>-94</v>
      </c>
      <c r="G35" s="233">
        <f>IF(B35="","",SUMIFS(Input_APM!N:N,Input_APM!M:M,Check!$G$1,Input_APM!L:L,Check!B35))</f>
        <v>0</v>
      </c>
      <c r="H35" s="217">
        <f t="shared" si="0"/>
        <v>-94</v>
      </c>
      <c r="I35" s="217">
        <f>SUMIFS(Input_APM!N:N,Input_APM!L:L,Check!B35)</f>
        <v>-94</v>
      </c>
      <c r="J35" s="219">
        <f t="shared" si="3"/>
        <v>0</v>
      </c>
      <c r="K35" s="22">
        <f>IF(B35="","",SUMIFS('Input_APM (Zenith)'!N:N,'Input_APM (Zenith)'!L:L,Check!B35,'Input_APM (Zenith)'!M:M,Check!$F$1))</f>
        <v>-6</v>
      </c>
      <c r="L35" s="22">
        <f>IF(B35="","",SUMIFS('Input_APM (Zenith)'!N:N,'Input_APM (Zenith)'!L:L,Check!B35,'Input_APM (Zenith)'!M:M,Check!$G$1))</f>
        <v>0</v>
      </c>
      <c r="M35" s="240">
        <f t="shared" si="4"/>
        <v>-100</v>
      </c>
      <c r="O35" t="s">
        <v>2107</v>
      </c>
      <c r="P35" s="217">
        <f>IF(O35="","",IF(OR(LEFT(O35,4)="Cash",LEFT(O35,4)="Prov"),0,SUMIFS(Input_APM!N:N,Input_APM!L:L,Check!O35)))</f>
        <v>-374</v>
      </c>
      <c r="Q35" s="22">
        <f>IF(O35="","",IF(LEN(O35)&gt;9,SUMIFS(Options!$H$3:$H$28,Options!$B$3:$B$28,Check!O35),SUMIFS('Master P&amp;L'!$H$11:$H$84,'Master P&amp;L'!$B$11:$B$84,Check!O35)))</f>
        <v>-400</v>
      </c>
      <c r="R35" s="217">
        <f t="shared" si="1"/>
        <v>26</v>
      </c>
      <c r="S35" s="362">
        <f t="shared" si="2"/>
        <v>0.93500000000000005</v>
      </c>
      <c r="V35" s="13"/>
    </row>
    <row r="36" spans="1:22">
      <c r="B36" t="s">
        <v>2096</v>
      </c>
      <c r="C36" s="233">
        <f>IF(B36="","",IF(LEN(B36)&gt;9,SUMIFS(Options!$H$3:$H$28,Options!$B$3:$B$28,Check!B36),SUMIFS('Master P&amp;L'!$H$11:$H$84,'Master P&amp;L'!$B$11:$B$84,Check!B36)))</f>
        <v>-125</v>
      </c>
      <c r="D36" s="233">
        <f>IF(B36="","",SUMIFS(Input_APM!N:N,Input_APM!L:L,Check!B36,Input_APM!M:M,Check!$F$1))</f>
        <v>-118</v>
      </c>
      <c r="E36" s="219">
        <f>IF(B36="","",C36-M36)</f>
        <v>0</v>
      </c>
      <c r="F36" s="233">
        <f>IF(B36="","",SUMIFS(Input_APM!N:N,Input_APM!M:M,Check!$F$1,Input_APM!L:L,Check!B36))</f>
        <v>-118</v>
      </c>
      <c r="G36" s="233">
        <f>IF(B36="","",SUMIFS(Input_APM!N:N,Input_APM!M:M,Check!$G$1,Input_APM!L:L,Check!B36))</f>
        <v>0</v>
      </c>
      <c r="H36" s="217">
        <f t="shared" si="0"/>
        <v>-118</v>
      </c>
      <c r="I36" s="217">
        <f>SUMIFS(Input_APM!N:N,Input_APM!L:L,Check!B36)</f>
        <v>-118</v>
      </c>
      <c r="J36" s="219">
        <f t="shared" si="3"/>
        <v>0</v>
      </c>
      <c r="K36" s="22">
        <f>IF(B36="","",SUMIFS('Input_APM (Zenith)'!N:N,'Input_APM (Zenith)'!L:L,Check!B36,'Input_APM (Zenith)'!M:M,Check!$F$1))</f>
        <v>-7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-125</v>
      </c>
      <c r="O36" t="s">
        <v>2162</v>
      </c>
      <c r="P36" s="217">
        <f>IF(O36="","",IF(OR(LEFT(O36,4)="Cash",LEFT(O36,4)="Prov"),0,SUMIFS(Input_APM!N:N,Input_APM!L:L,Check!O36)))</f>
        <v>280</v>
      </c>
      <c r="Q36" s="22">
        <f>IF(O36="","",IF(LEN(O36)&gt;9,SUMIFS(Options!$H$3:$H$28,Options!$B$3:$B$28,Check!O36),SUMIFS('Master P&amp;L'!$H$11:$H$84,'Master P&amp;L'!$B$11:$B$84,Check!O36)))</f>
        <v>300</v>
      </c>
      <c r="R36" s="217">
        <f t="shared" si="1"/>
        <v>-20</v>
      </c>
      <c r="S36" s="362">
        <f t="shared" si="2"/>
        <v>0.93333333333333335</v>
      </c>
      <c r="V36" s="13"/>
    </row>
    <row r="37" spans="1:22">
      <c r="B37" t="s">
        <v>2097</v>
      </c>
      <c r="C37" s="233">
        <f>IF(B37="","",IF(LEN(B37)&gt;9,SUMIFS(Options!$H$3:$H$28,Options!$B$3:$B$28,Check!B37),SUMIFS('Master P&amp;L'!$H$11:$H$84,'Master P&amp;L'!$B$11:$B$84,Check!B37)))</f>
        <v>125</v>
      </c>
      <c r="D37" s="233">
        <f>IF(B37="","",SUMIFS(Input_APM!N:N,Input_APM!L:L,Check!B37,Input_APM!M:M,Check!$F$1))</f>
        <v>118</v>
      </c>
      <c r="E37" s="219">
        <f>IF(B37="","",C37-M37)</f>
        <v>0</v>
      </c>
      <c r="F37" s="233">
        <f>IF(B37="","",SUMIFS(Input_APM!N:N,Input_APM!M:M,Check!$F$1,Input_APM!L:L,Check!B37))</f>
        <v>118</v>
      </c>
      <c r="G37" s="233">
        <f>IF(B37="","",SUMIFS(Input_APM!N:N,Input_APM!M:M,Check!$G$1,Input_APM!L:L,Check!B37))</f>
        <v>0</v>
      </c>
      <c r="H37" s="217">
        <f t="shared" si="0"/>
        <v>118</v>
      </c>
      <c r="I37" s="217">
        <f>SUMIFS(Input_APM!N:N,Input_APM!L:L,Check!B37)</f>
        <v>118</v>
      </c>
      <c r="J37" s="219">
        <f t="shared" si="3"/>
        <v>0</v>
      </c>
      <c r="K37" s="22">
        <f>IF(B37="","",SUMIFS('Input_APM (Zenith)'!N:N,'Input_APM (Zenith)'!L:L,Check!B37,'Input_APM (Zenith)'!M:M,Check!$F$1))</f>
        <v>7</v>
      </c>
      <c r="L37" s="22">
        <f>IF(B37="","",SUMIFS('Input_APM (Zenith)'!N:N,'Input_APM (Zenith)'!L:L,Check!B37,'Input_APM (Zenith)'!M:M,Check!$G$1))</f>
        <v>0</v>
      </c>
      <c r="M37" s="240">
        <f t="shared" si="4"/>
        <v>125</v>
      </c>
      <c r="O37" t="s">
        <v>2108</v>
      </c>
      <c r="P37" s="217">
        <f>IF(O37="","",IF(OR(LEFT(O37,4)="Cash",LEFT(O37,4)="Prov"),0,SUMIFS(Input_APM!N:N,Input_APM!L:L,Check!O37)))</f>
        <v>186</v>
      </c>
      <c r="Q37" s="22">
        <f>IF(O37="","",IF(LEN(O37)&gt;9,SUMIFS(Options!$H$3:$H$28,Options!$B$3:$B$28,Check!O37),SUMIFS('Master P&amp;L'!$H$11:$H$84,'Master P&amp;L'!$B$11:$B$84,Check!O37)))</f>
        <v>200</v>
      </c>
      <c r="R37" s="217">
        <f t="shared" si="1"/>
        <v>-14</v>
      </c>
      <c r="S37" s="362">
        <f t="shared" si="2"/>
        <v>0.93</v>
      </c>
      <c r="V37" s="13"/>
    </row>
    <row r="38" spans="1:22">
      <c r="B38" t="s">
        <v>2098</v>
      </c>
      <c r="C38" s="233">
        <f>IF(B38="","",IF(LEN(B38)&gt;9,SUMIFS(Options!$H$3:$H$28,Options!$B$3:$B$28,Check!B38),SUMIFS('Master P&amp;L'!$H$11:$H$84,'Master P&amp;L'!$B$11:$B$84,Check!B38)))</f>
        <v>-50</v>
      </c>
      <c r="D38" s="233">
        <f>IF(B38="","",SUMIFS(Input_APM!N:N,Input_APM!L:L,Check!B38,Input_APM!M:M,Check!$F$1))</f>
        <v>-46</v>
      </c>
      <c r="E38" s="217">
        <f t="shared" si="5"/>
        <v>0</v>
      </c>
      <c r="F38" s="233">
        <f>IF(B38="","",SUMIFS(Input_APM!N:N,Input_APM!M:M,Check!$F$1,Input_APM!L:L,Check!B38))</f>
        <v>-46</v>
      </c>
      <c r="G38" s="233">
        <f>IF(B38="","",SUMIFS(Input_APM!N:N,Input_APM!M:M,Check!$G$1,Input_APM!L:L,Check!B38))</f>
        <v>0</v>
      </c>
      <c r="H38" s="217">
        <f t="shared" si="0"/>
        <v>-46</v>
      </c>
      <c r="I38" s="217">
        <f>SUMIFS(Input_APM!N:N,Input_APM!L:L,Check!B38)</f>
        <v>-46</v>
      </c>
      <c r="J38" s="219">
        <f t="shared" si="3"/>
        <v>0</v>
      </c>
      <c r="K38" s="22">
        <f>IF(B38="","",SUMIFS('Input_APM (Zenith)'!N:N,'Input_APM (Zenith)'!L:L,Check!B38,'Input_APM (Zenith)'!M:M,Check!$F$1))</f>
        <v>-4</v>
      </c>
      <c r="L38" s="22">
        <f>IF(B38="","",SUMIFS('Input_APM (Zenith)'!N:N,'Input_APM (Zenith)'!L:L,Check!B38,'Input_APM (Zenith)'!M:M,Check!$G$1))</f>
        <v>0</v>
      </c>
      <c r="M38" s="240">
        <f t="shared" si="4"/>
        <v>-50</v>
      </c>
      <c r="O38" t="s">
        <v>90</v>
      </c>
      <c r="P38" s="217">
        <f>IF(O38="","",IF(OR(LEFT(O38,4)="Cash",LEFT(O38,4)="Prov"),0,SUMIFS(Input_APM!N:N,Input_APM!L:L,Check!O38)))</f>
        <v>3180</v>
      </c>
      <c r="Q38" s="22">
        <f>IF(O38="","",IF(LEN(O38)&gt;9,SUMIFS(Options!$H$3:$H$28,Options!$B$3:$B$28,Check!O38),SUMIFS('Master P&amp;L'!$H$11:$H$84,'Master P&amp;L'!$B$11:$B$84,Check!O38)))</f>
        <v>4460</v>
      </c>
      <c r="R38" s="217">
        <f t="shared" si="1"/>
        <v>-1280</v>
      </c>
      <c r="S38" s="362">
        <f t="shared" si="2"/>
        <v>0.71300448430493268</v>
      </c>
      <c r="V38" s="13"/>
    </row>
    <row r="39" spans="1:22">
      <c r="B39" t="s">
        <v>2154</v>
      </c>
      <c r="C39" s="233">
        <f>IF(B39="","",IF(LEN(B39)&gt;9,SUMIFS(Options!$H$3:$H$28,Options!$B$3:$B$28,Check!B39),SUMIFS('Master P&amp;L'!$H$11:$H$84,'Master P&amp;L'!$B$11:$B$84,Check!B39)))</f>
        <v>-170</v>
      </c>
      <c r="D39" s="233">
        <f>IF(B39="","",SUMIFS(Input_APM!N:N,Input_APM!L:L,Check!B39,Input_APM!M:M,Check!$F$1))</f>
        <v>-161</v>
      </c>
      <c r="E39" s="217">
        <f t="shared" si="5"/>
        <v>0</v>
      </c>
      <c r="F39" s="233">
        <f>IF(B39="","",SUMIFS(Input_APM!N:N,Input_APM!M:M,Check!$F$1,Input_APM!L:L,Check!B39))</f>
        <v>-161</v>
      </c>
      <c r="G39" s="233">
        <f>IF(B39="","",SUMIFS(Input_APM!N:N,Input_APM!M:M,Check!$G$1,Input_APM!L:L,Check!B39))</f>
        <v>0</v>
      </c>
      <c r="H39" s="217">
        <f t="shared" si="0"/>
        <v>-161</v>
      </c>
      <c r="I39" s="217">
        <f>SUMIFS(Input_APM!N:N,Input_APM!L:L,Check!B39)</f>
        <v>-161</v>
      </c>
      <c r="J39" s="219">
        <f t="shared" si="3"/>
        <v>0</v>
      </c>
      <c r="K39" s="22">
        <f>IF(B39="","",SUMIFS('Input_APM (Zenith)'!N:N,'Input_APM (Zenith)'!L:L,Check!B39,'Input_APM (Zenith)'!M:M,Check!$F$1))</f>
        <v>-9</v>
      </c>
      <c r="L39" s="22">
        <f>IF(B39="","",SUMIFS('Input_APM (Zenith)'!N:N,'Input_APM (Zenith)'!L:L,Check!B39,'Input_APM (Zenith)'!M:M,Check!$G$1))</f>
        <v>0</v>
      </c>
      <c r="M39" s="240">
        <f t="shared" si="4"/>
        <v>-170</v>
      </c>
      <c r="O39" t="s">
        <v>2097</v>
      </c>
      <c r="P39" s="217">
        <f>IF(O39="","",IF(OR(LEFT(O39,4)="Cash",LEFT(O39,4)="Prov"),0,SUMIFS(Input_APM!N:N,Input_APM!L:L,Check!O39)))</f>
        <v>118</v>
      </c>
      <c r="Q39" s="22">
        <f>IF(O39="","",IF(LEN(O39)&gt;9,SUMIFS(Options!$H$3:$H$28,Options!$B$3:$B$28,Check!O39),SUMIFS('Master P&amp;L'!$H$11:$H$84,'Master P&amp;L'!$B$11:$B$84,Check!O39)))</f>
        <v>125</v>
      </c>
      <c r="R39" s="217">
        <f t="shared" si="1"/>
        <v>-7</v>
      </c>
      <c r="S39" s="362">
        <f t="shared" si="2"/>
        <v>0.94399999999999995</v>
      </c>
      <c r="V39" s="13"/>
    </row>
    <row r="40" spans="1:22">
      <c r="B40" t="s">
        <v>2153</v>
      </c>
      <c r="C40" s="233">
        <f>IF(B40="","",IF(LEN(B40)&gt;9,SUMIFS(Options!$H$3:$H$28,Options!$B$3:$B$28,Check!B40),SUMIFS('Master P&amp;L'!$H$11:$H$84,'Master P&amp;L'!$B$11:$B$84,Check!B40)))</f>
        <v>170</v>
      </c>
      <c r="D40" s="233">
        <f>IF(B40="","",SUMIFS(Input_APM!N:N,Input_APM!L:L,Check!B40,Input_APM!M:M,Check!$F$1))</f>
        <v>159</v>
      </c>
      <c r="E40" s="219">
        <f t="shared" si="5"/>
        <v>0</v>
      </c>
      <c r="F40" s="233">
        <f>IF(B40="","",SUMIFS(Input_APM!N:N,Input_APM!M:M,Check!$F$1,Input_APM!L:L,Check!B40))</f>
        <v>159</v>
      </c>
      <c r="G40" s="233">
        <f>IF(B40="","",SUMIFS(Input_APM!N:N,Input_APM!M:M,Check!$G$1,Input_APM!L:L,Check!B40))</f>
        <v>0</v>
      </c>
      <c r="H40" s="217">
        <f t="shared" si="0"/>
        <v>159</v>
      </c>
      <c r="I40" s="217">
        <f>SUMIFS(Input_APM!N:N,Input_APM!L:L,Check!B40)</f>
        <v>159</v>
      </c>
      <c r="J40" s="219">
        <f t="shared" si="3"/>
        <v>0</v>
      </c>
      <c r="K40" s="22">
        <f>IF(B40="","",SUMIFS('Input_APM (Zenith)'!N:N,'Input_APM (Zenith)'!L:L,Check!B40,'Input_APM (Zenith)'!M:M,Check!$F$1))</f>
        <v>11</v>
      </c>
      <c r="L40" s="22">
        <f>IF(B40="","",SUMIFS('Input_APM (Zenith)'!N:N,'Input_APM (Zenith)'!L:L,Check!B40,'Input_APM (Zenith)'!M:M,Check!$G$1))</f>
        <v>0</v>
      </c>
      <c r="M40" s="240">
        <f t="shared" si="4"/>
        <v>170</v>
      </c>
      <c r="O40" t="s">
        <v>2096</v>
      </c>
      <c r="P40" s="217">
        <f>IF(O40="","",IF(OR(LEFT(O40,4)="Cash",LEFT(O40,4)="Prov"),0,SUMIFS(Input_APM!N:N,Input_APM!L:L,Check!O40)))</f>
        <v>-118</v>
      </c>
      <c r="Q40" s="22">
        <f>IF(O40="","",IF(LEN(O40)&gt;9,SUMIFS(Options!$H$3:$H$28,Options!$B$3:$B$28,Check!O40),SUMIFS('Master P&amp;L'!$H$11:$H$84,'Master P&amp;L'!$B$11:$B$84,Check!O40)))</f>
        <v>-125</v>
      </c>
      <c r="R40" s="217">
        <f t="shared" si="1"/>
        <v>7</v>
      </c>
      <c r="S40" s="362">
        <f t="shared" si="2"/>
        <v>0.94399999999999995</v>
      </c>
      <c r="V40" s="13"/>
    </row>
    <row r="41" spans="1:22">
      <c r="B41" t="s">
        <v>2155</v>
      </c>
      <c r="C41" s="233">
        <f>IF(B41="","",IF(LEN(B41)&gt;9,SUMIFS(Options!$H$3:$H$28,Options!$B$3:$B$28,Check!B41),SUMIFS('Master P&amp;L'!$H$11:$H$84,'Master P&amp;L'!$B$11:$B$84,Check!B41)))</f>
        <v>-255</v>
      </c>
      <c r="D41" s="233">
        <f>IF(B41="","",SUMIFS(Input_APM!N:N,Input_APM!L:L,Check!B41,Input_APM!M:M,Check!$F$1))</f>
        <v>-239</v>
      </c>
      <c r="E41" s="217">
        <f t="shared" si="5"/>
        <v>0</v>
      </c>
      <c r="F41" s="233">
        <f>IF(B41="","",SUMIFS(Input_APM!N:N,Input_APM!M:M,Check!$F$1,Input_APM!L:L,Check!B41))</f>
        <v>-239</v>
      </c>
      <c r="G41" s="233">
        <f>IF(B41="","",SUMIFS(Input_APM!N:N,Input_APM!M:M,Check!$G$1,Input_APM!L:L,Check!B41))</f>
        <v>0</v>
      </c>
      <c r="H41" s="217">
        <f t="shared" si="0"/>
        <v>-239</v>
      </c>
      <c r="I41" s="217">
        <f>SUMIFS(Input_APM!N:N,Input_APM!L:L,Check!B41)</f>
        <v>-239</v>
      </c>
      <c r="J41" s="219">
        <f t="shared" si="3"/>
        <v>0</v>
      </c>
      <c r="K41" s="22">
        <f>IF(B41="","",SUMIFS('Input_APM (Zenith)'!N:N,'Input_APM (Zenith)'!L:L,Check!B41,'Input_APM (Zenith)'!M:M,Check!$F$1))</f>
        <v>-16</v>
      </c>
      <c r="L41" s="22">
        <f>IF(B41="","",SUMIFS('Input_APM (Zenith)'!N:N,'Input_APM (Zenith)'!L:L,Check!B41,'Input_APM (Zenith)'!M:M,Check!$G$1))</f>
        <v>0</v>
      </c>
      <c r="M41" s="240">
        <f t="shared" si="4"/>
        <v>-255</v>
      </c>
      <c r="O41" t="s">
        <v>2098</v>
      </c>
      <c r="P41" s="217">
        <f>IF(O41="","",IF(OR(LEFT(O41,4)="Cash",LEFT(O41,4)="Prov"),0,SUMIFS(Input_APM!N:N,Input_APM!L:L,Check!O41)))</f>
        <v>-46</v>
      </c>
      <c r="Q41" s="22">
        <f>IF(O41="","",IF(LEN(O41)&gt;9,SUMIFS(Options!$H$3:$H$28,Options!$B$3:$B$28,Check!O41),SUMIFS('Master P&amp;L'!$H$11:$H$84,'Master P&amp;L'!$B$11:$B$84,Check!O41)))</f>
        <v>-50</v>
      </c>
      <c r="R41" s="217">
        <f t="shared" si="1"/>
        <v>4</v>
      </c>
      <c r="S41" s="362">
        <f t="shared" si="2"/>
        <v>0.92</v>
      </c>
      <c r="V41" s="13"/>
    </row>
    <row r="42" spans="1:22">
      <c r="B42" t="s">
        <v>2219</v>
      </c>
      <c r="C42" s="233">
        <f>IF(B42="","",IF(LEN(B42)&gt;9,SUMIFS(Options!$H$3:$H$28,Options!$B$3:$B$28,Check!B42),SUMIFS('Master P&amp;L'!$H$11:$H$84,'Master P&amp;L'!$B$11:$B$84,Check!B42)))</f>
        <v>250</v>
      </c>
      <c r="D42" s="233">
        <f>IF(B42="","",SUMIFS(Input_APM!N:N,Input_APM!L:L,Check!B42,Input_APM!M:M,Check!$F$1))</f>
        <v>234</v>
      </c>
      <c r="E42" s="219">
        <f t="shared" si="5"/>
        <v>0</v>
      </c>
      <c r="F42" s="233">
        <f>IF(B42="","",SUMIFS(Input_APM!N:N,Input_APM!M:M,Check!$F$1,Input_APM!L:L,Check!B42))</f>
        <v>234</v>
      </c>
      <c r="G42" s="233">
        <f>IF(B42="","",SUMIFS(Input_APM!N:N,Input_APM!M:M,Check!$G$1,Input_APM!L:L,Check!B42))</f>
        <v>0</v>
      </c>
      <c r="H42" s="217">
        <f t="shared" si="0"/>
        <v>234</v>
      </c>
      <c r="I42" s="217">
        <f>SUMIFS(Input_APM!N:N,Input_APM!L:L,Check!B42)</f>
        <v>234</v>
      </c>
      <c r="J42" s="219">
        <f t="shared" si="3"/>
        <v>0</v>
      </c>
      <c r="K42" s="22">
        <f>IF(B42="","",SUMIFS('Input_APM (Zenith)'!N:N,'Input_APM (Zenith)'!L:L,Check!B42,'Input_APM (Zenith)'!M:M,Check!$F$1))</f>
        <v>16</v>
      </c>
      <c r="L42" s="22">
        <f>IF(B42="","",SUMIFS('Input_APM (Zenith)'!N:N,'Input_APM (Zenith)'!L:L,Check!B42,'Input_APM (Zenith)'!M:M,Check!$G$1))</f>
        <v>0</v>
      </c>
      <c r="M42" s="240">
        <f t="shared" si="4"/>
        <v>250</v>
      </c>
      <c r="O42" t="s">
        <v>2232</v>
      </c>
      <c r="P42" s="217">
        <f>IF(O42="","",IF(OR(LEFT(O42,4)="Cash",LEFT(O42,4)="Prov"),0,SUMIFS(Input_APM!N:N,Input_APM!L:L,Check!O42)))</f>
        <v>-0.01</v>
      </c>
      <c r="Q42" s="22">
        <f>IF(O42="","",IF(LEN(O42)&gt;9,SUMIFS(Options!$H$3:$H$28,Options!$B$3:$B$28,Check!O42),SUMIFS('Master P&amp;L'!$H$11:$H$84,'Master P&amp;L'!$B$11:$B$84,Check!O42)))</f>
        <v>0</v>
      </c>
      <c r="R42" s="217">
        <f t="shared" si="1"/>
        <v>-0.01</v>
      </c>
      <c r="S42" s="362" t="str">
        <f t="shared" si="2"/>
        <v>Erro</v>
      </c>
      <c r="V42" s="13"/>
    </row>
    <row r="43" spans="1:22">
      <c r="A43" t="s">
        <v>1771</v>
      </c>
      <c r="B43" t="s">
        <v>2206</v>
      </c>
      <c r="C43" s="233">
        <f>IF(B43="","",IF(LEN(B43)&gt;9,SUMIFS(Options!$H$3:$H$28,Options!$B$3:$B$28,Check!B43),SUMIFS('Master P&amp;L'!$H$11:$H$84,'Master P&amp;L'!$B$11:$B$84,Check!B43)))</f>
        <v>65</v>
      </c>
      <c r="D43" s="233">
        <f>IF(B43="","",SUMIFS(Input_APM!N:N,Input_APM!L:L,Check!B43,Input_APM!M:M,Check!$F$1))</f>
        <v>61</v>
      </c>
      <c r="E43" s="217">
        <f t="shared" si="5"/>
        <v>0</v>
      </c>
      <c r="F43" s="233">
        <f>IF(B43="","",SUMIFS(Input_APM!N:N,Input_APM!M:M,Check!$F$1,Input_APM!L:L,Check!B43))</f>
        <v>61</v>
      </c>
      <c r="G43" s="233">
        <f>IF(B43="","",SUMIFS(Input_APM!N:N,Input_APM!M:M,Check!$G$1,Input_APM!L:L,Check!B43))</f>
        <v>0</v>
      </c>
      <c r="H43" s="217">
        <f t="shared" si="0"/>
        <v>61</v>
      </c>
      <c r="I43" s="217">
        <f>SUMIFS(Input_APM!N:N,Input_APM!L:L,Check!B43)</f>
        <v>61</v>
      </c>
      <c r="J43" s="219">
        <f t="shared" si="3"/>
        <v>0</v>
      </c>
      <c r="K43" s="22">
        <f>IF(B43="","",SUMIFS('Input_APM (Zenith)'!N:N,'Input_APM (Zenith)'!L:L,Check!B43,'Input_APM (Zenith)'!M:M,Check!$F$1))</f>
        <v>4</v>
      </c>
      <c r="L43" s="22">
        <f>IF(B43="","",SUMIFS('Input_APM (Zenith)'!N:N,'Input_APM (Zenith)'!L:L,Check!B43,'Input_APM (Zenith)'!M:M,Check!$G$1))</f>
        <v>0</v>
      </c>
      <c r="M43" s="217">
        <f t="shared" si="4"/>
        <v>65</v>
      </c>
      <c r="O43" t="s">
        <v>2154</v>
      </c>
      <c r="P43" s="217">
        <f>IF(O43="","",IF(OR(LEFT(O43,4)="Cash",LEFT(O43,4)="Prov"),0,SUMIFS(Input_APM!N:N,Input_APM!L:L,Check!O43)))</f>
        <v>-161</v>
      </c>
      <c r="Q43" s="22">
        <f>IF(O43="","",IF(LEN(O43)&gt;9,SUMIFS(Options!$H$3:$H$28,Options!$B$3:$B$28,Check!O43),SUMIFS('Master P&amp;L'!$H$11:$H$84,'Master P&amp;L'!$B$11:$B$84,Check!O43)))</f>
        <v>-170</v>
      </c>
      <c r="R43" s="217">
        <f t="shared" si="1"/>
        <v>9</v>
      </c>
      <c r="S43" s="362">
        <f t="shared" si="2"/>
        <v>0.94705882352941173</v>
      </c>
      <c r="V43" s="13"/>
    </row>
    <row r="44" spans="1:22">
      <c r="B44" t="s">
        <v>2065</v>
      </c>
      <c r="C44" s="233">
        <f>IF(B44="","",IF(LEN(B44)&gt;9,SUMIFS(Options!$H$3:$H$28,Options!$B$3:$B$28,Check!B44),SUMIFS('Master P&amp;L'!$H$11:$H$84,'Master P&amp;L'!$B$11:$B$84,Check!B44)))</f>
        <v>50</v>
      </c>
      <c r="D44" s="233">
        <f>IF(B44="","",SUMIFS(Input_APM!N:N,Input_APM!L:L,Check!B44,Input_APM!M:M,Check!$F$1))</f>
        <v>47</v>
      </c>
      <c r="E44" s="217">
        <f>IF(B44="","",C44-M44)</f>
        <v>0</v>
      </c>
      <c r="F44" s="233">
        <f>IF(B44="","",SUMIFS(Input_APM!N:N,Input_APM!M:M,Check!$F$1,Input_APM!L:L,Check!B44))</f>
        <v>47</v>
      </c>
      <c r="G44" s="233">
        <f>IF(B44="","",SUMIFS(Input_APM!N:N,Input_APM!M:M,Check!$G$1,Input_APM!L:L,Check!B44))</f>
        <v>0</v>
      </c>
      <c r="H44" s="217">
        <f t="shared" si="0"/>
        <v>47</v>
      </c>
      <c r="I44" s="217">
        <f>SUMIFS(Input_APM!N:N,Input_APM!L:L,Check!B44)</f>
        <v>47</v>
      </c>
      <c r="J44" s="219">
        <f t="shared" si="3"/>
        <v>0</v>
      </c>
      <c r="K44" s="22">
        <f>IF(B44="","",SUMIFS('Input_APM (Zenith)'!N:N,'Input_APM (Zenith)'!L:L,Check!B44,'Input_APM (Zenith)'!M:M,Check!$F$1))</f>
        <v>3</v>
      </c>
      <c r="L44" s="22">
        <f>IF(B44="","",SUMIFS('Input_APM (Zenith)'!N:N,'Input_APM (Zenith)'!L:L,Check!B44,'Input_APM (Zenith)'!M:M,Check!$G$1))</f>
        <v>0</v>
      </c>
      <c r="M44" s="217">
        <f t="shared" si="4"/>
        <v>50</v>
      </c>
      <c r="O44" t="s">
        <v>2155</v>
      </c>
      <c r="P44" s="217">
        <f>IF(O44="","",IF(OR(LEFT(O44,4)="Cash",LEFT(O44,4)="Prov"),0,SUMIFS(Input_APM!N:N,Input_APM!L:L,Check!O44)))</f>
        <v>-239</v>
      </c>
      <c r="Q44" s="22">
        <f>IF(O44="","",IF(LEN(O44)&gt;9,SUMIFS(Options!$H$3:$H$28,Options!$B$3:$B$28,Check!O44),SUMIFS('Master P&amp;L'!$H$11:$H$84,'Master P&amp;L'!$B$11:$B$84,Check!O44)))</f>
        <v>-255</v>
      </c>
      <c r="R44" s="217">
        <f t="shared" si="1"/>
        <v>16</v>
      </c>
      <c r="S44" s="362">
        <f t="shared" si="2"/>
        <v>0.93725490196078431</v>
      </c>
      <c r="V44" s="13"/>
    </row>
    <row r="45" spans="1:22">
      <c r="B45" t="s">
        <v>2164</v>
      </c>
      <c r="C45" s="233">
        <f>IF(B45="","",IF(LEN(B45)&gt;9,SUMIFS(Options!$H$3:$H$28,Options!$B$3:$B$28,Check!B45),SUMIFS('Master P&amp;L'!$H$11:$H$84,'Master P&amp;L'!$B$11:$B$84,Check!B45)))</f>
        <v>425</v>
      </c>
      <c r="D45" s="233">
        <f>IF(B45="","",SUMIFS(Input_APM!N:N,Input_APM!L:L,Check!B45,Input_APM!M:M,Check!$F$1))</f>
        <v>397</v>
      </c>
      <c r="E45" s="217">
        <f t="shared" si="5"/>
        <v>0</v>
      </c>
      <c r="F45" s="233">
        <f>IF(B45="","",SUMIFS(Input_APM!N:N,Input_APM!M:M,Check!$F$1,Input_APM!L:L,Check!B45))</f>
        <v>397</v>
      </c>
      <c r="G45" s="233">
        <f>IF(B45="","",SUMIFS(Input_APM!N:N,Input_APM!M:M,Check!$G$1,Input_APM!L:L,Check!B45))</f>
        <v>0</v>
      </c>
      <c r="H45" s="217">
        <f t="shared" si="0"/>
        <v>397</v>
      </c>
      <c r="I45" s="217">
        <f>SUMIFS(Input_APM!N:N,Input_APM!L:L,Check!B45)</f>
        <v>397</v>
      </c>
      <c r="J45" s="219">
        <f t="shared" si="3"/>
        <v>0</v>
      </c>
      <c r="K45" s="22">
        <f>IF(B45="","",SUMIFS('Input_APM (Zenith)'!N:N,'Input_APM (Zenith)'!L:L,Check!B45,'Input_APM (Zenith)'!M:M,Check!$F$1))</f>
        <v>28</v>
      </c>
      <c r="L45" s="22">
        <f>IF(B45="","",SUMIFS('Input_APM (Zenith)'!N:N,'Input_APM (Zenith)'!L:L,Check!B45,'Input_APM (Zenith)'!M:M,Check!$G$1))</f>
        <v>0</v>
      </c>
      <c r="M45" s="217">
        <f t="shared" si="4"/>
        <v>425</v>
      </c>
      <c r="O45" t="s">
        <v>2153</v>
      </c>
      <c r="P45" s="217">
        <f>IF(O45="","",IF(OR(LEFT(O45,4)="Cash",LEFT(O45,4)="Prov"),0,SUMIFS(Input_APM!N:N,Input_APM!L:L,Check!O45)))</f>
        <v>159</v>
      </c>
      <c r="Q45" s="22">
        <f>IF(O45="","",IF(LEN(O45)&gt;9,SUMIFS(Options!$H$3:$H$28,Options!$B$3:$B$28,Check!O45),SUMIFS('Master P&amp;L'!$H$11:$H$84,'Master P&amp;L'!$B$11:$B$84,Check!O45)))</f>
        <v>170</v>
      </c>
      <c r="R45" s="217">
        <f t="shared" si="1"/>
        <v>-11</v>
      </c>
      <c r="S45" s="362">
        <f t="shared" si="2"/>
        <v>0.93529411764705883</v>
      </c>
      <c r="V45" s="13"/>
    </row>
    <row r="46" spans="1:22">
      <c r="B46" t="s">
        <v>2165</v>
      </c>
      <c r="C46" s="233">
        <f>IF(B46="","",IF(LEN(B46)&gt;9,SUMIFS(Options!$H$3:$H$28,Options!$B$3:$B$28,Check!B46),SUMIFS('Master P&amp;L'!$H$11:$H$84,'Master P&amp;L'!$B$11:$B$84,Check!B46)))</f>
        <v>-375</v>
      </c>
      <c r="D46" s="233">
        <f>IF(B46="","",SUMIFS(Input_APM!N:N,Input_APM!L:L,Check!B46,Input_APM!M:M,Check!$F$1))</f>
        <v>-351</v>
      </c>
      <c r="E46" s="219">
        <f t="shared" si="5"/>
        <v>0</v>
      </c>
      <c r="F46" s="233">
        <f>IF(B46="","",SUMIFS(Input_APM!N:N,Input_APM!M:M,Check!$F$1,Input_APM!L:L,Check!B46))</f>
        <v>-351</v>
      </c>
      <c r="G46" s="233">
        <f>IF(B46="","",SUMIFS(Input_APM!N:N,Input_APM!M:M,Check!$G$1,Input_APM!L:L,Check!B46))</f>
        <v>0</v>
      </c>
      <c r="H46" s="217">
        <f t="shared" si="0"/>
        <v>-351</v>
      </c>
      <c r="I46" s="217">
        <f>SUMIFS(Input_APM!N:N,Input_APM!L:L,Check!B46)</f>
        <v>-351</v>
      </c>
      <c r="J46" s="219">
        <f t="shared" si="3"/>
        <v>0</v>
      </c>
      <c r="K46" s="22">
        <f>IF(B46="","",SUMIFS('Input_APM (Zenith)'!N:N,'Input_APM (Zenith)'!L:L,Check!B46,'Input_APM (Zenith)'!M:M,Check!$F$1))</f>
        <v>-24</v>
      </c>
      <c r="L46" s="22">
        <f>IF(B46="","",SUMIFS('Input_APM (Zenith)'!N:N,'Input_APM (Zenith)'!L:L,Check!B46,'Input_APM (Zenith)'!M:M,Check!$G$1))</f>
        <v>0</v>
      </c>
      <c r="M46" s="217">
        <f t="shared" si="4"/>
        <v>-375</v>
      </c>
      <c r="O46" t="s">
        <v>94</v>
      </c>
      <c r="P46" s="217">
        <f>IF(O46="","",IF(OR(LEFT(O46,4)="Cash",LEFT(O46,4)="Prov"),0,SUMIFS(Input_APM!N:N,Input_APM!L:L,Check!O46)))</f>
        <v>20613</v>
      </c>
      <c r="Q46" s="22">
        <f>IF(O46="","",IF(LEN(O46)&gt;9,SUMIFS(Options!$H$3:$H$28,Options!$B$3:$B$28,Check!O46),SUMIFS('Master P&amp;L'!$H$11:$H$84,'Master P&amp;L'!$B$11:$B$84,Check!O46)))</f>
        <v>25160</v>
      </c>
      <c r="R46" s="217">
        <f t="shared" si="1"/>
        <v>-4547</v>
      </c>
      <c r="S46" s="362">
        <f t="shared" si="2"/>
        <v>0.81927662957074721</v>
      </c>
      <c r="V46" s="13"/>
    </row>
    <row r="47" spans="1:22">
      <c r="B47" t="s">
        <v>2255</v>
      </c>
      <c r="C47" s="233">
        <f>IF(B47="","",IF(LEN(B47)&gt;9,SUMIFS(Options!$H$3:$H$28,Options!$B$3:$B$28,Check!B47),SUMIFS('Master P&amp;L'!$H$11:$H$84,'Master P&amp;L'!$B$11:$B$84,Check!B47)))</f>
        <v>163</v>
      </c>
      <c r="D47" s="233">
        <f>IF(B47="","",SUMIFS(Input_APM!N:N,Input_APM!L:L,Check!B47,Input_APM!M:M,Check!$F$1))</f>
        <v>152</v>
      </c>
      <c r="E47" s="219">
        <f t="shared" si="5"/>
        <v>0</v>
      </c>
      <c r="F47" s="233">
        <f>IF(B47="","",SUMIFS(Input_APM!N:N,Input_APM!M:M,Check!$F$1,Input_APM!L:L,Check!B47))</f>
        <v>152</v>
      </c>
      <c r="G47" s="233">
        <f>IF(B47="","",SUMIFS(Input_APM!N:N,Input_APM!M:M,Check!$G$1,Input_APM!L:L,Check!B47))</f>
        <v>0</v>
      </c>
      <c r="H47" s="217">
        <f t="shared" si="0"/>
        <v>152</v>
      </c>
      <c r="I47" s="217">
        <f>SUMIFS(Input_APM!N:N,Input_APM!L:L,Check!B47)</f>
        <v>152</v>
      </c>
      <c r="J47" s="219">
        <f t="shared" si="3"/>
        <v>0</v>
      </c>
      <c r="K47" s="22">
        <f>IF(B47="","",SUMIFS('Input_APM (Zenith)'!N:N,'Input_APM (Zenith)'!L:L,Check!B47,'Input_APM (Zenith)'!M:M,Check!$F$1))</f>
        <v>11</v>
      </c>
      <c r="L47" s="22">
        <f>IF(B47="","",SUMIFS('Input_APM (Zenith)'!N:N,'Input_APM (Zenith)'!L:L,Check!B47,'Input_APM (Zenith)'!M:M,Check!$G$1))</f>
        <v>0</v>
      </c>
      <c r="M47" s="217">
        <f t="shared" si="4"/>
        <v>163</v>
      </c>
      <c r="O47" t="s">
        <v>2064</v>
      </c>
      <c r="P47" s="217">
        <f>IF(O47="","",IF(OR(LEFT(O47,4)="Cash",LEFT(O47,4)="Prov"),0,SUMIFS(Input_APM!N:N,Input_APM!L:L,Check!O47)))</f>
        <v>-2</v>
      </c>
      <c r="Q47" s="22">
        <f>IF(O47="","",IF(LEN(O47)&gt;9,SUMIFS(Options!$H$3:$H$28,Options!$B$3:$B$28,Check!O47),SUMIFS('Master P&amp;L'!$H$11:$H$84,'Master P&amp;L'!$B$11:$B$84,Check!O47)))</f>
        <v>0</v>
      </c>
      <c r="R47" s="217">
        <f t="shared" si="1"/>
        <v>-2</v>
      </c>
      <c r="S47" s="362" t="str">
        <f t="shared" si="2"/>
        <v>Erro</v>
      </c>
    </row>
    <row r="48" spans="1:22">
      <c r="B48"/>
      <c r="C48" s="233" t="str">
        <f>IF(B48="","",IF(LEN(B48)&gt;9,SUMIFS(Options!$H$3:$H$28,Options!$B$3:$B$28,Check!B48),SUMIFS('Master P&amp;L'!$H$11:$H$84,'Master P&amp;L'!$B$11:$B$84,Check!B48)))</f>
        <v/>
      </c>
      <c r="D48" s="233" t="str">
        <f>IF(B48="","",SUMIFS(Input_APM!N:N,Input_APM!L:L,Check!B48,Input_APM!M:M,Check!$F$1))</f>
        <v/>
      </c>
      <c r="E48" s="219" t="str">
        <f t="shared" si="5"/>
        <v/>
      </c>
      <c r="F48" s="233" t="str">
        <f>IF(B48="","",SUMIFS(Input_APM!N:N,Input_APM!M:M,Check!$F$1,Input_APM!L:L,Check!B48))</f>
        <v/>
      </c>
      <c r="G48" s="233" t="str">
        <f>IF(B48="","",SUMIFS(Input_APM!N:N,Input_APM!M:M,Check!$G$1,Input_APM!L:L,Check!B48))</f>
        <v/>
      </c>
      <c r="H48" s="217" t="str">
        <f t="shared" si="0"/>
        <v/>
      </c>
      <c r="I48" s="217">
        <f>SUMIFS(Input_APM!N:N,Input_APM!L:L,Check!B48)</f>
        <v>0</v>
      </c>
      <c r="J48" s="219" t="str">
        <f t="shared" si="3"/>
        <v/>
      </c>
      <c r="K48" s="22" t="str">
        <f>IF(B48="","",SUMIFS('Input_APM (Zenith)'!N:N,'Input_APM (Zenith)'!L:L,Check!B48,'Input_APM (Zenith)'!M:M,Check!$F$1))</f>
        <v/>
      </c>
      <c r="L48" s="22" t="str">
        <f>IF(B48="","",SUMIFS('Input_APM (Zenith)'!N:N,'Input_APM (Zenith)'!L:L,Check!B48,'Input_APM (Zenith)'!M:M,Check!$G$1))</f>
        <v/>
      </c>
      <c r="M48" s="217" t="str">
        <f t="shared" si="4"/>
        <v/>
      </c>
      <c r="O48" t="s">
        <v>2219</v>
      </c>
      <c r="P48" s="217">
        <f>IF(O48="","",IF(OR(LEFT(O48,4)="Cash",LEFT(O48,4)="Prov"),0,SUMIFS(Input_APM!N:N,Input_APM!L:L,Check!O48)))</f>
        <v>234</v>
      </c>
      <c r="Q48" s="22">
        <f>IF(O48="","",IF(LEN(O48)&gt;9,SUMIFS(Options!$H$3:$H$28,Options!$B$3:$B$28,Check!O48),SUMIFS('Master P&amp;L'!$H$11:$H$84,'Master P&amp;L'!$B$11:$B$84,Check!O48)))</f>
        <v>250</v>
      </c>
      <c r="R48" s="217">
        <f t="shared" si="1"/>
        <v>-16</v>
      </c>
      <c r="S48" s="362">
        <f t="shared" si="2"/>
        <v>0.93600000000000005</v>
      </c>
    </row>
    <row r="49" spans="1:19">
      <c r="B49"/>
      <c r="C49" s="233" t="str">
        <f>IF(B49="","",IF(LEN(B49)&gt;9,SUMIFS(Options!$H$3:$H$28,Options!$B$3:$B$28,Check!B49),SUMIFS('Master P&amp;L'!$H$11:$H$84,'Master P&amp;L'!$B$11:$B$84,Check!B49)))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336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IF(O49="","",IF(LEN(O49)&gt;9,SUMIFS(Options!$H$3:$H$28,Options!$B$3:$B$28,Check!O49),SUMIFS('Master P&amp;L'!$H$11:$H$84,'Master P&amp;L'!$B$11:$B$84,Check!O49)))</f>
        <v>0</v>
      </c>
      <c r="R49" s="217">
        <f t="shared" si="1"/>
        <v>0</v>
      </c>
      <c r="S49" s="362" t="str">
        <f t="shared" si="2"/>
        <v>Ok</v>
      </c>
    </row>
    <row r="50" spans="1:19">
      <c r="A50" t="s">
        <v>1771</v>
      </c>
      <c r="B50"/>
      <c r="C50" s="233" t="str">
        <f>IF(B50="","",IF(LEN(B50)&gt;9,SUMIFS(Options!$H$3:$H$28,Options!$B$3:$B$28,Check!B50),SUMIFS('Master P&amp;L'!$H$11:$H$84,'Master P&amp;L'!$B$11:$B$84,Check!B50)))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IF(O50="","",IF(LEN(O50)&gt;9,SUMIFS(Options!$H$3:$H$28,Options!$B$3:$B$28,Check!O50),SUMIFS('Master P&amp;L'!$H$11:$H$84,'Master P&amp;L'!$B$11:$B$84,Check!O50)))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/>
      <c r="C51" s="233" t="str">
        <f>IF(B51="","",IF(LEN(B51)&gt;9,SUMIFS(Options!$H$3:$H$28,Options!$B$3:$B$28,Check!B51),SUMIFS('Master P&amp;L'!$H$11:$H$84,'Master P&amp;L'!$B$11:$B$84,Check!B51)))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307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IF(O51="","",IF(LEN(O51)&gt;9,SUMIFS(Options!$H$3:$H$28,Options!$B$3:$B$28,Check!O51),SUMIFS('Master P&amp;L'!$H$11:$H$84,'Master P&amp;L'!$B$11:$B$84,Check!O51)))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/>
      <c r="C52" s="233" t="str">
        <f>IF(B52="","",IF(LEN(B52)&gt;9,SUMIFS(Options!$H$3:$H$28,Options!$B$3:$B$28,Check!B52),SUMIFS('Master P&amp;L'!$H$11:$H$84,'Master P&amp;L'!$B$11:$B$84,Check!B52)))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135</v>
      </c>
      <c r="P52" s="217">
        <f>IF(O52="","",IF(OR(LEFT(O52,4)="Cash",LEFT(O52,4)="Prov"),0,SUMIFS(Input_APM!N:N,Input_APM!L:L,Check!O52)))</f>
        <v>-1</v>
      </c>
      <c r="Q52" s="22">
        <f>IF(O52="","",IF(LEN(O52)&gt;9,SUMIFS(Options!$H$3:$H$28,Options!$B$3:$B$28,Check!O52),SUMIFS('Master P&amp;L'!$H$11:$H$84,'Master P&amp;L'!$B$11:$B$84,Check!O52)))</f>
        <v>3261</v>
      </c>
      <c r="R52" s="217">
        <f t="shared" si="1"/>
        <v>-3262</v>
      </c>
      <c r="S52" s="362">
        <f t="shared" si="2"/>
        <v>-3.0665440049064706E-4</v>
      </c>
    </row>
    <row r="53" spans="1:19">
      <c r="B53"/>
      <c r="C53" s="233" t="str">
        <f>IF(B53="","",IF(LEN(B53)&gt;9,SUMIFS(Options!$H$3:$H$28,Options!$B$3:$B$28,Check!B53),SUMIFS('Master P&amp;L'!$H$11:$H$84,'Master P&amp;L'!$B$11:$B$84,Check!B53)))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338</v>
      </c>
      <c r="P53" s="217">
        <f>IF(O53="","",IF(OR(LEFT(O53,4)="Cash",LEFT(O53,4)="Prov"),0,SUMIFS(Input_APM!N:N,Input_APM!L:L,Check!O53)))</f>
        <v>-0.81</v>
      </c>
      <c r="Q53" s="22">
        <f>IF(O53="","",IF(LEN(O53)&gt;9,SUMIFS(Options!$H$3:$H$28,Options!$B$3:$B$28,Check!O53),SUMIFS('Master P&amp;L'!$H$11:$H$84,'Master P&amp;L'!$B$11:$B$84,Check!O53)))</f>
        <v>0</v>
      </c>
      <c r="R53" s="217">
        <f t="shared" si="1"/>
        <v>-0.81</v>
      </c>
      <c r="S53" s="362" t="str">
        <f t="shared" si="2"/>
        <v>Erro</v>
      </c>
    </row>
    <row r="54" spans="1:19">
      <c r="B54"/>
      <c r="C54" s="233" t="str">
        <f>IF(B54="","",IF(LEN(B54)&gt;9,SUMIFS(Options!$H$3:$H$28,Options!$B$3:$B$28,Check!B54),SUMIFS('Master P&amp;L'!$H$11:$H$84,'Master P&amp;L'!$B$11:$B$84,Check!B54)))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2255</v>
      </c>
      <c r="P54" s="217">
        <f>IF(O54="","",IF(OR(LEFT(O54,4)="Cash",LEFT(O54,4)="Prov"),0,SUMIFS(Input_APM!N:N,Input_APM!L:L,Check!O54)))</f>
        <v>152</v>
      </c>
      <c r="Q54" s="22">
        <f>IF(O54="","",IF(LEN(O54)&gt;9,SUMIFS(Options!$H$3:$H$28,Options!$B$3:$B$28,Check!O54),SUMIFS('Master P&amp;L'!$H$11:$H$84,'Master P&amp;L'!$B$11:$B$84,Check!O54)))</f>
        <v>163</v>
      </c>
      <c r="R54" s="217">
        <f t="shared" si="1"/>
        <v>-11</v>
      </c>
      <c r="S54" s="362">
        <f t="shared" si="2"/>
        <v>0.93251533742331283</v>
      </c>
    </row>
    <row r="55" spans="1:19">
      <c r="B55"/>
      <c r="C55" s="233" t="str">
        <f>IF(B55="","",IF(LEN(B55)&gt;9,SUMIFS(Options!$H$3:$H$28,Options!$B$3:$B$28,Check!B55),SUMIFS('Master P&amp;L'!$H$11:$H$84,'Master P&amp;L'!$B$11:$B$84,Check!B55)))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143</v>
      </c>
      <c r="P55" s="217">
        <f>IF(O55="","",IF(OR(LEFT(O55,4)="Cash",LEFT(O55,4)="Prov"),0,SUMIFS(Input_APM!N:N,Input_APM!L:L,Check!O55)))</f>
        <v>-62301</v>
      </c>
      <c r="Q55" s="22">
        <f>IF(O55="","",IF(LEN(O55)&gt;9,SUMIFS(Options!$H$3:$H$28,Options!$B$3:$B$28,Check!O55),SUMIFS('Master P&amp;L'!$H$11:$H$84,'Master P&amp;L'!$B$11:$B$84,Check!O55)))</f>
        <v>-66600</v>
      </c>
      <c r="R55" s="217">
        <f t="shared" si="1"/>
        <v>4299</v>
      </c>
      <c r="S55" s="362">
        <f t="shared" si="2"/>
        <v>0.9354504504504505</v>
      </c>
    </row>
    <row r="56" spans="1:19">
      <c r="B56"/>
      <c r="C56" s="233" t="str">
        <f>IF(B56="","",IF(LEN(B56)&gt;9,SUMIFS(Options!$H$3:$H$28,Options!$B$3:$B$28,Check!B56),SUMIFS('Master P&amp;L'!$H$11:$H$84,'Master P&amp;L'!$B$11:$B$84,Check!B56)))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2209</v>
      </c>
      <c r="P56" s="217">
        <f>IF(O56="","",IF(OR(LEFT(O56,4)="Cash",LEFT(O56,4)="Prov"),0,SUMIFS(Input_APM!N:N,Input_APM!L:L,Check!O56)))</f>
        <v>-10353.44</v>
      </c>
      <c r="Q56" s="22">
        <f>IF(O56="","",IF(LEN(O56)&gt;9,SUMIFS(Options!$H$3:$H$28,Options!$B$3:$B$28,Check!O56),SUMIFS('Master P&amp;L'!$H$11:$H$84,'Master P&amp;L'!$B$11:$B$84,Check!O56)))</f>
        <v>0</v>
      </c>
      <c r="R56" s="217">
        <f t="shared" si="1"/>
        <v>-10353.44</v>
      </c>
      <c r="S56" s="362" t="str">
        <f t="shared" si="2"/>
        <v>Erro</v>
      </c>
    </row>
    <row r="57" spans="1:19">
      <c r="B57"/>
      <c r="C57" s="233" t="str">
        <f>IF(B57="","",IF(LEN(B57)&gt;9,SUMIFS(Options!$H$3:$H$28,Options!$B$3:$B$28,Check!B57),SUMIFS('Master P&amp;L'!$H$11:$H$84,'Master P&amp;L'!$B$11:$B$84,Check!B57)))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2220</v>
      </c>
      <c r="P57" s="217">
        <f>IF(O57="","",IF(OR(LEFT(O57,4)="Cash",LEFT(O57,4)="Prov"),0,SUMIFS(Input_APM!N:N,Input_APM!L:L,Check!O57)))</f>
        <v>20567</v>
      </c>
      <c r="Q57" s="22">
        <f>IF(O57="","",IF(LEN(O57)&gt;9,SUMIFS(Options!$H$3:$H$28,Options!$B$3:$B$28,Check!O57),SUMIFS('Master P&amp;L'!$H$11:$H$84,'Master P&amp;L'!$B$11:$B$84,Check!O57)))</f>
        <v>22000</v>
      </c>
      <c r="R57" s="217">
        <f t="shared" si="1"/>
        <v>-1433</v>
      </c>
      <c r="S57" s="362">
        <f t="shared" si="2"/>
        <v>0.93486363636363634</v>
      </c>
    </row>
    <row r="58" spans="1:19">
      <c r="B58"/>
      <c r="C58" s="233" t="str">
        <f>IF(B58="","",IF(LEN(B58)&gt;9,SUMIFS(Options!$H$3:$H$28,Options!$B$3:$B$28,Check!B58),SUMIFS('Master P&amp;L'!$H$11:$H$84,'Master P&amp;L'!$B$11:$B$84,Check!B58)))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</v>
      </c>
      <c r="P58" s="217">
        <f>IF(O58="","",IF(OR(LEFT(O58,4)="Cash",LEFT(O58,4)="Prov"),0,SUMIFS(Input_APM!N:N,Input_APM!L:L,Check!O58)))</f>
        <v>-11220</v>
      </c>
      <c r="Q58" s="22">
        <f>IF(O58="","",IF(LEN(O58)&gt;9,SUMIFS(Options!$H$3:$H$28,Options!$B$3:$B$28,Check!O58),SUMIFS('Master P&amp;L'!$H$11:$H$84,'Master P&amp;L'!$B$11:$B$84,Check!O58)))</f>
        <v>-11612</v>
      </c>
      <c r="R58" s="217">
        <f t="shared" si="1"/>
        <v>392</v>
      </c>
      <c r="S58" s="362">
        <f t="shared" si="2"/>
        <v>0.96624181880812954</v>
      </c>
    </row>
    <row r="59" spans="1:19">
      <c r="B59"/>
      <c r="C59" s="233" t="str">
        <f>IF(B59="","",IF(LEN(B59)&gt;9,SUMIFS(Options!$H$3:$H$28,Options!$B$3:$B$28,Check!B59),SUMIFS('Master P&amp;L'!$H$11:$H$84,'Master P&amp;L'!$B$11:$B$84,Check!B59)))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2206</v>
      </c>
      <c r="P59" s="217">
        <f>IF(O59="","",IF(OR(LEFT(O59,4)="Cash",LEFT(O59,4)="Prov"),0,SUMIFS(Input_APM!N:N,Input_APM!L:L,Check!O59)))</f>
        <v>61</v>
      </c>
      <c r="Q59" s="22">
        <f>IF(O59="","",IF(LEN(O59)&gt;9,SUMIFS(Options!$H$3:$H$28,Options!$B$3:$B$28,Check!O59),SUMIFS('Master P&amp;L'!$H$11:$H$84,'Master P&amp;L'!$B$11:$B$84,Check!O59)))</f>
        <v>65</v>
      </c>
      <c r="R59" s="217">
        <f t="shared" si="1"/>
        <v>-4</v>
      </c>
      <c r="S59" s="362">
        <f t="shared" si="2"/>
        <v>0.93846153846153846</v>
      </c>
    </row>
    <row r="60" spans="1:19">
      <c r="B60"/>
      <c r="C60" s="233" t="str">
        <f>IF(B60="","",IF(LEN(B60)&gt;9,SUMIFS(Options!$H$3:$H$28,Options!$B$3:$B$28,Check!B60),SUMIFS('Master P&amp;L'!$H$11:$H$84,'Master P&amp;L'!$B$11:$B$84,Check!B60)))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-4517</v>
      </c>
      <c r="Q60" s="22">
        <f>IF(O60="","",IF(LEN(O60)&gt;9,SUMIFS(Options!$H$3:$H$28,Options!$B$3:$B$28,Check!O60),SUMIFS('Master P&amp;L'!$H$11:$H$84,'Master P&amp;L'!$B$11:$B$84,Check!O60)))</f>
        <v>-4832</v>
      </c>
      <c r="R60" s="217">
        <f t="shared" si="1"/>
        <v>315</v>
      </c>
      <c r="S60" s="362">
        <f t="shared" si="2"/>
        <v>0.93480960264900659</v>
      </c>
    </row>
    <row r="61" spans="1:19">
      <c r="B61"/>
      <c r="C61" s="233" t="str">
        <f>IF(B61="","",IF(LEN(B61)&gt;9,SUMIFS(Options!$H$3:$H$28,Options!$B$3:$B$28,Check!B61),SUMIFS('Master P&amp;L'!$H$11:$H$84,'Master P&amp;L'!$B$11:$B$84,Check!B61)))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2210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IF(O61="","",IF(LEN(O61)&gt;9,SUMIFS(Options!$H$3:$H$28,Options!$B$3:$B$28,Check!O61),SUMIFS('Master P&amp;L'!$H$11:$H$84,'Master P&amp;L'!$B$11:$B$84,Check!O61)))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IF(B62="","",IF(LEN(B62)&gt;9,SUMIFS(Options!$H$3:$H$28,Options!$B$3:$B$28,Check!B62),SUMIFS('Master P&amp;L'!$H$11:$H$84,'Master P&amp;L'!$B$11:$B$84,Check!B62)))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2224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IF(O62="","",IF(LEN(O62)&gt;9,SUMIFS(Options!$H$3:$H$28,Options!$B$3:$B$28,Check!O62),SUMIFS('Master P&amp;L'!$H$11:$H$84,'Master P&amp;L'!$B$11:$B$84,Check!O62)))</f>
        <v>0</v>
      </c>
      <c r="R62" s="217">
        <f t="shared" si="1"/>
        <v>1400</v>
      </c>
      <c r="S62" s="362" t="str">
        <f t="shared" si="2"/>
        <v>Erro</v>
      </c>
    </row>
    <row r="63" spans="1:19">
      <c r="B63"/>
      <c r="C63" s="233" t="str">
        <f>IF(B63="","",IF(LEN(B63)&gt;9,SUMIFS(Options!$H$3:$H$28,Options!$B$3:$B$28,Check!B63),SUMIFS('Master P&amp;L'!$H$11:$H$84,'Master P&amp;L'!$B$11:$B$84,Check!B63)))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2103</v>
      </c>
      <c r="Q63" s="22">
        <f>IF(O63="","",IF(LEN(O63)&gt;9,SUMIFS(Options!$H$3:$H$28,Options!$B$3:$B$28,Check!O63),SUMIFS('Master P&amp;L'!$H$11:$H$84,'Master P&amp;L'!$B$11:$B$84,Check!O63)))</f>
        <v>4449</v>
      </c>
      <c r="R63" s="217">
        <f t="shared" si="1"/>
        <v>-2346</v>
      </c>
      <c r="S63" s="362">
        <f t="shared" si="2"/>
        <v>0.4726904922454484</v>
      </c>
    </row>
    <row r="64" spans="1:19">
      <c r="B64"/>
      <c r="C64" s="233" t="str">
        <f>IF(B64="","",IF(LEN(B64)&gt;9,SUMIFS(Options!$H$3:$H$28,Options!$B$3:$B$28,Check!B64),SUMIFS('Master P&amp;L'!$H$11:$H$84,'Master P&amp;L'!$B$11:$B$84,Check!B64)))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1760</v>
      </c>
      <c r="P64" s="217">
        <f>IF(O64="","",IF(OR(LEFT(O64,4)="Cash",LEFT(O64,4)="Prov"),0,SUMIFS(Input_APM!N:N,Input_APM!L:L,Check!O64)))</f>
        <v>746.23</v>
      </c>
      <c r="Q64" s="22">
        <f>IF(O64="","",IF(LEN(O64)&gt;9,SUMIFS(Options!$H$3:$H$28,Options!$B$3:$B$28,Check!O64),SUMIFS('Master P&amp;L'!$H$11:$H$84,'Master P&amp;L'!$B$11:$B$84,Check!O64)))</f>
        <v>0</v>
      </c>
      <c r="R64" s="217">
        <f t="shared" si="1"/>
        <v>746.23</v>
      </c>
      <c r="S64" s="362" t="str">
        <f t="shared" si="2"/>
        <v>Erro</v>
      </c>
    </row>
    <row r="65" spans="2:19">
      <c r="B65"/>
      <c r="C65" s="233" t="str">
        <f>IF(B65="","",IF(LEN(B65)&gt;9,SUMIFS(Options!$H$3:$H$28,Options!$B$3:$B$28,Check!B65),SUMIFS('Master P&amp;L'!$H$11:$H$84,'Master P&amp;L'!$B$11:$B$84,Check!B65)))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2065</v>
      </c>
      <c r="P65" s="217">
        <f>IF(O65="","",IF(OR(LEFT(O65,4)="Cash",LEFT(O65,4)="Prov"),0,SUMIFS(Input_APM!N:N,Input_APM!L:L,Check!O65)))</f>
        <v>47</v>
      </c>
      <c r="Q65" s="22">
        <f>IF(O65="","",IF(LEN(O65)&gt;9,SUMIFS(Options!$H$3:$H$28,Options!$B$3:$B$28,Check!O65),SUMIFS('Master P&amp;L'!$H$11:$H$84,'Master P&amp;L'!$B$11:$B$84,Check!O65)))</f>
        <v>50</v>
      </c>
      <c r="R65" s="217">
        <f t="shared" si="1"/>
        <v>-3</v>
      </c>
      <c r="S65" s="362">
        <f t="shared" si="2"/>
        <v>0.94</v>
      </c>
    </row>
    <row r="66" spans="2:19">
      <c r="B66"/>
      <c r="C66" s="233" t="str">
        <f>IF(B66="","",IF(LEN(B66)&gt;9,SUMIFS(Options!$H$3:$H$28,Options!$B$3:$B$28,Check!B66),SUMIFS('Master P&amp;L'!$H$11:$H$84,'Master P&amp;L'!$B$11:$B$84,Check!B66)))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2164</v>
      </c>
      <c r="P66" s="217">
        <f>IF(O66="","",IF(OR(LEFT(O66,4)="Cash",LEFT(O66,4)="Prov"),0,SUMIFS(Input_APM!N:N,Input_APM!L:L,Check!O66)))</f>
        <v>397</v>
      </c>
      <c r="Q66" s="22">
        <f>IF(O66="","",IF(LEN(O66)&gt;9,SUMIFS(Options!$H$3:$H$28,Options!$B$3:$B$28,Check!O66),SUMIFS('Master P&amp;L'!$H$11:$H$84,'Master P&amp;L'!$B$11:$B$84,Check!O66)))</f>
        <v>425</v>
      </c>
      <c r="R66" s="217">
        <f t="shared" si="1"/>
        <v>-28</v>
      </c>
      <c r="S66" s="362">
        <f t="shared" si="2"/>
        <v>0.9341176470588235</v>
      </c>
    </row>
    <row r="67" spans="2:19">
      <c r="B67"/>
      <c r="C67" s="233" t="str">
        <f>IF(B67="","",IF(LEN(B67)&gt;9,SUMIFS(Options!$H$3:$H$28,Options!$B$3:$B$28,Check!B67),SUMIFS('Master P&amp;L'!$H$11:$H$84,'Master P&amp;L'!$B$11:$B$84,Check!B67)))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2165</v>
      </c>
      <c r="P67" s="217">
        <f>IF(O67="","",IF(OR(LEFT(O67,4)="Cash",LEFT(O67,4)="Prov"),0,SUMIFS(Input_APM!N:N,Input_APM!L:L,Check!O67)))</f>
        <v>-351</v>
      </c>
      <c r="Q67" s="22">
        <f>IF(O67="","",IF(LEN(O67)&gt;9,SUMIFS(Options!$H$3:$H$28,Options!$B$3:$B$28,Check!O67),SUMIFS('Master P&amp;L'!$H$11:$H$84,'Master P&amp;L'!$B$11:$B$84,Check!O67)))</f>
        <v>-375</v>
      </c>
      <c r="R67" s="217">
        <f t="shared" si="1"/>
        <v>24</v>
      </c>
      <c r="S67" s="362">
        <f t="shared" si="2"/>
        <v>0.93600000000000005</v>
      </c>
    </row>
    <row r="68" spans="2:19">
      <c r="B68"/>
      <c r="C68" s="233" t="str">
        <f>IF(B68="","",IF(LEN(B68)&gt;9,SUMIFS(Options!$H$3:$H$28,Options!$B$3:$B$28,Check!B68),SUMIFS('Master P&amp;L'!$H$11:$H$84,'Master P&amp;L'!$B$11:$B$84,Check!B68)))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2113</v>
      </c>
      <c r="P68" s="217">
        <f>IF(O68="","",IF(OR(LEFT(O68,4)="Cash",LEFT(O68,4)="Prov"),0,SUMIFS(Input_APM!N:N,Input_APM!L:L,Check!O68)))</f>
        <v>29484</v>
      </c>
      <c r="Q68" s="22">
        <f>IF(O68="","",IF(LEN(O68)&gt;9,SUMIFS(Options!$H$3:$H$28,Options!$B$3:$B$28,Check!O68),SUMIFS('Master P&amp;L'!$H$11:$H$84,'Master P&amp;L'!$B$11:$B$84,Check!O68)))</f>
        <v>31500</v>
      </c>
      <c r="R68" s="217">
        <f t="shared" si="1"/>
        <v>-2016</v>
      </c>
      <c r="S68" s="362">
        <f t="shared" si="2"/>
        <v>0.93600000000000005</v>
      </c>
    </row>
    <row r="69" spans="2:19">
      <c r="B69"/>
      <c r="C69" s="233" t="str">
        <f>IF(B69="","",IF(LEN(B69)&gt;9,SUMIFS(Options!$H$3:$H$28,Options!$B$3:$B$28,Check!B69),SUMIFS('Master P&amp;L'!$H$11:$H$84,'Master P&amp;L'!$B$11:$B$84,Check!B69)))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IF(O69="","",IF(LEN(O69)&gt;9,SUMIFS(Options!$H$3:$H$28,Options!$B$3:$B$28,Check!O69),SUMIFS('Master P&amp;L'!$H$11:$H$84,'Master P&amp;L'!$B$11:$B$84,Check!O69)))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IF(B70="","",IF(LEN(B70)&gt;9,SUMIFS(Options!$H$3:$H$28,Options!$B$3:$B$28,Check!B70),SUMIFS('Master P&amp;L'!$H$11:$H$84,'Master P&amp;L'!$B$11:$B$84,Check!B70)))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IF(O70="","",IF(LEN(O70)&gt;9,SUMIFS(Options!$H$3:$H$28,Options!$B$3:$B$28,Check!O70),SUMIFS('Master P&amp;L'!$H$11:$H$84,'Master P&amp;L'!$B$11:$B$84,Check!O70)))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IF(B71="","",IF(LEN(B71)&gt;9,SUMIFS(Options!$H$3:$H$28,Options!$B$3:$B$28,Check!B71),SUMIFS('Master P&amp;L'!$H$11:$H$84,'Master P&amp;L'!$B$11:$B$84,Check!B71)))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IF(O71="","",IF(LEN(O71)&gt;9,SUMIFS(Options!$H$3:$H$28,Options!$B$3:$B$28,Check!O71),SUMIFS('Master P&amp;L'!$H$11:$H$84,'Master P&amp;L'!$B$11:$B$84,Check!O71)))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IF(B72="","",IF(LEN(B72)&gt;9,SUMIFS(Options!$H$3:$H$28,Options!$B$3:$B$28,Check!B72),SUMIFS('Master P&amp;L'!$H$11:$H$84,'Master P&amp;L'!$B$11:$B$84,Check!B72)))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IF(O72="","",IF(LEN(O72)&gt;9,SUMIFS(Options!$H$3:$H$28,Options!$B$3:$B$28,Check!O72),SUMIFS('Master P&amp;L'!$H$11:$H$84,'Master P&amp;L'!$B$11:$B$84,Check!O72)))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IF(B73="","",IF(LEN(B73)&gt;9,SUMIFS(Options!$H$3:$H$28,Options!$B$3:$B$28,Check!B73),SUMIFS('Master P&amp;L'!$H$11:$H$84,'Master P&amp;L'!$B$11:$B$84,Check!B73)))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IF(O73="","",IF(LEN(O73)&gt;9,SUMIFS(Options!$H$3:$H$28,Options!$B$3:$B$28,Check!O73),SUMIFS('Master P&amp;L'!$H$11:$H$84,'Master P&amp;L'!$B$11:$B$84,Check!O73)))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IF(B74="","",IF(LEN(B74)&gt;9,SUMIFS(Options!$H$3:$H$28,Options!$B$3:$B$28,Check!B74),SUMIFS('Master P&amp;L'!$H$11:$H$84,'Master P&amp;L'!$B$11:$B$84,Check!B74)))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IF(O74="","",IF(LEN(O74)&gt;9,SUMIFS(Options!$H$3:$H$28,Options!$B$3:$B$28,Check!O74),SUMIFS('Master P&amp;L'!$H$11:$H$84,'Master P&amp;L'!$B$11:$B$84,Check!O74)))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IF(B75="","",IF(LEN(B75)&gt;9,SUMIFS(Options!$H$3:$H$28,Options!$B$3:$B$28,Check!B75),SUMIFS('Master P&amp;L'!$H$11:$H$84,'Master P&amp;L'!$B$11:$B$84,Check!B75)))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IF(O75="","",IF(LEN(O75)&gt;9,SUMIFS(Options!$H$3:$H$28,Options!$B$3:$B$28,Check!O75),SUMIFS('Master P&amp;L'!$H$11:$H$84,'Master P&amp;L'!$B$11:$B$84,Check!O75)))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IF(B76="","",IF(LEN(B76)&gt;9,SUMIFS(Options!$H$3:$H$28,Options!$B$3:$B$28,Check!B76),SUMIFS('Master P&amp;L'!$H$11:$H$84,'Master P&amp;L'!$B$11:$B$84,Check!B76)))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IF(O76="","",IF(LEN(O76)&gt;9,SUMIFS(Options!$H$3:$H$28,Options!$B$3:$B$28,Check!O76),SUMIFS('Master P&amp;L'!$H$11:$H$84,'Master P&amp;L'!$B$11:$B$84,Check!O76)))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IF(B77="","",IF(LEN(B77)&gt;9,SUMIFS(Options!$H$3:$H$28,Options!$B$3:$B$28,Check!B77),SUMIFS('Master P&amp;L'!$H$11:$H$84,'Master P&amp;L'!$B$11:$B$84,Check!B77)))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IF(O77="","",IF(LEN(O77)&gt;9,SUMIFS(Options!$H$3:$H$28,Options!$B$3:$B$28,Check!O77),SUMIFS('Master P&amp;L'!$H$11:$H$84,'Master P&amp;L'!$B$11:$B$84,Check!O77)))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IF(B78="","",IF(LEN(B78)&gt;9,SUMIFS(Options!$H$3:$H$28,Options!$B$3:$B$28,Check!B78),SUMIFS('Master P&amp;L'!$H$11:$H$84,'Master P&amp;L'!$B$11:$B$84,Check!B78)))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IF(O78="","",IF(LEN(O78)&gt;9,SUMIFS(Options!$H$3:$H$28,Options!$B$3:$B$28,Check!O78),SUMIFS('Master P&amp;L'!$H$11:$H$84,'Master P&amp;L'!$B$11:$B$84,Check!O78)))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IF(B79="","",IF(LEN(B79)&gt;9,SUMIFS(Options!$H$3:$H$28,Options!$B$3:$B$28,Check!B79),SUMIFS('Master P&amp;L'!$H$11:$H$84,'Master P&amp;L'!$B$11:$B$84,Check!B79)))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P&amp;L'!$H$11:$H$84,'Master P&amp;L'!$B$11:$B$84,Check!O79)))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P&amp;L'!$H$11:$H$84,'Master P&amp;L'!$B$11:$B$84,Check!B80)))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P&amp;L'!$H$11:$H$84,'Master P&amp;L'!$B$11:$B$84,Check!O80)))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P&amp;L'!$H$11:$H$84,'Master P&amp;L'!$B$11:$B$84,Check!B81)))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P&amp;L'!$H$11:$H$84,'Master P&amp;L'!$B$11:$B$84,Check!O81)))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P&amp;L'!$H$11:$H$84,'Master P&amp;L'!$B$11:$B$84,Check!B82)))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P&amp;L'!$H$11:$H$84,'Master P&amp;L'!$B$11:$B$84,Check!O82)))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P&amp;L'!$H$11:$H$84,'Master P&amp;L'!$B$11:$B$84,Check!B83)))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P&amp;L'!$H$11:$H$84,'Master P&amp;L'!$B$11:$B$84,Check!O83)))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P&amp;L'!$H$11:$H$84,'Master P&amp;L'!$B$11:$B$84,Check!B84)))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P&amp;L'!$H$11:$H$84,'Master P&amp;L'!$B$11:$B$84,Check!O84)))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P&amp;L'!$H$11:$H$84,'Master P&amp;L'!$B$11:$B$84,Check!B85)))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P&amp;L'!$H$11:$H$84,'Master P&amp;L'!$B$11:$B$84,Check!O85)))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P&amp;L'!$H$11:$H$84,'Master P&amp;L'!$B$11:$B$84,Check!B86)))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P&amp;L'!$H$11:$H$84,'Master P&amp;L'!$B$11:$B$84,Check!O86)))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P&amp;L'!$H$11:$H$84,'Master P&amp;L'!$B$11:$B$84,Check!B87)))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P&amp;L'!$H$11:$H$84,'Master P&amp;L'!$B$11:$B$84,Check!O87)))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P&amp;L'!$H$11:$H$84,'Master P&amp;L'!$B$11:$B$84,Check!B88)))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P&amp;L'!$H$11:$H$84,'Master P&amp;L'!$B$11:$B$84,Check!O88)))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P&amp;L'!$H$11:$H$84,'Master P&amp;L'!$B$11:$B$84,Check!B89)))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P&amp;L'!$H$11:$H$84,'Master P&amp;L'!$B$11:$B$84,Check!O89)))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P&amp;L'!$H$11:$H$84,'Master P&amp;L'!$B$11:$B$84,Check!B90)))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P&amp;L'!$H$11:$H$84,'Master P&amp;L'!$B$11:$B$84,Check!O90)))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P&amp;L'!$H$11:$H$84,'Master P&amp;L'!$B$11:$B$84,Check!B91)))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P&amp;L'!$H$11:$H$84,'Master P&amp;L'!$B$11:$B$84,Check!O91)))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P&amp;L'!$H$11:$H$84,'Master P&amp;L'!$B$11:$B$84,Check!B92)))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P&amp;L'!$H$11:$H$84,'Master P&amp;L'!$B$11:$B$84,Check!O92)))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P&amp;L'!$H$11:$H$84,'Master P&amp;L'!$B$11:$B$84,Check!B93)))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P&amp;L'!$H$11:$H$84,'Master P&amp;L'!$B$11:$B$84,Check!O93)))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P&amp;L'!$H$11:$H$84,'Master P&amp;L'!$B$11:$B$84,Check!B94)))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P&amp;L'!$H$11:$H$84,'Master P&amp;L'!$B$11:$B$84,Check!O94)))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IF(B95="","",IF(LEN(B95)&gt;9,SUMIFS(Options!$H$3:$H$28,Options!$B$3:$B$28,Check!B95),SUMIFS('Master P&amp;L'!$H$11:$H$84,'Master P&amp;L'!$B$11:$B$84,Check!B95)))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P&amp;L'!$H$11:$H$84,'Master P&amp;L'!$B$11:$B$84,Check!O95)))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IF(B96="","",IF(LEN(B96)&gt;9,SUMIFS(Options!$H$3:$H$28,Options!$B$3:$B$28,Check!B96),SUMIFS('Master P&amp;L'!$H$11:$H$84,'Master P&amp;L'!$B$11:$B$84,Check!B96)))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P&amp;L'!$H$11:$H$84,'Master P&amp;L'!$B$11:$B$84,Check!O96)))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IF(B97="","",IF(LEN(B97)&gt;9,SUMIFS(Options!$H$3:$H$28,Options!$B$3:$B$28,Check!B97),SUMIFS('Master P&amp;L'!$H$11:$H$84,'Master P&amp;L'!$B$11:$B$84,Check!B97)))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P&amp;L'!$H$11:$H$84,'Master P&amp;L'!$B$11:$B$84,Check!O97)))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IF(B98="","",IF(LEN(B98)&gt;9,SUMIFS(Options!$H$3:$H$28,Options!$B$3:$B$28,Check!B98),SUMIFS('Master P&amp;L'!$H$11:$H$84,'Master P&amp;L'!$B$11:$B$84,Check!B98)))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P&amp;L'!$H$11:$H$84,'Master P&amp;L'!$B$11:$B$84,Check!O98)))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IF(B99="","",IF(LEN(B99)&gt;9,SUMIFS(Options!$H$3:$H$28,Options!$B$3:$B$28,Check!B99),SUMIFS('Master P&amp;L'!$H$11:$H$84,'Master P&amp;L'!$B$11:$B$84,Check!B99)))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P&amp;L'!$H$11:$H$84,'Master P&amp;L'!$B$11:$B$84,Check!O99)))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IF(B100="","",IF(LEN(B100)&gt;9,SUMIFS(Options!$H$3:$H$28,Options!$B$3:$B$28,Check!B100),SUMIFS('Master P&amp;L'!$H$11:$H$84,'Master P&amp;L'!$B$11:$B$84,Check!B100)))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P&amp;L'!$H$11:$H$84,'Master P&amp;L'!$B$11:$B$84,Check!O100)))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IF(B101="","",IF(LEN(B101)&gt;9,SUMIFS(Options!$H$3:$H$28,Options!$B$3:$B$28,Check!B101),SUMIFS('Master P&amp;L'!$H$11:$H$84,'Master P&amp;L'!$B$11:$B$84,Check!B101)))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P&amp;L'!$H$11:$H$84,'Master P&amp;L'!$B$11:$B$84,Check!O101)))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IF(B102="","",IF(LEN(B102)&gt;9,SUMIFS(Options!$H$3:$H$28,Options!$B$3:$B$28,Check!B102),SUMIFS('Master P&amp;L'!$H$11:$H$84,'Master P&amp;L'!$B$11:$B$84,Check!B102)))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P&amp;L'!$H$11:$H$84,'Master P&amp;L'!$B$11:$B$84,Check!O102)))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IF(B103="","",IF(LEN(B103)&gt;9,SUMIFS(Options!$H$3:$H$28,Options!$B$3:$B$28,Check!B103),SUMIFS('Master P&amp;L'!$H$11:$H$84,'Master P&amp;L'!$B$11:$B$84,Check!B103)))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P&amp;L'!$H$11:$H$84,'Master P&amp;L'!$B$11:$B$84,Check!O103)))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IF(B104="","",IF(LEN(B104)&gt;9,SUMIFS(Options!$H$3:$H$28,Options!$B$3:$B$28,Check!B104),SUMIFS('Master P&amp;L'!$H$11:$H$84,'Master P&amp;L'!$B$11:$B$84,Check!B104)))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P&amp;L'!$H$11:$H$84,'Master P&amp;L'!$B$11:$B$84,Check!O104)))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1771</v>
      </c>
      <c r="C105" s="233" t="str">
        <f>IF(B105="","",IF(LEN(B105)&gt;9,SUMIFS(Options!$H$3:$H$28,Options!$B$3:$B$28,Check!B105),SUMIFS('Master P&amp;L'!$H$11:$H$84,'Master P&amp;L'!$B$11:$B$84,Check!B105)))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P&amp;L'!$H$11:$H$84,'Master P&amp;L'!$B$11:$B$84,Check!O105)))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IF(B106="","",IF(LEN(B106)&gt;9,SUMIFS(Options!$H$3:$H$28,Options!$B$3:$B$28,Check!B106),SUMIFS('Master P&amp;L'!$H$11:$H$84,'Master P&amp;L'!$B$11:$B$84,Check!B106)))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P&amp;L'!$H$11:$H$84,'Master P&amp;L'!$B$11:$B$84,Check!O106)))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IF(B107="","",IF(LEN(B107)&gt;9,SUMIFS(Options!$H$3:$H$28,Options!$B$3:$B$28,Check!B107),SUMIFS('Master P&amp;L'!$H$11:$H$84,'Master P&amp;L'!$B$11:$B$84,Check!B107)))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P&amp;L'!$H$11:$H$84,'Master P&amp;L'!$B$11:$B$84,Check!O107)))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IF(B108="","",IF(LEN(B108)&gt;9,SUMIFS(Options!$H$3:$H$28,Options!$B$3:$B$28,Check!B108),SUMIFS('Master P&amp;L'!$H$11:$H$84,'Master P&amp;L'!$B$11:$B$84,Check!B108)))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P&amp;L'!$H$11:$H$84,'Master P&amp;L'!$B$11:$B$84,Check!O108)))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IF(B109="","",IF(LEN(B109)&gt;9,SUMIFS(Options!$H$3:$H$28,Options!$B$3:$B$28,Check!B109),SUMIFS('Master P&amp;L'!$H$11:$H$84,'Master P&amp;L'!$B$11:$B$84,Check!B109)))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P&amp;L'!$H$11:$H$84,'Master P&amp;L'!$B$11:$B$84,Check!O109)))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1771</v>
      </c>
      <c r="C110" s="233" t="str">
        <f>IF(B110="","",IF(LEN(B110)&gt;9,SUMIFS(Options!$H$3:$H$28,Options!$B$3:$B$28,Check!B110),SUMIFS('Master P&amp;L'!$H$11:$H$84,'Master P&amp;L'!$B$11:$B$84,Check!B110)))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P&amp;L'!$H$11:$H$84,'Master P&amp;L'!$B$11:$B$84,Check!O110)))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IF(B111="","",IF(LEN(B111)&gt;9,SUMIFS(Options!$H$3:$H$28,Options!$B$3:$B$28,Check!B111),SUMIFS('Master P&amp;L'!$H$11:$H$84,'Master P&amp;L'!$B$11:$B$84,Check!B111)))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P&amp;L'!$H$11:$H$84,'Master P&amp;L'!$B$11:$B$84,Check!O111)))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IF(B112="","",IF(LEN(B112)&gt;9,SUMIFS(Options!$H$3:$H$28,Options!$B$3:$B$28,Check!B112),SUMIFS('Master P&amp;L'!$H$11:$H$84,'Master P&amp;L'!$B$11:$B$84,Check!B112)))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P&amp;L'!$H$11:$H$84,'Master P&amp;L'!$B$11:$B$84,Check!O112)))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IF(B113="","",IF(LEN(B113)&gt;9,SUMIFS(Options!$H$3:$H$28,Options!$B$3:$B$28,Check!B113),SUMIFS('Master P&amp;L'!$H$11:$H$84,'Master P&amp;L'!$B$11:$B$84,Check!B113)))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P&amp;L'!$H$11:$H$84,'Master P&amp;L'!$B$11:$B$84,Check!O113)))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IF(B114="","",IF(LEN(B114)&gt;9,SUMIFS(Options!$H$3:$H$28,Options!$B$3:$B$28,Check!B114),SUMIFS('Master P&amp;L'!$H$11:$H$84,'Master P&amp;L'!$B$11:$B$84,Check!B114)))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P&amp;L'!$H$11:$H$84,'Master P&amp;L'!$B$11:$B$84,Check!O114)))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IF(B115="","",IF(LEN(B115)&gt;9,SUMIFS(Options!$H$3:$H$28,Options!$B$3:$B$28,Check!B115),SUMIFS('Master P&amp;L'!$H$11:$H$84,'Master P&amp;L'!$B$11:$B$84,Check!B115)))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P&amp;L'!$H$11:$H$84,'Master P&amp;L'!$B$11:$B$84,Check!O115)))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IF(B116="","",IF(LEN(B116)&gt;9,SUMIFS(Options!$H$3:$H$28,Options!$B$3:$B$28,Check!B116),SUMIFS('Master P&amp;L'!$H$11:$H$84,'Master P&amp;L'!$B$11:$B$84,Check!B116)))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P&amp;L'!$H$11:$H$84,'Master P&amp;L'!$B$11:$B$84,Check!O116)))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IF(B117="","",IF(LEN(B117)&gt;9,SUMIFS(Options!$H$3:$H$28,Options!$B$3:$B$28,Check!B117),SUMIFS('Master P&amp;L'!$H$11:$H$84,'Master P&amp;L'!$B$11:$B$84,Check!B117)))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P&amp;L'!$H$11:$H$84,'Master P&amp;L'!$B$11:$B$84,Check!O117)))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IF(B118="","",IF(LEN(B118)&gt;9,SUMIFS(Options!$H$3:$H$28,Options!$B$3:$B$28,Check!B118),SUMIFS('Master P&amp;L'!$H$11:$H$84,'Master P&amp;L'!$B$11:$B$84,Check!B118)))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P&amp;L'!$H$11:$H$84,'Master P&amp;L'!$B$11:$B$84,Check!O118)))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IF(B119="","",IF(LEN(B119)&gt;9,SUMIFS(Options!$H$3:$H$28,Options!$B$3:$B$28,Check!B119),SUMIFS('Master P&amp;L'!$H$11:$H$84,'Master P&amp;L'!$B$11:$B$84,Check!B119)))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P&amp;L'!$H$11:$H$84,'Master P&amp;L'!$B$11:$B$84,Check!O119)))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IF(B120="","",IF(LEN(B120)&gt;9,SUMIFS(Options!$H$3:$H$28,Options!$B$3:$B$28,Check!B120),SUMIFS('Master P&amp;L'!$H$11:$H$84,'Master P&amp;L'!$B$11:$B$84,Check!B120)))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P&amp;L'!$H$11:$H$84,'Master P&amp;L'!$B$11:$B$84,Check!O120)))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IF(B121="","",IF(LEN(B121)&gt;9,SUMIFS(Options!$H$3:$H$28,Options!$B$3:$B$28,Check!B121),SUMIFS('Master P&amp;L'!$H$11:$H$84,'Master P&amp;L'!$B$11:$B$84,Check!B121)))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P&amp;L'!$H$11:$H$84,'Master P&amp;L'!$B$11:$B$84,Check!O121)))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IF(B122="","",IF(LEN(B122)&gt;9,SUMIFS(Options!$H$3:$H$28,Options!$B$3:$B$28,Check!B122),SUMIFS('Master P&amp;L'!$H$11:$H$84,'Master P&amp;L'!$B$11:$B$84,Check!B122)))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P&amp;L'!$H$11:$H$84,'Master P&amp;L'!$B$11:$B$84,Check!O122)))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P&amp;L'!$H$11:$H$84,'Master P&amp;L'!$B$11:$B$84,Check!B123)))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P&amp;L'!$H$11:$H$84,'Master P&amp;L'!$B$11:$B$84,Check!O123)))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IF(B124="","",IF(LEN(B124)&gt;9,SUMIFS(Options!$H$3:$H$28,Options!$B$3:$B$28,Check!B124),SUMIFS('Master P&amp;L'!$H$11:$H$84,'Master P&amp;L'!$B$11:$B$84,Check!B124)))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P&amp;L'!$H$11:$H$84,'Master P&amp;L'!$B$11:$B$84,Check!O124)))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IF(B125="","",IF(LEN(B125)&gt;9,SUMIFS(Options!$H$3:$H$28,Options!$B$3:$B$28,Check!B125),SUMIFS('Master P&amp;L'!$H$11:$H$84,'Master P&amp;L'!$B$11:$B$84,Check!B125)))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P&amp;L'!$H$11:$H$84,'Master P&amp;L'!$B$11:$B$84,Check!O125)))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IF(B126="","",IF(LEN(B126)&gt;9,SUMIFS(Options!$H$3:$H$28,Options!$B$3:$B$28,Check!B126),SUMIFS('Master P&amp;L'!$H$11:$H$84,'Master P&amp;L'!$B$11:$B$84,Check!B126)))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P&amp;L'!$H$11:$H$84,'Master P&amp;L'!$B$11:$B$84,Check!O126)))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IF(B127="","",IF(LEN(B127)&gt;9,SUMIFS(Options!$H$3:$H$28,Options!$B$3:$B$28,Check!B127),SUMIFS('Master P&amp;L'!$H$11:$H$84,'Master P&amp;L'!$B$11:$B$84,Check!B127)))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P&amp;L'!$H$11:$H$84,'Master P&amp;L'!$B$11:$B$84,Check!O127)))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IF(B128="","",IF(LEN(B128)&gt;9,SUMIFS(Options!$H$3:$H$28,Options!$B$3:$B$28,Check!B128),SUMIFS('Master P&amp;L'!$H$11:$H$84,'Master P&amp;L'!$B$11:$B$84,Check!B128)))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P&amp;L'!$H$11:$H$84,'Master P&amp;L'!$B$11:$B$84,Check!O128)))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IF(B129="","",IF(LEN(B129)&gt;9,SUMIFS(Options!$H$3:$H$28,Options!$B$3:$B$28,Check!B129),SUMIFS('Master P&amp;L'!$H$11:$H$84,'Master P&amp;L'!$B$11:$B$84,Check!B129)))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P&amp;L'!$H$11:$H$84,'Master P&amp;L'!$B$11:$B$84,Check!O129)))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IF(B130="","",IF(LEN(B130)&gt;9,SUMIFS(Options!$H$3:$H$28,Options!$B$3:$B$28,Check!B130),SUMIFS('Master P&amp;L'!$H$11:$H$84,'Master P&amp;L'!$B$11:$B$84,Check!B130)))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P&amp;L'!$H$11:$H$84,'Master P&amp;L'!$B$11:$B$84,Check!O130)))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IF(B131="","",IF(LEN(B131)&gt;9,SUMIFS(Options!$H$3:$H$28,Options!$B$3:$B$28,Check!B131),SUMIFS('Master P&amp;L'!$H$11:$H$84,'Master P&amp;L'!$B$11:$B$84,Check!B131)))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P&amp;L'!$H$11:$H$84,'Master P&amp;L'!$B$11:$B$84,Check!O131)))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IF(B132="","",IF(LEN(B132)&gt;9,SUMIFS(Options!$H$3:$H$28,Options!$B$3:$B$28,Check!B132),SUMIFS('Master P&amp;L'!$H$11:$H$84,'Master P&amp;L'!$B$11:$B$84,Check!B132)))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P&amp;L'!$H$11:$H$84,'Master P&amp;L'!$B$11:$B$84,Check!O132)))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IF(B133="","",IF(LEN(B133)&gt;9,SUMIFS(Options!$H$3:$H$28,Options!$B$3:$B$28,Check!B133),SUMIFS('Master P&amp;L'!$H$11:$H$84,'Master P&amp;L'!$B$11:$B$84,Check!B133)))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P&amp;L'!$H$11:$H$84,'Master P&amp;L'!$B$11:$B$84,Check!O133)))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IF(B134="","",IF(LEN(B134)&gt;9,SUMIFS(Options!$H$3:$H$28,Options!$B$3:$B$28,Check!B134),SUMIFS('Master P&amp;L'!$H$11:$H$84,'Master P&amp;L'!$B$11:$B$84,Check!B134)))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P&amp;L'!$H$11:$H$84,'Master P&amp;L'!$B$11:$B$84,Check!O134)))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P&amp;L'!$H$11:$H$84,'Master P&amp;L'!$B$11:$B$84,Check!B135)))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P&amp;L'!$H$11:$H$84,'Master P&amp;L'!$B$11:$B$84,Check!O135)))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IF(B136="","",IF(LEN(B136)&gt;9,SUMIFS(Options!$H$3:$H$28,Options!$B$3:$B$28,Check!B136),SUMIFS('Master P&amp;L'!$H$11:$H$84,'Master P&amp;L'!$B$11:$B$84,Check!B136)))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P&amp;L'!$H$11:$H$84,'Master P&amp;L'!$B$11:$B$84,Check!O136)))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IF(B137="","",IF(LEN(B137)&gt;9,SUMIFS(Options!$H$3:$H$28,Options!$B$3:$B$28,Check!B137),SUMIFS('Master P&amp;L'!$H$11:$H$84,'Master P&amp;L'!$B$11:$B$84,Check!B137)))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P&amp;L'!$H$11:$H$84,'Master P&amp;L'!$B$11:$B$84,Check!O137)))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IF(B138="","",IF(LEN(B138)&gt;9,SUMIFS(Options!$H$3:$H$28,Options!$B$3:$B$28,Check!B138),SUMIFS('Master P&amp;L'!$H$11:$H$84,'Master P&amp;L'!$B$11:$B$84,Check!B138)))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P&amp;L'!$H$11:$H$84,'Master P&amp;L'!$B$11:$B$84,Check!O138)))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IF(B139="","",IF(LEN(B139)&gt;9,SUMIFS(Options!$H$3:$H$28,Options!$B$3:$B$28,Check!B139),SUMIFS('Master P&amp;L'!$H$11:$H$84,'Master P&amp;L'!$B$11:$B$84,Check!B139)))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P&amp;L'!$H$11:$H$84,'Master P&amp;L'!$B$11:$B$84,Check!O139)))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IF(B140="","",IF(LEN(B140)&gt;9,SUMIFS(Options!$H$3:$H$28,Options!$B$3:$B$28,Check!B140),SUMIFS('Master P&amp;L'!$H$11:$H$84,'Master P&amp;L'!$B$11:$B$84,Check!B140)))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P&amp;L'!$H$11:$H$84,'Master P&amp;L'!$B$11:$B$84,Check!O140)))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IF(B141="","",IF(LEN(B141)&gt;9,SUMIFS(Options!$H$3:$H$28,Options!$B$3:$B$28,Check!B141),SUMIFS('Master P&amp;L'!$H$11:$H$84,'Master P&amp;L'!$B$11:$B$84,Check!B141)))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P&amp;L'!$H$11:$H$84,'Master P&amp;L'!$B$11:$B$84,Check!O141)))</f>
        <v/>
      </c>
      <c r="R141" s="217" t="str">
        <f t="shared" si="42"/>
        <v/>
      </c>
      <c r="S141" s="362" t="str">
        <f t="shared" si="37"/>
        <v/>
      </c>
      <c r="T141" t="s">
        <v>1771</v>
      </c>
    </row>
    <row r="142" spans="3:20">
      <c r="C142" s="233" t="str">
        <f>IF(B142="","",IF(LEN(B142)&gt;9,SUMIFS(Options!$H$3:$H$28,Options!$B$3:$B$28,Check!B142),SUMIFS('Master P&amp;L'!$H$11:$H$84,'Master P&amp;L'!$B$11:$B$84,Check!B142)))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P&amp;L'!$H$11:$H$84,'Master P&amp;L'!$B$11:$B$84,Check!O142)))</f>
        <v/>
      </c>
      <c r="R142" s="327" t="str">
        <f t="shared" si="42"/>
        <v/>
      </c>
      <c r="S142" s="362" t="str">
        <f t="shared" si="37"/>
        <v/>
      </c>
      <c r="T142" s="59" t="s">
        <v>1771</v>
      </c>
    </row>
    <row r="143" spans="3:20">
      <c r="C143" s="233" t="str">
        <f>IF(B143="","",IF(LEN(B143)&gt;9,SUMIFS(Options!$H$3:$H$28,Options!$B$3:$B$28,Check!B143),SUMIFS('Master P&amp;L'!$H$11:$H$84,'Master P&amp;L'!$B$11:$B$84,Check!B143)))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P&amp;L'!$H$11:$H$84,'Master P&amp;L'!$B$11:$B$84,Check!O143)))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IF(B144="","",IF(LEN(B144)&gt;9,SUMIFS(Options!$H$3:$H$28,Options!$B$3:$B$28,Check!B144),SUMIFS('Master P&amp;L'!$H$11:$H$84,'Master P&amp;L'!$B$11:$B$84,Check!B144)))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P&amp;L'!$H$11:$H$84,'Master P&amp;L'!$B$11:$B$84,Check!O144)))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IF(B145="","",IF(LEN(B145)&gt;9,SUMIFS(Options!$H$3:$H$28,Options!$B$3:$B$28,Check!B145),SUMIFS('Master P&amp;L'!$H$11:$H$84,'Master P&amp;L'!$B$11:$B$84,Check!B145)))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P&amp;L'!$H$11:$H$84,'Master P&amp;L'!$B$11:$B$84,Check!O145)))</f>
        <v/>
      </c>
      <c r="R145" s="327" t="str">
        <f t="shared" si="43"/>
        <v/>
      </c>
      <c r="S145" s="362" t="str">
        <f t="shared" si="37"/>
        <v/>
      </c>
      <c r="T145" s="59" t="s">
        <v>1771</v>
      </c>
    </row>
    <row r="146" spans="3:20">
      <c r="C146" s="233" t="str">
        <f>IF(B146="","",IF(LEN(B146)&gt;9,SUMIFS(Options!$H$3:$H$28,Options!$B$3:$B$28,Check!B146),SUMIFS('Master P&amp;L'!$H$11:$H$84,'Master P&amp;L'!$B$11:$B$84,Check!B146)))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P&amp;L'!$H$11:$H$84,'Master P&amp;L'!$B$11:$B$84,Check!O146)))</f>
        <v/>
      </c>
      <c r="R146" s="327" t="str">
        <f t="shared" si="43"/>
        <v/>
      </c>
      <c r="S146" s="362" t="str">
        <f t="shared" si="37"/>
        <v/>
      </c>
      <c r="T146" s="59" t="s">
        <v>1771</v>
      </c>
    </row>
    <row r="147" spans="3:20">
      <c r="C147" s="233" t="str">
        <f>IF(B147="","",IF(LEN(B147)&gt;9,SUMIFS(Options!$H$3:$H$28,Options!$B$3:$B$28,Check!B147),SUMIFS('Master P&amp;L'!$H$11:$H$84,'Master P&amp;L'!$B$11:$B$84,Check!B147)))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P&amp;L'!$H$11:$H$84,'Master P&amp;L'!$B$11:$B$84,Check!O147)))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IF(B148="","",IF(LEN(B148)&gt;9,SUMIFS(Options!$H$3:$H$28,Options!$B$3:$B$28,Check!B148),SUMIFS('Master P&amp;L'!$H$11:$H$84,'Master P&amp;L'!$B$11:$B$84,Check!B148)))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P&amp;L'!$H$11:$H$84,'Master P&amp;L'!$B$11:$B$84,Check!O148)))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IF(B149="","",IF(LEN(B149)&gt;9,SUMIFS(Options!$H$3:$H$28,Options!$B$3:$B$28,Check!B149),SUMIFS('Master P&amp;L'!$H$11:$H$84,'Master P&amp;L'!$B$11:$B$84,Check!B149)))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P&amp;L'!$H$11:$H$84,'Master P&amp;L'!$B$11:$B$84,Check!O149)))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IF(B150="","",IF(LEN(B150)&gt;9,SUMIFS(Options!$H$3:$H$28,Options!$B$3:$B$28,Check!B150),SUMIFS('Master P&amp;L'!$H$11:$H$84,'Master P&amp;L'!$B$11:$B$84,Check!B150)))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P&amp;L'!$H$11:$H$84,'Master P&amp;L'!$B$11:$B$84,Check!O150)))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IF(B151="","",IF(LEN(B151)&gt;9,SUMIFS(Options!$H$3:$H$28,Options!$B$3:$B$28,Check!B151),SUMIFS('Master P&amp;L'!$H$11:$H$84,'Master P&amp;L'!$B$11:$B$84,Check!B151)))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P&amp;L'!$H$11:$H$84,'Master P&amp;L'!$B$11:$B$84,Check!O151)))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IF(B152="","",IF(LEN(B152)&gt;9,SUMIFS(Options!$H$3:$H$28,Options!$B$3:$B$28,Check!B152),SUMIFS('Master P&amp;L'!$H$11:$H$84,'Master P&amp;L'!$B$11:$B$84,Check!B152)))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P&amp;L'!$H$11:$H$84,'Master P&amp;L'!$B$11:$B$84,Check!O152)))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IF(B153="","",IF(LEN(B153)&gt;9,SUMIFS(Options!$H$3:$H$28,Options!$B$3:$B$28,Check!B153),SUMIFS('Master P&amp;L'!$H$11:$H$84,'Master P&amp;L'!$B$11:$B$84,Check!B153)))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P&amp;L'!$H$11:$H$84,'Master P&amp;L'!$B$11:$B$84,Check!O153)))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IF(B154="","",IF(LEN(B154)&gt;9,SUMIFS(Options!$H$3:$H$28,Options!$B$3:$B$28,Check!B154),SUMIFS('Master P&amp;L'!$H$11:$H$84,'Master P&amp;L'!$B$11:$B$84,Check!B154)))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P&amp;L'!$H$11:$H$84,'Master P&amp;L'!$B$11:$B$84,Check!O154)))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IF(B155="","",IF(LEN(B155)&gt;9,SUMIFS(Options!$H$3:$H$28,Options!$B$3:$B$28,Check!B155),SUMIFS('Master P&amp;L'!$H$11:$H$84,'Master P&amp;L'!$B$11:$B$84,Check!B155)))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P&amp;L'!$H$11:$H$84,'Master P&amp;L'!$B$11:$B$84,Check!O155)))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IF(B156="","",IF(LEN(B156)&gt;9,SUMIFS(Options!$H$3:$H$28,Options!$B$3:$B$28,Check!B156),SUMIFS('Master P&amp;L'!$H$11:$H$84,'Master P&amp;L'!$B$11:$B$84,Check!B156)))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P&amp;L'!$H$11:$H$84,'Master P&amp;L'!$B$11:$B$84,Check!O156)))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IF(B157="","",IF(LEN(B157)&gt;9,SUMIFS(Options!$H$3:$H$28,Options!$B$3:$B$28,Check!B157),SUMIFS('Master P&amp;L'!$H$11:$H$84,'Master P&amp;L'!$B$11:$B$84,Check!B157)))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P&amp;L'!$H$11:$H$84,'Master P&amp;L'!$B$11:$B$84,Check!O157)))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IF(B158="","",IF(LEN(B158)&gt;9,SUMIFS(Options!$H$3:$H$28,Options!$B$3:$B$28,Check!B158),SUMIFS('Master P&amp;L'!$H$11:$H$84,'Master P&amp;L'!$B$11:$B$84,Check!B158)))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P&amp;L'!$H$11:$H$84,'Master P&amp;L'!$B$11:$B$84,Check!O158)))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IF(B159="","",IF(LEN(B159)&gt;9,SUMIFS(Options!$H$3:$H$28,Options!$B$3:$B$28,Check!B159),SUMIFS('Master P&amp;L'!$H$11:$H$84,'Master P&amp;L'!$B$11:$B$84,Check!B159)))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P&amp;L'!$H$11:$H$84,'Master P&amp;L'!$B$11:$B$84,Check!O159)))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IF(B160="","",IF(LEN(B160)&gt;9,SUMIFS(Options!$H$3:$H$28,Options!$B$3:$B$28,Check!B160),SUMIFS('Master P&amp;L'!$H$11:$H$84,'Master P&amp;L'!$B$11:$B$84,Check!B160)))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P&amp;L'!$H$11:$H$84,'Master P&amp;L'!$B$11:$B$84,Check!O160)))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IF(B161="","",IF(LEN(B161)&gt;9,SUMIFS(Options!$H$3:$H$28,Options!$B$3:$B$28,Check!B161),SUMIFS('Master P&amp;L'!$H$11:$H$84,'Master P&amp;L'!$B$11:$B$84,Check!B161)))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P&amp;L'!$H$11:$H$84,'Master P&amp;L'!$B$11:$B$84,Check!O161)))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IF(B162="","",IF(LEN(B162)&gt;9,SUMIFS(Options!$H$3:$H$28,Options!$B$3:$B$28,Check!B162),SUMIFS('Master P&amp;L'!$H$11:$H$84,'Master P&amp;L'!$B$11:$B$84,Check!B162)))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P&amp;L'!$H$11:$H$84,'Master P&amp;L'!$B$11:$B$84,Check!O162)))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IF(B163="","",IF(LEN(B163)&gt;9,SUMIFS(Options!$H$3:$H$28,Options!$B$3:$B$28,Check!B163),SUMIFS('Master P&amp;L'!$H$11:$H$84,'Master P&amp;L'!$B$11:$B$84,Check!B163)))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P&amp;L'!$H$11:$H$84,'Master P&amp;L'!$B$11:$B$84,Check!O163)))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IF(B164="","",IF(LEN(B164)&gt;9,SUMIFS(Options!$H$3:$H$28,Options!$B$3:$B$28,Check!B164),SUMIFS('Master P&amp;L'!$H$11:$H$84,'Master P&amp;L'!$B$11:$B$84,Check!B164)))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P&amp;L'!$H$11:$H$84,'Master P&amp;L'!$B$11:$B$84,Check!O164)))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IF(B165="","",IF(LEN(B165)&gt;9,SUMIFS(Options!$H$3:$H$28,Options!$B$3:$B$28,Check!B165),SUMIFS('Master P&amp;L'!$H$11:$H$84,'Master P&amp;L'!$B$11:$B$84,Check!B165)))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P&amp;L'!$H$11:$H$84,'Master P&amp;L'!$B$11:$B$84,Check!O165)))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IF(B166="","",IF(LEN(B166)&gt;9,SUMIFS(Options!$H$3:$H$28,Options!$B$3:$B$28,Check!B166),SUMIFS('Master P&amp;L'!$H$11:$H$84,'Master P&amp;L'!$B$11:$B$84,Check!B166)))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P&amp;L'!$H$11:$H$84,'Master P&amp;L'!$B$11:$B$84,Check!O166)))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IF(B167="","",IF(LEN(B167)&gt;9,SUMIFS(Options!$H$3:$H$28,Options!$B$3:$B$28,Check!B167),SUMIFS('Master P&amp;L'!$H$11:$H$84,'Master P&amp;L'!$B$11:$B$84,Check!B167)))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P&amp;L'!$H$11:$H$84,'Master P&amp;L'!$B$11:$B$84,Check!O167)))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IF(B168="","",IF(LEN(B168)&gt;9,SUMIFS(Options!$H$3:$H$28,Options!$B$3:$B$28,Check!B168),SUMIFS('Master P&amp;L'!$H$11:$H$84,'Master P&amp;L'!$B$11:$B$84,Check!B168)))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P&amp;L'!$H$11:$H$84,'Master P&amp;L'!$B$11:$B$84,Check!O168)))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IF(B169="","",IF(LEN(B169)&gt;9,SUMIFS(Options!$H$3:$H$28,Options!$B$3:$B$28,Check!B169),SUMIFS('Master P&amp;L'!$H$11:$H$84,'Master P&amp;L'!$B$11:$B$84,Check!B169)))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P&amp;L'!$H$11:$H$84,'Master P&amp;L'!$B$11:$B$84,Check!O169)))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IF(B170="","",IF(LEN(B170)&gt;9,SUMIFS(Options!$H$3:$H$28,Options!$B$3:$B$28,Check!B170),SUMIFS('Master P&amp;L'!$H$11:$H$84,'Master P&amp;L'!$B$11:$B$84,Check!B170)))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P&amp;L'!$H$11:$H$84,'Master P&amp;L'!$B$11:$B$84,Check!O170)))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IF(B171="","",IF(LEN(B171)&gt;9,SUMIFS(Options!$H$3:$H$28,Options!$B$3:$B$28,Check!B171),SUMIFS('Master P&amp;L'!$H$11:$H$84,'Master P&amp;L'!$B$11:$B$84,Check!B171)))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P&amp;L'!$H$11:$H$84,'Master P&amp;L'!$B$11:$B$84,Check!O171)))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IF(B172="","",IF(LEN(B172)&gt;9,SUMIFS(Options!$H$3:$H$28,Options!$B$3:$B$28,Check!B172),SUMIFS('Master P&amp;L'!$H$11:$H$84,'Master P&amp;L'!$B$11:$B$84,Check!B172)))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P&amp;L'!$H$11:$H$84,'Master P&amp;L'!$B$11:$B$84,Check!O172)))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IF(B173="","",IF(LEN(B173)&gt;9,SUMIFS(Options!$H$3:$H$28,Options!$B$3:$B$28,Check!B173),SUMIFS('Master P&amp;L'!$H$11:$H$84,'Master P&amp;L'!$B$11:$B$84,Check!B173)))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P&amp;L'!$H$11:$H$84,'Master P&amp;L'!$B$11:$B$84,Check!O173)))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IF(B174="","",IF(LEN(B174)&gt;9,SUMIFS(Options!$H$3:$H$28,Options!$B$3:$B$28,Check!B174),SUMIFS('Master P&amp;L'!$H$11:$H$84,'Master P&amp;L'!$B$11:$B$84,Check!B174)))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P&amp;L'!$H$11:$H$84,'Master P&amp;L'!$B$11:$B$84,Check!O174)))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IF(B175="","",IF(LEN(B175)&gt;9,SUMIFS(Options!$H$3:$H$28,Options!$B$3:$B$28,Check!B175),SUMIFS('Master P&amp;L'!$H$11:$H$84,'Master P&amp;L'!$B$11:$B$84,Check!B175)))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P&amp;L'!$H$11:$H$84,'Master P&amp;L'!$B$11:$B$84,Check!O175)))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IF(B176="","",IF(LEN(B176)&gt;9,SUMIFS(Options!$H$3:$H$28,Options!$B$3:$B$28,Check!B176),SUMIFS('Master P&amp;L'!$H$11:$H$84,'Master P&amp;L'!$B$11:$B$84,Check!B176)))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P&amp;L'!$H$11:$H$84,'Master P&amp;L'!$B$11:$B$84,Check!O176)))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IF(B177="","",IF(LEN(B177)&gt;9,SUMIFS(Options!$H$3:$H$28,Options!$B$3:$B$28,Check!B177),SUMIFS('Master P&amp;L'!$H$11:$H$84,'Master P&amp;L'!$B$11:$B$84,Check!B177)))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P&amp;L'!$H$11:$H$84,'Master P&amp;L'!$B$11:$B$84,Check!O177)))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IF(B178="","",IF(LEN(B178)&gt;9,SUMIFS(Options!$H$3:$H$28,Options!$B$3:$B$28,Check!B178),SUMIFS('Master P&amp;L'!$H$11:$H$84,'Master P&amp;L'!$B$11:$B$84,Check!B178)))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P&amp;L'!$H$11:$H$84,'Master P&amp;L'!$B$11:$B$84,Check!O178)))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IF(B179="","",IF(LEN(B179)&gt;9,SUMIFS(Options!$H$3:$H$28,Options!$B$3:$B$28,Check!B179),SUMIFS('Master P&amp;L'!$H$11:$H$84,'Master P&amp;L'!$B$11:$B$84,Check!B179)))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P&amp;L'!$H$11:$H$84,'Master P&amp;L'!$B$11:$B$84,Check!O179)))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IF(B180="","",IF(LEN(B180)&gt;9,SUMIFS(Options!$H$3:$H$28,Options!$B$3:$B$28,Check!B180),SUMIFS('Master P&amp;L'!$H$11:$H$84,'Master P&amp;L'!$B$11:$B$84,Check!B180)))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P&amp;L'!$H$11:$H$84,'Master P&amp;L'!$B$11:$B$84,Check!O180)))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IF(B181="","",IF(LEN(B181)&gt;9,SUMIFS(Options!$H$3:$H$28,Options!$B$3:$B$28,Check!B181),SUMIFS('Master P&amp;L'!$H$11:$H$84,'Master P&amp;L'!$B$11:$B$84,Check!B181)))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P&amp;L'!$H$11:$H$84,'Master P&amp;L'!$B$11:$B$84,Check!O181)))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IF(B182="","",IF(LEN(B182)&gt;9,SUMIFS(Options!$H$3:$H$28,Options!$B$3:$B$28,Check!B182),SUMIFS('Master P&amp;L'!$H$11:$H$84,'Master P&amp;L'!$B$11:$B$84,Check!B182)))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P&amp;L'!$H$11:$H$84,'Master P&amp;L'!$B$11:$B$84,Check!O182)))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IF(B183="","",IF(LEN(B183)&gt;9,SUMIFS(Options!$H$3:$H$28,Options!$B$3:$B$28,Check!B183),SUMIFS('Master P&amp;L'!$H$11:$H$84,'Master P&amp;L'!$B$11:$B$84,Check!B183)))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P&amp;L'!$H$11:$H$84,'Master P&amp;L'!$B$11:$B$84,Check!O183)))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IF(B184="","",IF(LEN(B184)&gt;9,SUMIFS(Options!$H$3:$H$28,Options!$B$3:$B$28,Check!B184),SUMIFS('Master P&amp;L'!$H$11:$H$84,'Master P&amp;L'!$B$11:$B$84,Check!B184)))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P&amp;L'!$H$11:$H$84,'Master P&amp;L'!$B$11:$B$84,Check!O184)))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IF(B185="","",IF(LEN(B185)&gt;9,SUMIFS(Options!$H$3:$H$28,Options!$B$3:$B$28,Check!B185),SUMIFS('Master P&amp;L'!$H$11:$H$84,'Master P&amp;L'!$B$11:$B$84,Check!B185)))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P&amp;L'!$H$11:$H$84,'Master P&amp;L'!$B$11:$B$84,Check!O185)))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IF(B186="","",IF(LEN(B186)&gt;9,SUMIFS(Options!$H$3:$H$28,Options!$B$3:$B$28,Check!B186),SUMIFS('Master P&amp;L'!$H$11:$H$84,'Master P&amp;L'!$B$11:$B$84,Check!B186)))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P&amp;L'!$H$11:$H$84,'Master P&amp;L'!$B$11:$B$84,Check!O186)))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IF(B187="","",IF(LEN(B187)&gt;9,SUMIFS(Options!$H$3:$H$28,Options!$B$3:$B$28,Check!B187),SUMIFS('Master P&amp;L'!$H$11:$H$84,'Master P&amp;L'!$B$11:$B$84,Check!B187)))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P&amp;L'!$H$11:$H$84,'Master P&amp;L'!$B$11:$B$84,Check!O187)))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IF(B188="","",IF(LEN(B188)&gt;9,SUMIFS(Options!$H$3:$H$28,Options!$B$3:$B$28,Check!B188),SUMIFS('Master P&amp;L'!$H$11:$H$84,'Master P&amp;L'!$B$11:$B$84,Check!B188)))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P&amp;L'!$H$11:$H$84,'Master P&amp;L'!$B$11:$B$84,Check!O188)))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IF(B189="","",IF(LEN(B189)&gt;9,SUMIFS(Options!$H$3:$H$28,Options!$B$3:$B$28,Check!B189),SUMIFS('Master P&amp;L'!$H$11:$H$84,'Master P&amp;L'!$B$11:$B$84,Check!B189)))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P&amp;L'!$H$11:$H$84,'Master P&amp;L'!$B$11:$B$84,Check!O189)))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IF(B190="","",IF(LEN(B190)&gt;9,SUMIFS(Options!$H$3:$H$28,Options!$B$3:$B$28,Check!B190),SUMIFS('Master P&amp;L'!$H$11:$H$84,'Master P&amp;L'!$B$11:$B$84,Check!B190)))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P&amp;L'!$H$11:$H$84,'Master P&amp;L'!$B$11:$B$84,Check!O190)))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IF(B191="","",IF(LEN(B191)&gt;9,SUMIFS(Options!$H$3:$H$28,Options!$B$3:$B$28,Check!B191),SUMIFS('Master P&amp;L'!$H$11:$H$84,'Master P&amp;L'!$B$11:$B$84,Check!B191)))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P&amp;L'!$H$11:$H$84,'Master P&amp;L'!$B$11:$B$84,Check!O191)))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P&amp;L'!$H$11:$H$84,'Master P&amp;L'!$B$11:$B$84,Check!O192)))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P&amp;L'!$H$11:$H$84,'Master P&amp;L'!$B$11:$B$84,Check!O193)))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P&amp;L'!$H$11:$H$84,'Master P&amp;L'!$B$11:$B$84,Check!O194)))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P&amp;L'!$H$11:$H$84,'Master P&amp;L'!$B$11:$B$84,Check!O195)))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P&amp;L'!$H$11:$H$84,'Master P&amp;L'!$B$11:$B$84,Check!O196)))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P&amp;L'!$H$11:$H$84,'Master P&amp;L'!$B$11:$B$84,Check!O197)))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P&amp;L'!$H$11:$H$84,'Master P&amp;L'!$B$11:$B$84,Check!O198)))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P&amp;L'!$H$11:$H$84,'Master P&amp;L'!$B$11:$B$84,Check!O199)))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P&amp;L'!$H$11:$H$84,'Master P&amp;L'!$B$11:$B$84,Check!O200)))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P&amp;L'!$H$11:$H$84,'Master P&amp;L'!$B$11:$B$84,Check!O201)))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P&amp;L'!$H$11:$H$84,'Master P&amp;L'!$B$11:$B$84,Check!O202)))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P&amp;L'!$H$11:$H$84,'Master P&amp;L'!$B$11:$B$84,Check!O203)))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P&amp;L'!$H$11:$H$84,'Master P&amp;L'!$B$11:$B$84,Check!O204)))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P&amp;L'!$H$11:$H$84,'Master P&amp;L'!$B$11:$B$84,Check!O205)))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P&amp;L'!$H$11:$H$84,'Master P&amp;L'!$B$11:$B$84,Check!O206)))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6" priority="4">
      <formula>J5&lt;&gt;0</formula>
    </cfRule>
  </conditionalFormatting>
  <conditionalFormatting sqref="E5:E191">
    <cfRule type="expression" dxfId="5" priority="3">
      <formula>E5&lt;&gt;0</formula>
    </cfRule>
  </conditionalFormatting>
  <conditionalFormatting sqref="S5:S206">
    <cfRule type="cellIs" dxfId="4" priority="2" operator="lessThan">
      <formula>0.9</formula>
    </cfRule>
  </conditionalFormatting>
  <conditionalFormatting sqref="S5:S198">
    <cfRule type="expression" dxfId="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3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42578125" style="213" bestFit="1" customWidth="1" outlineLevel="1"/>
    <col min="10" max="10" width="9.140625" style="213"/>
    <col min="11" max="11" width="21" style="213" bestFit="1" customWidth="1"/>
    <col min="12" max="12" width="41.285156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7026</v>
      </c>
      <c r="I2" s="213">
        <v>7026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7026</v>
      </c>
      <c r="O2" s="215">
        <f>IF(E2="","",I2)</f>
        <v>7026</v>
      </c>
    </row>
    <row r="3" spans="5:15">
      <c r="E3" s="213" t="s">
        <v>317</v>
      </c>
      <c r="F3" s="213" t="s">
        <v>137</v>
      </c>
      <c r="G3" s="213" t="s">
        <v>282</v>
      </c>
      <c r="H3" s="213">
        <v>5452</v>
      </c>
      <c r="I3" s="213">
        <v>5452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5452</v>
      </c>
      <c r="O3" s="215">
        <f t="shared" ref="O3:O66" si="3">IF(E3="","",I3)</f>
        <v>5452</v>
      </c>
    </row>
    <row r="4" spans="5:15">
      <c r="E4" s="213" t="s">
        <v>318</v>
      </c>
      <c r="F4" s="213" t="s">
        <v>2207</v>
      </c>
      <c r="G4" s="213" t="s">
        <v>282</v>
      </c>
      <c r="H4" s="213">
        <v>3392.35</v>
      </c>
      <c r="I4" s="213">
        <v>3392.35</v>
      </c>
      <c r="K4" s="214" t="str">
        <f t="shared" si="0"/>
        <v>Provisions and Costs</v>
      </c>
      <c r="L4" s="214" t="str">
        <f>IF(E4="","",IF(COUNTIFS(Table2[[#All],[De (Lote)]],Input_APM!F4)&gt;0,INDEX(Table2[[#All],[Para (Ticker Daniel)]],MATCH(Input_APM!F4,Table2[[#All],[De (Lote)]],0)),Input_APM!F4))</f>
        <v>AVGO DIVIDEND_</v>
      </c>
      <c r="M4" s="214" t="str">
        <f t="shared" si="1"/>
        <v>EQTY.IntlUS.off</v>
      </c>
      <c r="N4" s="215">
        <f t="shared" si="2"/>
        <v>3392.35</v>
      </c>
      <c r="O4" s="215">
        <f t="shared" si="3"/>
        <v>3392.35</v>
      </c>
    </row>
    <row r="5" spans="5:15">
      <c r="E5" s="213" t="s">
        <v>319</v>
      </c>
      <c r="F5" s="213" t="s">
        <v>2179</v>
      </c>
      <c r="G5" s="213" t="s">
        <v>282</v>
      </c>
      <c r="H5" s="213">
        <v>48</v>
      </c>
      <c r="I5" s="213">
        <v>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C350</v>
      </c>
      <c r="M5" s="214" t="str">
        <f t="shared" si="1"/>
        <v>EQTY.IntlUS.off</v>
      </c>
      <c r="N5" s="215">
        <f t="shared" si="2"/>
        <v>48</v>
      </c>
      <c r="O5" s="215">
        <f t="shared" si="3"/>
        <v>48</v>
      </c>
    </row>
    <row r="6" spans="5:15">
      <c r="E6" s="213" t="s">
        <v>319</v>
      </c>
      <c r="F6" s="213" t="s">
        <v>2181</v>
      </c>
      <c r="G6" s="213" t="s">
        <v>282</v>
      </c>
      <c r="H6" s="213">
        <v>-48</v>
      </c>
      <c r="I6" s="213">
        <v>-48</v>
      </c>
      <c r="K6" s="214" t="str">
        <f t="shared" si="0"/>
        <v>US Equity Options</v>
      </c>
      <c r="L6" s="214" t="str">
        <f>IF(E6="","",IF(COUNTIFS(Table2[[#All],[De (Lote)]],Input_APM!F6)&gt;0,INDEX(Table2[[#All],[Para (Ticker Daniel)]],MATCH(Input_APM!F6,Table2[[#All],[De (Lote)]],0)),Input_APM!F6))</f>
        <v>AVGO US 06/18/26 C410</v>
      </c>
      <c r="M6" s="214" t="str">
        <f t="shared" si="1"/>
        <v>EQTY.IntlUS.off</v>
      </c>
      <c r="N6" s="215">
        <f t="shared" si="2"/>
        <v>-48</v>
      </c>
      <c r="O6" s="215">
        <f t="shared" si="3"/>
        <v>-48</v>
      </c>
    </row>
    <row r="7" spans="5:15">
      <c r="E7" s="213" t="s">
        <v>321</v>
      </c>
      <c r="F7" s="213" t="s">
        <v>295</v>
      </c>
      <c r="G7" s="213" t="s">
        <v>282</v>
      </c>
      <c r="H7" s="213">
        <v>-0.28999999999999998</v>
      </c>
      <c r="I7" s="213">
        <v>-0.28999999999999998</v>
      </c>
      <c r="K7" s="214" t="str">
        <f t="shared" si="0"/>
        <v>Cash</v>
      </c>
      <c r="L7" s="214" t="str">
        <f>IF(E7="","",IF(COUNTIFS(Table2[[#All],[De (Lote)]],Input_APM!F7)&gt;0,INDEX(Table2[[#All],[Para (Ticker Daniel)]],MATCH(Input_APM!F7,Table2[[#All],[De (Lote)]],0)),Input_APM!F7))</f>
        <v>Cash CAD</v>
      </c>
      <c r="M7" s="214" t="str">
        <f t="shared" si="1"/>
        <v>EQTY.IntlUS.off</v>
      </c>
      <c r="N7" s="215">
        <f t="shared" si="2"/>
        <v>-0.28999999999999998</v>
      </c>
      <c r="O7" s="215">
        <f t="shared" si="3"/>
        <v>-0.28999999999999998</v>
      </c>
    </row>
    <row r="8" spans="5:15">
      <c r="E8" s="213" t="s">
        <v>321</v>
      </c>
      <c r="F8" s="213" t="s">
        <v>296</v>
      </c>
      <c r="G8" s="213" t="s">
        <v>283</v>
      </c>
      <c r="H8" s="213">
        <v>0.39</v>
      </c>
      <c r="I8" s="213">
        <v>0.39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CHF</v>
      </c>
      <c r="M8" s="214" t="str">
        <f t="shared" si="1"/>
        <v>EQTY.InternacionalUS2.off</v>
      </c>
      <c r="N8" s="215">
        <f t="shared" si="2"/>
        <v>0.39</v>
      </c>
      <c r="O8" s="215">
        <f t="shared" si="3"/>
        <v>0.39</v>
      </c>
    </row>
    <row r="9" spans="5:15">
      <c r="E9" s="213" t="s">
        <v>321</v>
      </c>
      <c r="F9" s="213" t="s">
        <v>296</v>
      </c>
      <c r="G9" s="213" t="s">
        <v>282</v>
      </c>
      <c r="H9" s="213">
        <v>-34454.449999999997</v>
      </c>
      <c r="I9" s="213">
        <v>-34454.449999999997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EQTY.IntlUS.off</v>
      </c>
      <c r="N9" s="215">
        <f t="shared" si="2"/>
        <v>-34454.449999999997</v>
      </c>
      <c r="O9" s="215">
        <f t="shared" si="3"/>
        <v>-34454.449999999997</v>
      </c>
    </row>
    <row r="10" spans="5:15">
      <c r="E10" s="213" t="s">
        <v>321</v>
      </c>
      <c r="F10" s="213" t="s">
        <v>297</v>
      </c>
      <c r="G10" s="213" t="s">
        <v>282</v>
      </c>
      <c r="H10" s="213">
        <v>-0.36</v>
      </c>
      <c r="I10" s="213">
        <v>-0.36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CNH</v>
      </c>
      <c r="M10" s="214" t="str">
        <f t="shared" si="1"/>
        <v>EQTY.IntlUS.off</v>
      </c>
      <c r="N10" s="215">
        <f t="shared" si="2"/>
        <v>-0.36</v>
      </c>
      <c r="O10" s="215">
        <f t="shared" si="3"/>
        <v>-0.36</v>
      </c>
    </row>
    <row r="11" spans="5:15">
      <c r="E11" s="213" t="s">
        <v>321</v>
      </c>
      <c r="F11" s="213" t="s">
        <v>2208</v>
      </c>
      <c r="G11" s="213" t="s">
        <v>283</v>
      </c>
      <c r="H11" s="213">
        <v>-0.19</v>
      </c>
      <c r="I11" s="213">
        <v>-0.19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CNY</v>
      </c>
      <c r="M11" s="214" t="str">
        <f t="shared" si="1"/>
        <v>EQTY.InternacionalUS2.off</v>
      </c>
      <c r="N11" s="215">
        <f t="shared" si="2"/>
        <v>-0.19</v>
      </c>
      <c r="O11" s="215">
        <f t="shared" si="3"/>
        <v>-0.19</v>
      </c>
    </row>
    <row r="12" spans="5:15">
      <c r="E12" s="213" t="s">
        <v>321</v>
      </c>
      <c r="F12" s="213" t="s">
        <v>2208</v>
      </c>
      <c r="G12" s="213" t="s">
        <v>282</v>
      </c>
      <c r="H12" s="213">
        <v>-143145.81</v>
      </c>
      <c r="I12" s="213">
        <v>-143145.81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EQTY.IntlUS.off</v>
      </c>
      <c r="N12" s="215">
        <f t="shared" si="2"/>
        <v>-143145.81</v>
      </c>
      <c r="O12" s="215">
        <f t="shared" si="3"/>
        <v>-143145.81</v>
      </c>
    </row>
    <row r="13" spans="5:15">
      <c r="E13" s="213" t="s">
        <v>321</v>
      </c>
      <c r="F13" s="213" t="s">
        <v>298</v>
      </c>
      <c r="G13" s="213" t="s">
        <v>283</v>
      </c>
      <c r="H13" s="213">
        <v>-0.15</v>
      </c>
      <c r="I13" s="213">
        <v>-0.15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EUR</v>
      </c>
      <c r="M13" s="214" t="str">
        <f t="shared" si="1"/>
        <v>EQTY.InternacionalUS2.off</v>
      </c>
      <c r="N13" s="215">
        <f t="shared" si="2"/>
        <v>-0.15</v>
      </c>
      <c r="O13" s="215">
        <f t="shared" si="3"/>
        <v>-0.15</v>
      </c>
    </row>
    <row r="14" spans="5:15">
      <c r="E14" s="213" t="s">
        <v>321</v>
      </c>
      <c r="F14" s="213" t="s">
        <v>298</v>
      </c>
      <c r="G14" s="213" t="s">
        <v>282</v>
      </c>
      <c r="H14" s="213">
        <v>42629.42</v>
      </c>
      <c r="I14" s="213">
        <v>42629.42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EQTY.IntlUS.off</v>
      </c>
      <c r="N14" s="215">
        <f t="shared" si="2"/>
        <v>42629.42</v>
      </c>
      <c r="O14" s="215">
        <f t="shared" si="3"/>
        <v>42629.42</v>
      </c>
    </row>
    <row r="15" spans="5:15">
      <c r="E15" s="213" t="s">
        <v>321</v>
      </c>
      <c r="F15" s="213" t="s">
        <v>299</v>
      </c>
      <c r="G15" s="213" t="s">
        <v>282</v>
      </c>
      <c r="H15" s="213">
        <v>-0.47</v>
      </c>
      <c r="I15" s="213">
        <v>-0.47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GBP</v>
      </c>
      <c r="M15" s="214" t="str">
        <f t="shared" si="1"/>
        <v>EQTY.IntlUS.off</v>
      </c>
      <c r="N15" s="215">
        <f t="shared" si="2"/>
        <v>-0.47</v>
      </c>
      <c r="O15" s="215">
        <f t="shared" si="3"/>
        <v>-0.47</v>
      </c>
    </row>
    <row r="16" spans="5:15">
      <c r="E16" s="213" t="s">
        <v>321</v>
      </c>
      <c r="F16" s="213" t="s">
        <v>300</v>
      </c>
      <c r="G16" s="213" t="s">
        <v>283</v>
      </c>
      <c r="H16" s="213">
        <v>0.2</v>
      </c>
      <c r="I16" s="213">
        <v>0.2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HKD</v>
      </c>
      <c r="M16" s="214" t="str">
        <f t="shared" si="1"/>
        <v>EQTY.InternacionalUS2.off</v>
      </c>
      <c r="N16" s="215">
        <f t="shared" si="2"/>
        <v>0.2</v>
      </c>
      <c r="O16" s="215">
        <f t="shared" si="3"/>
        <v>0.2</v>
      </c>
    </row>
    <row r="17" spans="5:15">
      <c r="E17" s="213" t="s">
        <v>321</v>
      </c>
      <c r="F17" s="213" t="s">
        <v>300</v>
      </c>
      <c r="G17" s="213" t="s">
        <v>282</v>
      </c>
      <c r="H17" s="213">
        <v>-341409.97</v>
      </c>
      <c r="I17" s="213">
        <v>-341409.97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EQTY.IntlUS.off</v>
      </c>
      <c r="N17" s="215">
        <f t="shared" si="2"/>
        <v>-341409.97</v>
      </c>
      <c r="O17" s="215">
        <f t="shared" si="3"/>
        <v>-341409.97</v>
      </c>
    </row>
    <row r="18" spans="5:15">
      <c r="E18" s="213" t="s">
        <v>321</v>
      </c>
      <c r="F18" s="213" t="s">
        <v>301</v>
      </c>
      <c r="G18" s="213" t="s">
        <v>282</v>
      </c>
      <c r="H18" s="213">
        <v>1.000005E-2</v>
      </c>
      <c r="I18" s="213">
        <v>1.000005E-2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KRW</v>
      </c>
      <c r="M18" s="214" t="str">
        <f t="shared" si="1"/>
        <v>EQTY.IntlUS.off</v>
      </c>
      <c r="N18" s="215">
        <f t="shared" si="2"/>
        <v>1.000005E-2</v>
      </c>
      <c r="O18" s="215">
        <f t="shared" si="3"/>
        <v>1.000005E-2</v>
      </c>
    </row>
    <row r="19" spans="5:15">
      <c r="E19" s="213" t="s">
        <v>321</v>
      </c>
      <c r="F19" s="213" t="s">
        <v>302</v>
      </c>
      <c r="G19" s="213" t="s">
        <v>282</v>
      </c>
      <c r="H19" s="213">
        <v>-439481.42564685002</v>
      </c>
      <c r="I19" s="213">
        <v>4.3531500000000001E-3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USD</v>
      </c>
      <c r="M19" s="214" t="str">
        <f t="shared" si="1"/>
        <v>EQTY.IntlUS.off</v>
      </c>
      <c r="N19" s="215">
        <f t="shared" si="2"/>
        <v>-439481.42564685002</v>
      </c>
      <c r="O19" s="215">
        <f t="shared" si="3"/>
        <v>4.3531500000000001E-3</v>
      </c>
    </row>
    <row r="20" spans="5:15">
      <c r="E20" s="213" t="s">
        <v>478</v>
      </c>
      <c r="F20" s="213" t="s">
        <v>1916</v>
      </c>
      <c r="G20" s="213" t="s">
        <v>282</v>
      </c>
      <c r="H20" s="213">
        <v>4625000</v>
      </c>
      <c r="I20" s="213">
        <v>4625000</v>
      </c>
      <c r="K20" s="214" t="str">
        <f t="shared" si="0"/>
        <v>CDS</v>
      </c>
      <c r="L20" s="214" t="str">
        <f>IF(E20="","",IF(COUNTIFS(Table2[[#All],[De (Lote)]],Input_APM!F20)&gt;0,INDEX(Table2[[#All],[Para (Ticker Daniel)]],MATCH(Input_APM!F20,Table2[[#All],[De (Lote)]],0)),Input_APM!F20))</f>
        <v>CHINAGOV 12/20/30</v>
      </c>
      <c r="M20" s="214" t="str">
        <f t="shared" si="1"/>
        <v>EQTY.IntlUS.off</v>
      </c>
      <c r="N20" s="215">
        <f t="shared" si="2"/>
        <v>4625000</v>
      </c>
      <c r="O20" s="215">
        <f t="shared" si="3"/>
        <v>4625000</v>
      </c>
    </row>
    <row r="21" spans="5:15">
      <c r="E21" s="213" t="s">
        <v>318</v>
      </c>
      <c r="F21" s="213" t="s">
        <v>1776</v>
      </c>
      <c r="G21" s="213" t="s">
        <v>283</v>
      </c>
      <c r="H21" s="213">
        <v>-0.01</v>
      </c>
      <c r="I21" s="213">
        <v>-0.01</v>
      </c>
      <c r="K21" s="214" t="str">
        <f t="shared" si="0"/>
        <v>Provisions and Costs</v>
      </c>
      <c r="L21" s="214" t="str">
        <f>IF(E21="","",IF(COUNTIFS(Table2[[#All],[De (Lote)]],Input_APM!F21)&gt;0,INDEX(Table2[[#All],[Para (Ticker Daniel)]],MATCH(Input_APM!F21,Table2[[#All],[De (Lote)]],0)),Input_APM!F21))</f>
        <v>CRM DIVIDEND_</v>
      </c>
      <c r="M21" s="214" t="str">
        <f t="shared" si="1"/>
        <v>EQTY.InternacionalUS2.off</v>
      </c>
      <c r="N21" s="215">
        <f t="shared" si="2"/>
        <v>-0.01</v>
      </c>
      <c r="O21" s="215">
        <f t="shared" si="3"/>
        <v>-0.01</v>
      </c>
    </row>
    <row r="22" spans="5:15">
      <c r="E22" s="213" t="s">
        <v>318</v>
      </c>
      <c r="F22" s="213" t="s">
        <v>1776</v>
      </c>
      <c r="G22" s="213" t="s">
        <v>282</v>
      </c>
      <c r="H22" s="213">
        <v>0.01</v>
      </c>
      <c r="I22" s="213">
        <v>0.01</v>
      </c>
      <c r="K22" s="214" t="str">
        <f t="shared" si="0"/>
        <v>Provisions and Costs</v>
      </c>
      <c r="L22" s="214" t="str">
        <f>IF(E22="","",IF(COUNTIFS(Table2[[#All],[De (Lote)]],Input_APM!F22)&gt;0,INDEX(Table2[[#All],[Para (Ticker Daniel)]],MATCH(Input_APM!F22,Table2[[#All],[De (Lote)]],0)),Input_APM!F22))</f>
        <v>CRM DIVIDEND_</v>
      </c>
      <c r="M22" s="214" t="str">
        <f t="shared" si="1"/>
        <v>EQTY.IntlUS.off</v>
      </c>
      <c r="N22" s="215">
        <f t="shared" si="2"/>
        <v>0.01</v>
      </c>
      <c r="O22" s="215">
        <f t="shared" si="3"/>
        <v>0.01</v>
      </c>
    </row>
    <row r="23" spans="5:15">
      <c r="E23" s="213" t="s">
        <v>320</v>
      </c>
      <c r="F23" s="213" t="s">
        <v>1755</v>
      </c>
      <c r="G23" s="213" t="s">
        <v>282</v>
      </c>
      <c r="H23" s="213">
        <v>26957</v>
      </c>
      <c r="I23" s="213">
        <v>24592</v>
      </c>
      <c r="K23" s="214" t="str">
        <f t="shared" si="0"/>
        <v>ETF</v>
      </c>
      <c r="L23" s="214" t="str">
        <f>IF(E23="","",IF(COUNTIFS(Table2[[#All],[De (Lote)]],Input_APM!F23)&gt;0,INDEX(Table2[[#All],[Para (Ticker Daniel)]],MATCH(Input_APM!F23,Table2[[#All],[De (Lote)]],0)),Input_APM!F23))</f>
        <v>EWY</v>
      </c>
      <c r="M23" s="214" t="str">
        <f t="shared" si="1"/>
        <v>EQTY.IntlUS.off</v>
      </c>
      <c r="N23" s="215">
        <f t="shared" si="2"/>
        <v>26957</v>
      </c>
      <c r="O23" s="215">
        <f t="shared" si="3"/>
        <v>24592</v>
      </c>
    </row>
    <row r="24" spans="5:15">
      <c r="E24" s="213" t="s">
        <v>320</v>
      </c>
      <c r="F24" s="213" t="s">
        <v>131</v>
      </c>
      <c r="G24" s="213" t="s">
        <v>282</v>
      </c>
      <c r="H24" s="213">
        <v>5393</v>
      </c>
      <c r="I24" s="213">
        <v>2729</v>
      </c>
      <c r="K24" s="214" t="str">
        <f t="shared" si="0"/>
        <v>ETF</v>
      </c>
      <c r="L24" s="214" t="str">
        <f>IF(E24="","",IF(COUNTIFS(Table2[[#All],[De (Lote)]],Input_APM!F24)&gt;0,INDEX(Table2[[#All],[Para (Ticker Daniel)]],MATCH(Input_APM!F24,Table2[[#All],[De (Lote)]],0)),Input_APM!F24))</f>
        <v>GDX</v>
      </c>
      <c r="M24" s="214" t="str">
        <f t="shared" si="1"/>
        <v>EQTY.IntlUS.off</v>
      </c>
      <c r="N24" s="215">
        <f t="shared" si="2"/>
        <v>5393</v>
      </c>
      <c r="O24" s="215">
        <f t="shared" si="3"/>
        <v>2729</v>
      </c>
    </row>
    <row r="25" spans="5:15">
      <c r="E25" s="213" t="s">
        <v>325</v>
      </c>
      <c r="F25" s="213" t="s">
        <v>1900</v>
      </c>
      <c r="G25" s="213" t="s">
        <v>282</v>
      </c>
      <c r="H25" s="213">
        <v>276451</v>
      </c>
      <c r="I25" s="213">
        <v>276451</v>
      </c>
      <c r="K25" s="214" t="str">
        <f t="shared" si="0"/>
        <v>Basket Index Options</v>
      </c>
      <c r="L25" s="214" t="str">
        <f>IF(E25="","",IF(COUNTIFS(Table2[[#All],[De (Lote)]],Input_APM!F25)&gt;0,INDEX(Table2[[#All],[Para (Ticker Daniel)]],MATCH(Input_APM!F25,Table2[[#All],[De (Lote)]],0)),Input_APM!F25))</f>
        <v>GSC1000P 03/20/26 C104</v>
      </c>
      <c r="M25" s="214" t="str">
        <f t="shared" si="1"/>
        <v>EQTY.IntlUS.off</v>
      </c>
      <c r="N25" s="215">
        <f t="shared" si="2"/>
        <v>276451</v>
      </c>
      <c r="O25" s="215">
        <f t="shared" si="3"/>
        <v>276451</v>
      </c>
    </row>
    <row r="26" spans="5:15">
      <c r="E26" s="213" t="s">
        <v>325</v>
      </c>
      <c r="F26" s="213" t="s">
        <v>1901</v>
      </c>
      <c r="G26" s="213" t="s">
        <v>282</v>
      </c>
      <c r="H26" s="213">
        <v>-276451</v>
      </c>
      <c r="I26" s="213">
        <v>-276451</v>
      </c>
      <c r="K26" s="214" t="str">
        <f t="shared" si="0"/>
        <v>Basket Index Options</v>
      </c>
      <c r="L26" s="214" t="str">
        <f>IF(E26="","",IF(COUNTIFS(Table2[[#All],[De (Lote)]],Input_APM!F26)&gt;0,INDEX(Table2[[#All],[Para (Ticker Daniel)]],MATCH(Input_APM!F26,Table2[[#All],[De (Lote)]],0)),Input_APM!F26))</f>
        <v>GSC1000P 03/20/26 C119</v>
      </c>
      <c r="M26" s="214" t="str">
        <f t="shared" si="1"/>
        <v>EQTY.IntlUS.off</v>
      </c>
      <c r="N26" s="215">
        <f t="shared" si="2"/>
        <v>-276451</v>
      </c>
      <c r="O26" s="215">
        <f t="shared" si="3"/>
        <v>-276451</v>
      </c>
    </row>
    <row r="27" spans="5:15">
      <c r="E27" s="213" t="s">
        <v>317</v>
      </c>
      <c r="F27" s="213" t="s">
        <v>2114</v>
      </c>
      <c r="G27" s="213" t="s">
        <v>282</v>
      </c>
      <c r="H27" s="213">
        <v>124</v>
      </c>
      <c r="I27" s="213">
        <v>124</v>
      </c>
      <c r="K27" s="214" t="str">
        <f t="shared" si="0"/>
        <v>US Equity</v>
      </c>
      <c r="L27" s="214" t="str">
        <f>IF(E27="","",IF(COUNTIFS(Table2[[#All],[De (Lote)]],Input_APM!F27)&gt;0,INDEX(Table2[[#All],[Para (Ticker Daniel)]],MATCH(Input_APM!F27,Table2[[#All],[De (Lote)]],0)),Input_APM!F27))</f>
        <v>LITE</v>
      </c>
      <c r="M27" s="214" t="str">
        <f t="shared" si="1"/>
        <v>EQTY.IntlUS.off</v>
      </c>
      <c r="N27" s="215">
        <f t="shared" si="2"/>
        <v>124</v>
      </c>
      <c r="O27" s="215">
        <f t="shared" si="3"/>
        <v>124</v>
      </c>
    </row>
    <row r="28" spans="5:15">
      <c r="E28" s="213" t="s">
        <v>319</v>
      </c>
      <c r="F28" s="213" t="s">
        <v>2131</v>
      </c>
      <c r="G28" s="213" t="s">
        <v>282</v>
      </c>
      <c r="H28" s="213">
        <v>84</v>
      </c>
      <c r="I28" s="213">
        <v>84</v>
      </c>
      <c r="K28" s="214" t="str">
        <f t="shared" si="0"/>
        <v>US Equity Options</v>
      </c>
      <c r="L28" s="214" t="str">
        <f>IF(E28="","",IF(COUNTIFS(Table2[[#All],[De (Lote)]],Input_APM!F28)&gt;0,INDEX(Table2[[#All],[Para (Ticker Daniel)]],MATCH(Input_APM!F28,Table2[[#All],[De (Lote)]],0)),Input_APM!F28))</f>
        <v>LITE US 02/20/26 C400</v>
      </c>
      <c r="M28" s="214" t="str">
        <f t="shared" si="1"/>
        <v>EQTY.IntlUS.off</v>
      </c>
      <c r="N28" s="215">
        <f t="shared" si="2"/>
        <v>84</v>
      </c>
      <c r="O28" s="215">
        <f t="shared" si="3"/>
        <v>84</v>
      </c>
    </row>
    <row r="29" spans="5:15">
      <c r="E29" s="213" t="s">
        <v>319</v>
      </c>
      <c r="F29" s="213" t="s">
        <v>2132</v>
      </c>
      <c r="G29" s="213" t="s">
        <v>282</v>
      </c>
      <c r="H29" s="213">
        <v>-41</v>
      </c>
      <c r="I29" s="213">
        <v>-41</v>
      </c>
      <c r="K29" s="214" t="str">
        <f t="shared" si="0"/>
        <v>US Equity Options</v>
      </c>
      <c r="L29" s="214" t="str">
        <f>IF(E29="","",IF(COUNTIFS(Table2[[#All],[De (Lote)]],Input_APM!F29)&gt;0,INDEX(Table2[[#All],[Para (Ticker Daniel)]],MATCH(Input_APM!F29,Table2[[#All],[De (Lote)]],0)),Input_APM!F29))</f>
        <v>LITE US 02/20/26 C450</v>
      </c>
      <c r="M29" s="214" t="str">
        <f t="shared" si="1"/>
        <v>EQTY.IntlUS.off</v>
      </c>
      <c r="N29" s="215">
        <f t="shared" si="2"/>
        <v>-41</v>
      </c>
      <c r="O29" s="215">
        <f t="shared" si="3"/>
        <v>-41</v>
      </c>
    </row>
    <row r="30" spans="5:15">
      <c r="E30" s="213" t="s">
        <v>317</v>
      </c>
      <c r="F30" s="213" t="s">
        <v>326</v>
      </c>
      <c r="G30" s="213" t="s">
        <v>282</v>
      </c>
      <c r="H30" s="213">
        <v>2339</v>
      </c>
      <c r="I30" s="213">
        <v>2339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META</v>
      </c>
      <c r="M30" s="214" t="str">
        <f t="shared" si="1"/>
        <v>EQTY.IntlUS.off</v>
      </c>
      <c r="N30" s="215">
        <f t="shared" si="2"/>
        <v>2339</v>
      </c>
      <c r="O30" s="215">
        <f t="shared" si="3"/>
        <v>2339</v>
      </c>
    </row>
    <row r="31" spans="5:15">
      <c r="E31" s="213" t="s">
        <v>319</v>
      </c>
      <c r="F31" s="213" t="s">
        <v>2125</v>
      </c>
      <c r="G31" s="213" t="s">
        <v>282</v>
      </c>
      <c r="H31" s="213">
        <v>57</v>
      </c>
      <c r="I31" s="213">
        <v>57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META US 04/17/26 C690</v>
      </c>
      <c r="M31" s="214" t="str">
        <f t="shared" si="1"/>
        <v>EQTY.IntlUS.off</v>
      </c>
      <c r="N31" s="215">
        <f t="shared" si="2"/>
        <v>57</v>
      </c>
      <c r="O31" s="215">
        <f t="shared" si="3"/>
        <v>57</v>
      </c>
    </row>
    <row r="32" spans="5:15">
      <c r="E32" s="213" t="s">
        <v>319</v>
      </c>
      <c r="F32" s="213" t="s">
        <v>2124</v>
      </c>
      <c r="G32" s="213" t="s">
        <v>282</v>
      </c>
      <c r="H32" s="213">
        <v>-20</v>
      </c>
      <c r="I32" s="213">
        <v>-20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META US 04/17/26 C750</v>
      </c>
      <c r="M32" s="214" t="str">
        <f t="shared" si="1"/>
        <v>EQTY.IntlUS.off</v>
      </c>
      <c r="N32" s="215">
        <f t="shared" si="2"/>
        <v>-20</v>
      </c>
      <c r="O32" s="215">
        <f t="shared" si="3"/>
        <v>-20</v>
      </c>
    </row>
    <row r="33" spans="5:15">
      <c r="E33" s="213" t="s">
        <v>319</v>
      </c>
      <c r="F33" s="213" t="s">
        <v>2184</v>
      </c>
      <c r="G33" s="213" t="s">
        <v>282</v>
      </c>
      <c r="H33" s="213">
        <v>19</v>
      </c>
      <c r="I33" s="213">
        <v>19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META US 04/17/26 P570</v>
      </c>
      <c r="M33" s="214" t="str">
        <f t="shared" si="1"/>
        <v>EQTY.IntlUS.off</v>
      </c>
      <c r="N33" s="215">
        <f t="shared" si="2"/>
        <v>19</v>
      </c>
      <c r="O33" s="215">
        <f t="shared" si="3"/>
        <v>19</v>
      </c>
    </row>
    <row r="34" spans="5:15">
      <c r="E34" s="213" t="s">
        <v>319</v>
      </c>
      <c r="F34" s="213" t="s">
        <v>2183</v>
      </c>
      <c r="G34" s="213" t="s">
        <v>282</v>
      </c>
      <c r="H34" s="213">
        <v>-19</v>
      </c>
      <c r="I34" s="213">
        <v>-19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P600</v>
      </c>
      <c r="M34" s="214" t="str">
        <f t="shared" si="1"/>
        <v>EQTY.IntlUS.off</v>
      </c>
      <c r="N34" s="215">
        <f t="shared" si="2"/>
        <v>-19</v>
      </c>
      <c r="O34" s="215">
        <f t="shared" si="3"/>
        <v>-19</v>
      </c>
    </row>
    <row r="35" spans="5:15">
      <c r="E35" s="213" t="s">
        <v>317</v>
      </c>
      <c r="F35" s="213" t="s">
        <v>138</v>
      </c>
      <c r="G35" s="213" t="s">
        <v>282</v>
      </c>
      <c r="H35" s="213">
        <v>-936</v>
      </c>
      <c r="I35" s="213">
        <v>-936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MRVL</v>
      </c>
      <c r="M35" s="214" t="str">
        <f t="shared" si="1"/>
        <v>EQTY.IntlUS.off</v>
      </c>
      <c r="N35" s="215">
        <f t="shared" si="2"/>
        <v>-936</v>
      </c>
      <c r="O35" s="215">
        <f t="shared" si="3"/>
        <v>-936</v>
      </c>
    </row>
    <row r="36" spans="5:15">
      <c r="E36" s="213" t="s">
        <v>319</v>
      </c>
      <c r="F36" s="213" t="s">
        <v>2163</v>
      </c>
      <c r="G36" s="213" t="s">
        <v>282</v>
      </c>
      <c r="H36" s="213">
        <v>-94</v>
      </c>
      <c r="I36" s="213">
        <v>-94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MRVL US 03/20/26 P75</v>
      </c>
      <c r="M36" s="214" t="str">
        <f t="shared" si="1"/>
        <v>EQTY.IntlUS.off</v>
      </c>
      <c r="N36" s="215">
        <f t="shared" si="2"/>
        <v>-94</v>
      </c>
      <c r="O36" s="215">
        <f t="shared" si="3"/>
        <v>-94</v>
      </c>
    </row>
    <row r="37" spans="5:15">
      <c r="E37" s="213" t="s">
        <v>319</v>
      </c>
      <c r="F37" s="213" t="s">
        <v>2107</v>
      </c>
      <c r="G37" s="213" t="s">
        <v>282</v>
      </c>
      <c r="H37" s="213">
        <v>-374</v>
      </c>
      <c r="I37" s="213">
        <v>-374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MRVL US 03/20/26 P80</v>
      </c>
      <c r="M37" s="214" t="str">
        <f t="shared" si="1"/>
        <v>EQTY.IntlUS.off</v>
      </c>
      <c r="N37" s="215">
        <f t="shared" si="2"/>
        <v>-374</v>
      </c>
      <c r="O37" s="215">
        <f t="shared" si="3"/>
        <v>-374</v>
      </c>
    </row>
    <row r="38" spans="5:15">
      <c r="E38" s="213" t="s">
        <v>319</v>
      </c>
      <c r="F38" s="213" t="s">
        <v>2162</v>
      </c>
      <c r="G38" s="213" t="s">
        <v>282</v>
      </c>
      <c r="H38" s="213">
        <v>280</v>
      </c>
      <c r="I38" s="213">
        <v>280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P85</v>
      </c>
      <c r="M38" s="214" t="str">
        <f t="shared" si="1"/>
        <v>EQTY.IntlUS.off</v>
      </c>
      <c r="N38" s="215">
        <f t="shared" si="2"/>
        <v>280</v>
      </c>
      <c r="O38" s="215">
        <f t="shared" si="3"/>
        <v>280</v>
      </c>
    </row>
    <row r="39" spans="5:15">
      <c r="E39" s="213" t="s">
        <v>319</v>
      </c>
      <c r="F39" s="213" t="s">
        <v>2108</v>
      </c>
      <c r="G39" s="213" t="s">
        <v>282</v>
      </c>
      <c r="H39" s="213">
        <v>186</v>
      </c>
      <c r="I39" s="213">
        <v>186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P90</v>
      </c>
      <c r="M39" s="214" t="str">
        <f t="shared" si="1"/>
        <v>EQTY.IntlUS.off</v>
      </c>
      <c r="N39" s="215">
        <f t="shared" si="2"/>
        <v>186</v>
      </c>
      <c r="O39" s="215">
        <f t="shared" si="3"/>
        <v>186</v>
      </c>
    </row>
    <row r="40" spans="5:15">
      <c r="E40" s="213" t="s">
        <v>317</v>
      </c>
      <c r="F40" s="213" t="s">
        <v>90</v>
      </c>
      <c r="G40" s="213" t="s">
        <v>282</v>
      </c>
      <c r="H40" s="213">
        <v>3180</v>
      </c>
      <c r="I40" s="213">
        <v>3180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MSFT</v>
      </c>
      <c r="M40" s="214" t="str">
        <f t="shared" si="1"/>
        <v>EQTY.IntlUS.off</v>
      </c>
      <c r="N40" s="215">
        <f t="shared" si="2"/>
        <v>3180</v>
      </c>
      <c r="O40" s="215">
        <f t="shared" si="3"/>
        <v>3180</v>
      </c>
    </row>
    <row r="41" spans="5:15">
      <c r="E41" s="213" t="s">
        <v>319</v>
      </c>
      <c r="F41" s="213" t="s">
        <v>2097</v>
      </c>
      <c r="G41" s="213" t="s">
        <v>282</v>
      </c>
      <c r="H41" s="213">
        <v>118</v>
      </c>
      <c r="I41" s="213">
        <v>118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MSFT US 03/20/26 C490</v>
      </c>
      <c r="M41" s="214" t="str">
        <f t="shared" si="1"/>
        <v>EQTY.IntlUS.off</v>
      </c>
      <c r="N41" s="215">
        <f t="shared" si="2"/>
        <v>118</v>
      </c>
      <c r="O41" s="215">
        <f t="shared" si="3"/>
        <v>118</v>
      </c>
    </row>
    <row r="42" spans="5:15">
      <c r="E42" s="213" t="s">
        <v>319</v>
      </c>
      <c r="F42" s="213" t="s">
        <v>2096</v>
      </c>
      <c r="G42" s="213" t="s">
        <v>282</v>
      </c>
      <c r="H42" s="213">
        <v>-118</v>
      </c>
      <c r="I42" s="213">
        <v>-118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C515</v>
      </c>
      <c r="M42" s="214" t="str">
        <f t="shared" si="1"/>
        <v>EQTY.IntlUS.off</v>
      </c>
      <c r="N42" s="215">
        <f t="shared" si="2"/>
        <v>-118</v>
      </c>
      <c r="O42" s="215">
        <f t="shared" si="3"/>
        <v>-118</v>
      </c>
    </row>
    <row r="43" spans="5:15">
      <c r="E43" s="213" t="s">
        <v>319</v>
      </c>
      <c r="F43" s="213" t="s">
        <v>2098</v>
      </c>
      <c r="G43" s="213" t="s">
        <v>282</v>
      </c>
      <c r="H43" s="213">
        <v>-46</v>
      </c>
      <c r="I43" s="213">
        <v>-46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P465</v>
      </c>
      <c r="M43" s="214" t="str">
        <f t="shared" si="1"/>
        <v>EQTY.IntlUS.off</v>
      </c>
      <c r="N43" s="215">
        <f t="shared" si="2"/>
        <v>-46</v>
      </c>
      <c r="O43" s="215">
        <f t="shared" si="3"/>
        <v>-46</v>
      </c>
    </row>
    <row r="44" spans="5:15">
      <c r="E44" s="213" t="s">
        <v>318</v>
      </c>
      <c r="F44" s="213" t="s">
        <v>2232</v>
      </c>
      <c r="G44" s="213" t="s">
        <v>282</v>
      </c>
      <c r="H44" s="213">
        <v>-0.01</v>
      </c>
      <c r="I44" s="213">
        <v>-0.01</v>
      </c>
      <c r="K44" s="214" t="str">
        <f t="shared" si="0"/>
        <v>Provisions and Costs</v>
      </c>
      <c r="L44" s="214" t="str">
        <f>IF(E44="","",IF(COUNTIFS(Table2[[#All],[De (Lote)]],Input_APM!F44)&gt;0,INDEX(Table2[[#All],[Para (Ticker Daniel)]],MATCH(Input_APM!F44,Table2[[#All],[De (Lote)]],0)),Input_APM!F44))</f>
        <v>MU DIVIDEND_</v>
      </c>
      <c r="M44" s="214" t="str">
        <f t="shared" si="1"/>
        <v>EQTY.IntlUS.off</v>
      </c>
      <c r="N44" s="215">
        <f t="shared" si="2"/>
        <v>-0.01</v>
      </c>
      <c r="O44" s="215">
        <f t="shared" si="3"/>
        <v>-0.01</v>
      </c>
    </row>
    <row r="45" spans="5:15">
      <c r="E45" s="213" t="s">
        <v>319</v>
      </c>
      <c r="F45" s="213" t="s">
        <v>2154</v>
      </c>
      <c r="G45" s="213" t="s">
        <v>282</v>
      </c>
      <c r="H45" s="213">
        <v>-161</v>
      </c>
      <c r="I45" s="213">
        <v>-161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NFLX US 03/20/26 C104</v>
      </c>
      <c r="M45" s="214" t="str">
        <f t="shared" si="1"/>
        <v>EQTY.IntlUS.off</v>
      </c>
      <c r="N45" s="215">
        <f t="shared" si="2"/>
        <v>-161</v>
      </c>
      <c r="O45" s="215">
        <f t="shared" si="3"/>
        <v>-161</v>
      </c>
    </row>
    <row r="46" spans="5:15">
      <c r="E46" s="213" t="s">
        <v>319</v>
      </c>
      <c r="F46" s="213" t="s">
        <v>2155</v>
      </c>
      <c r="G46" s="213" t="s">
        <v>282</v>
      </c>
      <c r="H46" s="213">
        <v>-239</v>
      </c>
      <c r="I46" s="213">
        <v>-239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P83</v>
      </c>
      <c r="M46" s="214" t="str">
        <f t="shared" si="1"/>
        <v>EQTY.IntlUS.off</v>
      </c>
      <c r="N46" s="215">
        <f t="shared" si="2"/>
        <v>-239</v>
      </c>
      <c r="O46" s="215">
        <f t="shared" si="3"/>
        <v>-239</v>
      </c>
    </row>
    <row r="47" spans="5:15">
      <c r="E47" s="213" t="s">
        <v>319</v>
      </c>
      <c r="F47" s="213" t="s">
        <v>2153</v>
      </c>
      <c r="G47" s="213" t="s">
        <v>282</v>
      </c>
      <c r="H47" s="213">
        <v>159</v>
      </c>
      <c r="I47" s="213">
        <v>159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P92</v>
      </c>
      <c r="M47" s="214" t="str">
        <f t="shared" si="1"/>
        <v>EQTY.IntlUS.off</v>
      </c>
      <c r="N47" s="215">
        <f t="shared" si="2"/>
        <v>159</v>
      </c>
      <c r="O47" s="215">
        <f t="shared" si="3"/>
        <v>159</v>
      </c>
    </row>
    <row r="48" spans="5:15">
      <c r="E48" s="213" t="s">
        <v>317</v>
      </c>
      <c r="F48" s="213" t="s">
        <v>94</v>
      </c>
      <c r="G48" s="213" t="s">
        <v>282</v>
      </c>
      <c r="H48" s="213">
        <v>20613</v>
      </c>
      <c r="I48" s="213">
        <v>20613</v>
      </c>
      <c r="K48" s="214" t="str">
        <f t="shared" si="0"/>
        <v>US Equity</v>
      </c>
      <c r="L48" s="214" t="str">
        <f>IF(E48="","",IF(COUNTIFS(Table2[[#All],[De (Lote)]],Input_APM!F48)&gt;0,INDEX(Table2[[#All],[Para (Ticker Daniel)]],MATCH(Input_APM!F48,Table2[[#All],[De (Lote)]],0)),Input_APM!F48))</f>
        <v>NVDA</v>
      </c>
      <c r="M48" s="214" t="str">
        <f t="shared" si="1"/>
        <v>EQTY.IntlUS.off</v>
      </c>
      <c r="N48" s="215">
        <f t="shared" si="2"/>
        <v>20613</v>
      </c>
      <c r="O48" s="215">
        <f t="shared" si="3"/>
        <v>20613</v>
      </c>
    </row>
    <row r="49" spans="5:15">
      <c r="E49" s="213" t="s">
        <v>319</v>
      </c>
      <c r="F49" s="213" t="s">
        <v>2064</v>
      </c>
      <c r="G49" s="213" t="s">
        <v>282</v>
      </c>
      <c r="H49" s="213">
        <v>-2</v>
      </c>
      <c r="I49" s="213">
        <v>-2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NVDA US 01/02/26 P165</v>
      </c>
      <c r="M49" s="214" t="str">
        <f t="shared" si="1"/>
        <v>EQTY.IntlUS.off</v>
      </c>
      <c r="N49" s="215">
        <f t="shared" si="2"/>
        <v>-2</v>
      </c>
      <c r="O49" s="215">
        <f t="shared" si="3"/>
        <v>-2</v>
      </c>
    </row>
    <row r="50" spans="5:15">
      <c r="E50" s="213" t="s">
        <v>319</v>
      </c>
      <c r="F50" s="213" t="s">
        <v>2219</v>
      </c>
      <c r="G50" s="213" t="s">
        <v>282</v>
      </c>
      <c r="H50" s="213">
        <v>234</v>
      </c>
      <c r="I50" s="213">
        <v>234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NVDA US 01/09/26 C200</v>
      </c>
      <c r="M50" s="214" t="str">
        <f t="shared" si="1"/>
        <v>EQTY.IntlUS.off</v>
      </c>
      <c r="N50" s="215">
        <f t="shared" si="2"/>
        <v>234</v>
      </c>
      <c r="O50" s="215">
        <f t="shared" si="3"/>
        <v>234</v>
      </c>
    </row>
    <row r="51" spans="5:15">
      <c r="E51" s="213" t="s">
        <v>318</v>
      </c>
      <c r="F51" s="213" t="s">
        <v>336</v>
      </c>
      <c r="G51" s="213" t="s">
        <v>282</v>
      </c>
      <c r="H51" s="213">
        <v>-12616</v>
      </c>
      <c r="I51" s="213">
        <v>0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Options USD_</v>
      </c>
      <c r="M51" s="214" t="str">
        <f t="shared" si="1"/>
        <v>EQTY.IntlUS.off</v>
      </c>
      <c r="N51" s="215">
        <f t="shared" si="2"/>
        <v>-12616</v>
      </c>
      <c r="O51" s="215">
        <f t="shared" si="3"/>
        <v>0</v>
      </c>
    </row>
    <row r="52" spans="5:15">
      <c r="E52" s="213" t="s">
        <v>318</v>
      </c>
      <c r="F52" s="213" t="s">
        <v>306</v>
      </c>
      <c r="G52" s="213" t="s">
        <v>282</v>
      </c>
      <c r="H52" s="213">
        <v>-467418.62</v>
      </c>
      <c r="I52" s="213">
        <v>-392861.15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ETF USD_</v>
      </c>
      <c r="M52" s="214" t="str">
        <f t="shared" si="1"/>
        <v>EQTY.IntlUS.off</v>
      </c>
      <c r="N52" s="215">
        <f t="shared" si="2"/>
        <v>-467418.62</v>
      </c>
      <c r="O52" s="215">
        <f t="shared" si="3"/>
        <v>-392861.15</v>
      </c>
    </row>
    <row r="53" spans="5:15">
      <c r="E53" s="213" t="s">
        <v>318</v>
      </c>
      <c r="F53" s="213" t="s">
        <v>307</v>
      </c>
      <c r="G53" s="213" t="s">
        <v>282</v>
      </c>
      <c r="H53" s="213">
        <v>0</v>
      </c>
      <c r="I53" s="213">
        <v>-46620.28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-46620.28</v>
      </c>
    </row>
    <row r="54" spans="5:15">
      <c r="E54" s="213" t="s">
        <v>320</v>
      </c>
      <c r="F54" s="213" t="s">
        <v>135</v>
      </c>
      <c r="G54" s="213" t="s">
        <v>282</v>
      </c>
      <c r="H54" s="213">
        <v>-1</v>
      </c>
      <c r="I54" s="213">
        <v>-1</v>
      </c>
      <c r="K54" s="214" t="str">
        <f t="shared" si="0"/>
        <v>ETF</v>
      </c>
      <c r="L54" s="214" t="str">
        <f>IF(E54="","",IF(COUNTIFS(Table2[[#All],[De (Lote)]],Input_APM!F54)&gt;0,INDEX(Table2[[#All],[Para (Ticker Daniel)]],MATCH(Input_APM!F54,Table2[[#All],[De (Lote)]],0)),Input_APM!F54))</f>
        <v>QQQ</v>
      </c>
      <c r="M54" s="214" t="str">
        <f t="shared" si="1"/>
        <v>EQTY.IntlUS.off</v>
      </c>
      <c r="N54" s="215">
        <f t="shared" si="2"/>
        <v>-1</v>
      </c>
      <c r="O54" s="215">
        <f t="shared" si="3"/>
        <v>-1</v>
      </c>
    </row>
    <row r="55" spans="5:15">
      <c r="E55" s="213" t="s">
        <v>318</v>
      </c>
      <c r="F55" s="213" t="s">
        <v>338</v>
      </c>
      <c r="G55" s="213" t="s">
        <v>283</v>
      </c>
      <c r="H55" s="213">
        <v>-0.01</v>
      </c>
      <c r="I55" s="213">
        <v>-0.01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QQQ DIVIDEND_</v>
      </c>
      <c r="M55" s="214" t="str">
        <f t="shared" si="1"/>
        <v>EQTY.InternacionalUS2.off</v>
      </c>
      <c r="N55" s="215">
        <f t="shared" si="2"/>
        <v>-0.01</v>
      </c>
      <c r="O55" s="215">
        <f t="shared" si="3"/>
        <v>-0.01</v>
      </c>
    </row>
    <row r="56" spans="5:15">
      <c r="E56" s="213" t="s">
        <v>318</v>
      </c>
      <c r="F56" s="213" t="s">
        <v>338</v>
      </c>
      <c r="G56" s="213" t="s">
        <v>282</v>
      </c>
      <c r="H56" s="213">
        <v>-0.8</v>
      </c>
      <c r="I56" s="213">
        <v>-0.8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QQQ DIVIDEND_</v>
      </c>
      <c r="M56" s="214" t="str">
        <f t="shared" si="1"/>
        <v>EQTY.IntlUS.off</v>
      </c>
      <c r="N56" s="215">
        <f t="shared" si="2"/>
        <v>-0.8</v>
      </c>
      <c r="O56" s="215">
        <f t="shared" si="3"/>
        <v>-0.8</v>
      </c>
    </row>
    <row r="57" spans="5:15">
      <c r="E57" s="213" t="s">
        <v>324</v>
      </c>
      <c r="F57" s="213" t="s">
        <v>2255</v>
      </c>
      <c r="G57" s="213" t="s">
        <v>282</v>
      </c>
      <c r="H57" s="213">
        <v>152</v>
      </c>
      <c r="I57" s="213">
        <v>0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01/02/26 P614</v>
      </c>
      <c r="M57" s="214" t="str">
        <f t="shared" si="1"/>
        <v>EQTY.IntlUS.off</v>
      </c>
      <c r="N57" s="215">
        <f t="shared" si="2"/>
        <v>152</v>
      </c>
      <c r="O57" s="215">
        <f t="shared" si="3"/>
        <v>0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318</v>
      </c>
      <c r="F59" s="213" t="s">
        <v>2209</v>
      </c>
      <c r="G59" s="213" t="s">
        <v>282</v>
      </c>
      <c r="H59" s="213">
        <v>-10353.44</v>
      </c>
      <c r="I59" s="213">
        <v>-10353.44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QQQE DIVIDEND_</v>
      </c>
      <c r="M59" s="214" t="str">
        <f t="shared" si="1"/>
        <v>EQTY.IntlUS.off</v>
      </c>
      <c r="N59" s="215">
        <f t="shared" si="2"/>
        <v>-10353.44</v>
      </c>
      <c r="O59" s="215">
        <f t="shared" si="3"/>
        <v>-10353.44</v>
      </c>
    </row>
    <row r="60" spans="5:15">
      <c r="E60" s="213" t="s">
        <v>317</v>
      </c>
      <c r="F60" s="213" t="s">
        <v>2220</v>
      </c>
      <c r="G60" s="213" t="s">
        <v>282</v>
      </c>
      <c r="H60" s="213">
        <v>20567</v>
      </c>
      <c r="I60" s="213">
        <v>20567</v>
      </c>
      <c r="K60" s="214" t="str">
        <f t="shared" si="0"/>
        <v>US Equity</v>
      </c>
      <c r="L60" s="214" t="str">
        <f>IF(E60="","",IF(COUNTIFS(Table2[[#All],[De (Lote)]],Input_APM!F60)&gt;0,INDEX(Table2[[#All],[Para (Ticker Daniel)]],MATCH(Input_APM!F60,Table2[[#All],[De (Lote)]],0)),Input_APM!F60))</f>
        <v>RIOT</v>
      </c>
      <c r="M60" s="214" t="str">
        <f t="shared" si="1"/>
        <v>EQTY.IntlUS.off</v>
      </c>
      <c r="N60" s="215">
        <f t="shared" si="2"/>
        <v>20567</v>
      </c>
      <c r="O60" s="215">
        <f t="shared" si="3"/>
        <v>20567</v>
      </c>
    </row>
    <row r="61" spans="5:15">
      <c r="E61" s="213" t="s">
        <v>320</v>
      </c>
      <c r="F61" s="213" t="s">
        <v>3</v>
      </c>
      <c r="G61" s="213" t="s">
        <v>282</v>
      </c>
      <c r="H61" s="213">
        <v>-11220</v>
      </c>
      <c r="I61" s="213">
        <v>-11220</v>
      </c>
      <c r="K61" s="214" t="str">
        <f t="shared" si="0"/>
        <v>ETF</v>
      </c>
      <c r="L61" s="214" t="str">
        <f>IF(E61="","",IF(COUNTIFS(Table2[[#All],[De (Lote)]],Input_APM!F61)&gt;0,INDEX(Table2[[#All],[Para (Ticker Daniel)]],MATCH(Input_APM!F61,Table2[[#All],[De (Lote)]],0)),Input_APM!F61))</f>
        <v>RSP</v>
      </c>
      <c r="M61" s="214" t="str">
        <f t="shared" si="1"/>
        <v>EQTY.IntlUS.off</v>
      </c>
      <c r="N61" s="215">
        <f t="shared" si="2"/>
        <v>-11220</v>
      </c>
      <c r="O61" s="215">
        <f t="shared" si="3"/>
        <v>-11220</v>
      </c>
    </row>
    <row r="62" spans="5:15">
      <c r="E62" s="213" t="s">
        <v>324</v>
      </c>
      <c r="F62" s="213" t="s">
        <v>2206</v>
      </c>
      <c r="G62" s="213" t="s">
        <v>282</v>
      </c>
      <c r="H62" s="213">
        <v>61</v>
      </c>
      <c r="I62" s="213">
        <v>61</v>
      </c>
      <c r="K62" s="214" t="str">
        <f t="shared" si="0"/>
        <v>ETF Options</v>
      </c>
      <c r="L62" s="214" t="str">
        <f>IF(E62="","",IF(COUNTIFS(Table2[[#All],[De (Lote)]],Input_APM!F62)&gt;0,INDEX(Table2[[#All],[Para (Ticker Daniel)]],MATCH(Input_APM!F62,Table2[[#All],[De (Lote)]],0)),Input_APM!F62))</f>
        <v>SMH US 01/09/26 P355</v>
      </c>
      <c r="M62" s="214" t="str">
        <f t="shared" si="1"/>
        <v>EQTY.IntlUS.off</v>
      </c>
      <c r="N62" s="215">
        <f t="shared" si="2"/>
        <v>61</v>
      </c>
      <c r="O62" s="215">
        <f t="shared" si="3"/>
        <v>61</v>
      </c>
    </row>
    <row r="63" spans="5:15">
      <c r="E63" s="213" t="s">
        <v>320</v>
      </c>
      <c r="F63" s="213" t="s">
        <v>95</v>
      </c>
      <c r="G63" s="213" t="s">
        <v>282</v>
      </c>
      <c r="H63" s="213">
        <v>-4517</v>
      </c>
      <c r="I63" s="213">
        <v>-4517</v>
      </c>
      <c r="K63" s="214" t="str">
        <f t="shared" si="0"/>
        <v>ETF</v>
      </c>
      <c r="L63" s="214" t="str">
        <f>IF(E63="","",IF(COUNTIFS(Table2[[#All],[De (Lote)]],Input_APM!F63)&gt;0,INDEX(Table2[[#All],[Para (Ticker Daniel)]],MATCH(Input_APM!F63,Table2[[#All],[De (Lote)]],0)),Input_APM!F63))</f>
        <v>SOXX</v>
      </c>
      <c r="M63" s="214" t="str">
        <f t="shared" si="1"/>
        <v>EQTY.IntlUS.off</v>
      </c>
      <c r="N63" s="215">
        <f t="shared" si="2"/>
        <v>-4517</v>
      </c>
      <c r="O63" s="215">
        <f t="shared" si="3"/>
        <v>-4517</v>
      </c>
    </row>
    <row r="64" spans="5:15">
      <c r="E64" s="213" t="s">
        <v>318</v>
      </c>
      <c r="F64" s="213" t="s">
        <v>2210</v>
      </c>
      <c r="G64" s="213" t="s">
        <v>283</v>
      </c>
      <c r="H64" s="213">
        <v>-0.01</v>
      </c>
      <c r="I64" s="213">
        <v>-0.01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EQTY.InternacionalUS2.off</v>
      </c>
      <c r="N64" s="215">
        <f t="shared" si="2"/>
        <v>-0.01</v>
      </c>
      <c r="O64" s="215">
        <f t="shared" si="3"/>
        <v>-0.01</v>
      </c>
    </row>
    <row r="65" spans="5:15">
      <c r="E65" s="213" t="s">
        <v>318</v>
      </c>
      <c r="F65" s="213" t="s">
        <v>2210</v>
      </c>
      <c r="G65" s="213" t="s">
        <v>282</v>
      </c>
      <c r="H65" s="213">
        <v>0.01</v>
      </c>
      <c r="I65" s="213">
        <v>0.01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SPY DIVIDEND_</v>
      </c>
      <c r="M65" s="214" t="str">
        <f t="shared" si="1"/>
        <v>EQTY.IntlUS.off</v>
      </c>
      <c r="N65" s="215">
        <f t="shared" si="2"/>
        <v>0.01</v>
      </c>
      <c r="O65" s="215">
        <f t="shared" si="3"/>
        <v>0.01</v>
      </c>
    </row>
    <row r="66" spans="5:15">
      <c r="E66" s="213" t="s">
        <v>2223</v>
      </c>
      <c r="F66" s="213" t="s">
        <v>2224</v>
      </c>
      <c r="G66" s="213" t="s">
        <v>282</v>
      </c>
      <c r="H66" s="213">
        <v>1400</v>
      </c>
      <c r="I66" s="213">
        <v>1400</v>
      </c>
      <c r="K66" s="214" t="str">
        <f t="shared" si="0"/>
        <v>Equity Total Return Swap</v>
      </c>
      <c r="L66" s="214" t="str">
        <f>IF(E66="","",IF(COUNTIFS(Table2[[#All],[De (Lote)]],Input_APM!F66)&gt;0,INDEX(Table2[[#All],[Para (Ticker Daniel)]],MATCH(Input_APM!F66,Table2[[#All],[De (Lote)]],0)),Input_APM!F66))</f>
        <v>SWAP 000660 KP 26DEC2025 28DEC2026 386.679</v>
      </c>
      <c r="M66" s="214" t="str">
        <f t="shared" si="1"/>
        <v>EQTY.IntlUS.off</v>
      </c>
      <c r="N66" s="215">
        <f t="shared" si="2"/>
        <v>1400</v>
      </c>
      <c r="O66" s="215">
        <f t="shared" si="3"/>
        <v>1400</v>
      </c>
    </row>
    <row r="67" spans="5:15">
      <c r="E67" s="213" t="s">
        <v>39</v>
      </c>
      <c r="F67" s="213" t="s">
        <v>96</v>
      </c>
      <c r="G67" s="213" t="s">
        <v>282</v>
      </c>
      <c r="H67" s="213">
        <v>2103</v>
      </c>
      <c r="I67" s="213">
        <v>2103</v>
      </c>
      <c r="K67" s="214" t="str">
        <f t="shared" ref="K67:K130" si="4">IF(E67="","",E67)</f>
        <v>ADR</v>
      </c>
      <c r="L67" s="214" t="str">
        <f>IF(E67="","",IF(COUNTIFS(Table2[[#All],[De (Lote)]],Input_APM!F67)&gt;0,INDEX(Table2[[#All],[Para (Ticker Daniel)]],MATCH(Input_APM!F67,Table2[[#All],[De (Lote)]],0)),Input_APM!F67))</f>
        <v>TSM</v>
      </c>
      <c r="M67" s="214" t="str">
        <f t="shared" ref="M67:M130" si="5">IF(E67="","",G67)</f>
        <v>EQTY.IntlUS.off</v>
      </c>
      <c r="N67" s="215">
        <f t="shared" ref="N67:N130" si="6">IF(E67="","",H67)</f>
        <v>2103</v>
      </c>
      <c r="O67" s="215">
        <f t="shared" ref="O67:O130" si="7">IF(E67="","",I67)</f>
        <v>2103</v>
      </c>
    </row>
    <row r="68" spans="5:15">
      <c r="E68" s="213" t="s">
        <v>318</v>
      </c>
      <c r="F68" s="213" t="s">
        <v>1760</v>
      </c>
      <c r="G68" s="213" t="s">
        <v>283</v>
      </c>
      <c r="H68" s="213">
        <v>373.12</v>
      </c>
      <c r="I68" s="213">
        <v>373.12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EQTY.InternacionalUS2.off</v>
      </c>
      <c r="N68" s="215">
        <f t="shared" si="6"/>
        <v>373.12</v>
      </c>
      <c r="O68" s="215">
        <f t="shared" si="7"/>
        <v>373.12</v>
      </c>
    </row>
    <row r="69" spans="5:15">
      <c r="E69" s="213" t="s">
        <v>318</v>
      </c>
      <c r="F69" s="213" t="s">
        <v>1760</v>
      </c>
      <c r="G69" s="213" t="s">
        <v>282</v>
      </c>
      <c r="H69" s="213">
        <v>373.11</v>
      </c>
      <c r="I69" s="213">
        <v>373.11</v>
      </c>
      <c r="K69" s="214" t="str">
        <f t="shared" si="4"/>
        <v>Provisions and Costs</v>
      </c>
      <c r="L69" s="214" t="str">
        <f>IF(E69="","",IF(COUNTIFS(Table2[[#All],[De (Lote)]],Input_APM!F69)&gt;0,INDEX(Table2[[#All],[Para (Ticker Daniel)]],MATCH(Input_APM!F69,Table2[[#All],[De (Lote)]],0)),Input_APM!F69))</f>
        <v>TSM DIVIDEND_</v>
      </c>
      <c r="M69" s="214" t="str">
        <f t="shared" si="5"/>
        <v>EQTY.IntlUS.off</v>
      </c>
      <c r="N69" s="215">
        <f t="shared" si="6"/>
        <v>373.11</v>
      </c>
      <c r="O69" s="215">
        <f t="shared" si="7"/>
        <v>373.11</v>
      </c>
    </row>
    <row r="70" spans="5:15">
      <c r="E70" s="213" t="s">
        <v>327</v>
      </c>
      <c r="F70" s="213" t="s">
        <v>2065</v>
      </c>
      <c r="G70" s="213" t="s">
        <v>282</v>
      </c>
      <c r="H70" s="213">
        <v>47</v>
      </c>
      <c r="I70" s="213">
        <v>47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01/16/26 C300</v>
      </c>
      <c r="M70" s="214" t="str">
        <f t="shared" si="5"/>
        <v>EQTY.IntlUS.off</v>
      </c>
      <c r="N70" s="215">
        <f t="shared" si="6"/>
        <v>47</v>
      </c>
      <c r="O70" s="215">
        <f t="shared" si="7"/>
        <v>47</v>
      </c>
    </row>
    <row r="71" spans="5:15">
      <c r="E71" s="213" t="s">
        <v>327</v>
      </c>
      <c r="F71" s="213" t="s">
        <v>2164</v>
      </c>
      <c r="G71" s="213" t="s">
        <v>282</v>
      </c>
      <c r="H71" s="213">
        <v>397</v>
      </c>
      <c r="I71" s="213">
        <v>397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C300</v>
      </c>
      <c r="M71" s="214" t="str">
        <f t="shared" si="5"/>
        <v>EQTY.IntlUS.off</v>
      </c>
      <c r="N71" s="215">
        <f t="shared" si="6"/>
        <v>397</v>
      </c>
      <c r="O71" s="215">
        <f t="shared" si="7"/>
        <v>397</v>
      </c>
    </row>
    <row r="72" spans="5:15">
      <c r="E72" s="213" t="s">
        <v>327</v>
      </c>
      <c r="F72" s="213" t="s">
        <v>2165</v>
      </c>
      <c r="G72" s="213" t="s">
        <v>282</v>
      </c>
      <c r="H72" s="213">
        <v>-351</v>
      </c>
      <c r="I72" s="213">
        <v>-351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03/20/26 C330</v>
      </c>
      <c r="M72" s="214" t="str">
        <f t="shared" si="5"/>
        <v>EQTY.IntlUS.off</v>
      </c>
      <c r="N72" s="215">
        <f t="shared" si="6"/>
        <v>-351</v>
      </c>
      <c r="O72" s="215">
        <f t="shared" si="7"/>
        <v>-351</v>
      </c>
    </row>
    <row r="73" spans="5:15">
      <c r="E73" s="213" t="s">
        <v>317</v>
      </c>
      <c r="F73" s="213" t="s">
        <v>2113</v>
      </c>
      <c r="G73" s="213" t="s">
        <v>282</v>
      </c>
      <c r="H73" s="213">
        <v>29484</v>
      </c>
      <c r="I73" s="213">
        <v>29484</v>
      </c>
      <c r="K73" s="214" t="str">
        <f t="shared" si="4"/>
        <v>US Equity</v>
      </c>
      <c r="L73" s="214" t="str">
        <f>IF(E73="","",IF(COUNTIFS(Table2[[#All],[De (Lote)]],Input_APM!F73)&gt;0,INDEX(Table2[[#All],[Para (Ticker Daniel)]],MATCH(Input_APM!F73,Table2[[#All],[De (Lote)]],0)),Input_APM!F73))</f>
        <v>WBD</v>
      </c>
      <c r="M73" s="214" t="str">
        <f t="shared" si="5"/>
        <v>EQTY.IntlUS.off</v>
      </c>
      <c r="N73" s="215">
        <f t="shared" si="6"/>
        <v>29484</v>
      </c>
      <c r="O73" s="215">
        <f t="shared" si="7"/>
        <v>29484</v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41.140625" style="213" bestFit="1" customWidth="1"/>
    <col min="13" max="13" width="24" style="213" bestFit="1" customWidth="1"/>
    <col min="14" max="14" width="9.8554687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474</v>
      </c>
      <c r="I2" s="213">
        <v>474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474</v>
      </c>
      <c r="O2" s="215">
        <f>IF(E2="","",I2)</f>
        <v>474</v>
      </c>
    </row>
    <row r="3" spans="5:15">
      <c r="E3" s="213" t="s">
        <v>317</v>
      </c>
      <c r="F3" s="213" t="s">
        <v>137</v>
      </c>
      <c r="G3" s="213" t="s">
        <v>282</v>
      </c>
      <c r="H3" s="213">
        <v>198</v>
      </c>
      <c r="I3" s="213">
        <v>198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198</v>
      </c>
      <c r="O3" s="215">
        <f t="shared" ref="O3:O66" si="3">IF(E3="","",I3)</f>
        <v>198</v>
      </c>
    </row>
    <row r="4" spans="5:15">
      <c r="E4" s="213" t="s">
        <v>318</v>
      </c>
      <c r="F4" s="213" t="s">
        <v>2207</v>
      </c>
      <c r="G4" s="213" t="s">
        <v>282</v>
      </c>
      <c r="H4" s="213">
        <v>117.65</v>
      </c>
      <c r="I4" s="213">
        <v>117.65</v>
      </c>
      <c r="K4" s="214" t="str">
        <f t="shared" si="0"/>
        <v>Provisions and Costs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DIVIDEND_</v>
      </c>
      <c r="M4" s="214" t="str">
        <f t="shared" si="1"/>
        <v>EQTY.IntlUS.off</v>
      </c>
      <c r="N4" s="215">
        <f t="shared" si="2"/>
        <v>117.65</v>
      </c>
      <c r="O4" s="215">
        <f t="shared" si="3"/>
        <v>117.65</v>
      </c>
    </row>
    <row r="5" spans="5:15">
      <c r="E5" s="213" t="s">
        <v>319</v>
      </c>
      <c r="F5" s="213" t="s">
        <v>2179</v>
      </c>
      <c r="G5" s="213" t="s">
        <v>282</v>
      </c>
      <c r="H5" s="213">
        <v>2</v>
      </c>
      <c r="I5" s="213">
        <v>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C350</v>
      </c>
      <c r="M5" s="214" t="str">
        <f t="shared" si="1"/>
        <v>EQTY.IntlUS.off</v>
      </c>
      <c r="N5" s="215">
        <f t="shared" si="2"/>
        <v>2</v>
      </c>
      <c r="O5" s="215">
        <f t="shared" si="3"/>
        <v>2</v>
      </c>
    </row>
    <row r="6" spans="5:15">
      <c r="E6" s="213" t="s">
        <v>319</v>
      </c>
      <c r="F6" s="213" t="s">
        <v>2181</v>
      </c>
      <c r="G6" s="213" t="s">
        <v>282</v>
      </c>
      <c r="H6" s="213">
        <v>-2</v>
      </c>
      <c r="I6" s="213">
        <v>-2</v>
      </c>
      <c r="K6" s="214" t="str">
        <f t="shared" si="0"/>
        <v>US Equity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AVGO US 06/18/26 C410</v>
      </c>
      <c r="M6" s="214" t="str">
        <f t="shared" si="1"/>
        <v>EQTY.IntlUS.off</v>
      </c>
      <c r="N6" s="215">
        <f t="shared" si="2"/>
        <v>-2</v>
      </c>
      <c r="O6" s="215">
        <f t="shared" si="3"/>
        <v>-2</v>
      </c>
    </row>
    <row r="7" spans="5:15">
      <c r="E7" s="213" t="s">
        <v>321</v>
      </c>
      <c r="F7" s="213" t="s">
        <v>295</v>
      </c>
      <c r="G7" s="213" t="s">
        <v>282</v>
      </c>
      <c r="H7" s="213">
        <v>0.05</v>
      </c>
      <c r="I7" s="213">
        <v>0.05</v>
      </c>
      <c r="K7" s="214" t="str">
        <f t="shared" si="0"/>
        <v>Cash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Cash CAD</v>
      </c>
      <c r="M7" s="214" t="str">
        <f t="shared" si="1"/>
        <v>EQTY.IntlUS.off</v>
      </c>
      <c r="N7" s="215">
        <f t="shared" si="2"/>
        <v>0.05</v>
      </c>
      <c r="O7" s="215">
        <f t="shared" si="3"/>
        <v>0.05</v>
      </c>
    </row>
    <row r="8" spans="5:15">
      <c r="E8" s="213" t="s">
        <v>321</v>
      </c>
      <c r="F8" s="213" t="s">
        <v>296</v>
      </c>
      <c r="G8" s="213" t="s">
        <v>283</v>
      </c>
      <c r="H8" s="213">
        <v>0.49</v>
      </c>
      <c r="I8" s="213">
        <v>0.49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CHF</v>
      </c>
      <c r="M8" s="214" t="str">
        <f t="shared" si="1"/>
        <v>EQTY.InternacionalUS2.off</v>
      </c>
      <c r="N8" s="215">
        <f t="shared" si="2"/>
        <v>0.49</v>
      </c>
      <c r="O8" s="215">
        <f t="shared" si="3"/>
        <v>0.49</v>
      </c>
    </row>
    <row r="9" spans="5:15">
      <c r="E9" s="213" t="s">
        <v>321</v>
      </c>
      <c r="F9" s="213" t="s">
        <v>296</v>
      </c>
      <c r="G9" s="213" t="s">
        <v>282</v>
      </c>
      <c r="H9" s="213">
        <v>-2610.69</v>
      </c>
      <c r="I9" s="213">
        <v>-2610.69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EQTY.IntlUS.off</v>
      </c>
      <c r="N9" s="215">
        <f t="shared" si="2"/>
        <v>-2610.69</v>
      </c>
      <c r="O9" s="215">
        <f t="shared" si="3"/>
        <v>-2610.69</v>
      </c>
    </row>
    <row r="10" spans="5:15">
      <c r="E10" s="213" t="s">
        <v>321</v>
      </c>
      <c r="F10" s="213" t="s">
        <v>297</v>
      </c>
      <c r="G10" s="213" t="s">
        <v>282</v>
      </c>
      <c r="H10" s="213">
        <v>0.16</v>
      </c>
      <c r="I10" s="213">
        <v>0.16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CNH</v>
      </c>
      <c r="M10" s="214" t="str">
        <f t="shared" si="1"/>
        <v>EQTY.IntlUS.off</v>
      </c>
      <c r="N10" s="215">
        <f t="shared" si="2"/>
        <v>0.16</v>
      </c>
      <c r="O10" s="215">
        <f t="shared" si="3"/>
        <v>0.16</v>
      </c>
    </row>
    <row r="11" spans="5:15">
      <c r="E11" s="213" t="s">
        <v>321</v>
      </c>
      <c r="F11" s="213" t="s">
        <v>2208</v>
      </c>
      <c r="G11" s="213" t="s">
        <v>283</v>
      </c>
      <c r="H11" s="213">
        <v>-0.21</v>
      </c>
      <c r="I11" s="213">
        <v>-0.21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CNY</v>
      </c>
      <c r="M11" s="214" t="str">
        <f t="shared" si="1"/>
        <v>EQTY.InternacionalUS2.off</v>
      </c>
      <c r="N11" s="215">
        <f t="shared" si="2"/>
        <v>-0.21</v>
      </c>
      <c r="O11" s="215">
        <f t="shared" si="3"/>
        <v>-0.21</v>
      </c>
    </row>
    <row r="12" spans="5:15">
      <c r="E12" s="213" t="s">
        <v>321</v>
      </c>
      <c r="F12" s="213" t="s">
        <v>2208</v>
      </c>
      <c r="G12" s="213" t="s">
        <v>282</v>
      </c>
      <c r="H12" s="213">
        <v>-10000.790000000001</v>
      </c>
      <c r="I12" s="213">
        <v>-10000.790000000001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EQTY.IntlUS.off</v>
      </c>
      <c r="N12" s="215">
        <f t="shared" si="2"/>
        <v>-10000.790000000001</v>
      </c>
      <c r="O12" s="215">
        <f t="shared" si="3"/>
        <v>-10000.790000000001</v>
      </c>
    </row>
    <row r="13" spans="5:15">
      <c r="E13" s="213" t="s">
        <v>321</v>
      </c>
      <c r="F13" s="213" t="s">
        <v>298</v>
      </c>
      <c r="G13" s="213" t="s">
        <v>283</v>
      </c>
      <c r="H13" s="213">
        <v>0.47</v>
      </c>
      <c r="I13" s="213">
        <v>0.47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EUR</v>
      </c>
      <c r="M13" s="214" t="str">
        <f t="shared" si="1"/>
        <v>EQTY.InternacionalUS2.off</v>
      </c>
      <c r="N13" s="215">
        <f t="shared" si="2"/>
        <v>0.47</v>
      </c>
      <c r="O13" s="215">
        <f t="shared" si="3"/>
        <v>0.47</v>
      </c>
    </row>
    <row r="14" spans="5:15">
      <c r="E14" s="213" t="s">
        <v>321</v>
      </c>
      <c r="F14" s="213" t="s">
        <v>298</v>
      </c>
      <c r="G14" s="213" t="s">
        <v>282</v>
      </c>
      <c r="H14" s="213">
        <v>3360.55</v>
      </c>
      <c r="I14" s="213">
        <v>3360.55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EQTY.IntlUS.off</v>
      </c>
      <c r="N14" s="215">
        <f t="shared" si="2"/>
        <v>3360.55</v>
      </c>
      <c r="O14" s="215">
        <f t="shared" si="3"/>
        <v>3360.55</v>
      </c>
    </row>
    <row r="15" spans="5:15">
      <c r="E15" s="213" t="s">
        <v>321</v>
      </c>
      <c r="F15" s="213" t="s">
        <v>299</v>
      </c>
      <c r="G15" s="213" t="s">
        <v>282</v>
      </c>
      <c r="H15" s="213">
        <v>0.82</v>
      </c>
      <c r="I15" s="213">
        <v>0.82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GBP</v>
      </c>
      <c r="M15" s="214" t="str">
        <f t="shared" si="1"/>
        <v>EQTY.IntlUS.off</v>
      </c>
      <c r="N15" s="215">
        <f t="shared" si="2"/>
        <v>0.82</v>
      </c>
      <c r="O15" s="215">
        <f t="shared" si="3"/>
        <v>0.82</v>
      </c>
    </row>
    <row r="16" spans="5:15">
      <c r="E16" s="213" t="s">
        <v>321</v>
      </c>
      <c r="F16" s="213" t="s">
        <v>300</v>
      </c>
      <c r="G16" s="213" t="s">
        <v>283</v>
      </c>
      <c r="H16" s="213">
        <v>-0.06</v>
      </c>
      <c r="I16" s="213">
        <v>-0.06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HKD</v>
      </c>
      <c r="M16" s="214" t="str">
        <f t="shared" si="1"/>
        <v>EQTY.InternacionalUS2.off</v>
      </c>
      <c r="N16" s="215">
        <f t="shared" si="2"/>
        <v>-0.06</v>
      </c>
      <c r="O16" s="215">
        <f t="shared" si="3"/>
        <v>-0.06</v>
      </c>
    </row>
    <row r="17" spans="5:15">
      <c r="E17" s="213" t="s">
        <v>321</v>
      </c>
      <c r="F17" s="213" t="s">
        <v>300</v>
      </c>
      <c r="G17" s="213" t="s">
        <v>282</v>
      </c>
      <c r="H17" s="213">
        <v>-17957.060000000001</v>
      </c>
      <c r="I17" s="213">
        <v>-17957.060000000001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EQTY.IntlUS.off</v>
      </c>
      <c r="N17" s="215">
        <f t="shared" si="2"/>
        <v>-17957.060000000001</v>
      </c>
      <c r="O17" s="215">
        <f t="shared" si="3"/>
        <v>-17957.060000000001</v>
      </c>
    </row>
    <row r="18" spans="5:15">
      <c r="E18" s="213" t="s">
        <v>321</v>
      </c>
      <c r="F18" s="213" t="s">
        <v>301</v>
      </c>
      <c r="G18" s="213" t="s">
        <v>282</v>
      </c>
      <c r="H18" s="213">
        <v>-0.01</v>
      </c>
      <c r="I18" s="213">
        <v>-0.01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KRW</v>
      </c>
      <c r="M18" s="214" t="str">
        <f t="shared" si="1"/>
        <v>EQTY.IntlUS.off</v>
      </c>
      <c r="N18" s="215">
        <f t="shared" si="2"/>
        <v>-0.01</v>
      </c>
      <c r="O18" s="215">
        <f t="shared" si="3"/>
        <v>-0.01</v>
      </c>
    </row>
    <row r="19" spans="5:15">
      <c r="E19" s="213" t="s">
        <v>321</v>
      </c>
      <c r="F19" s="213" t="s">
        <v>302</v>
      </c>
      <c r="G19" s="213" t="s">
        <v>282</v>
      </c>
      <c r="H19" s="213">
        <v>-30447.54614409</v>
      </c>
      <c r="I19" s="213">
        <v>3.8559100000000002E-3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USD</v>
      </c>
      <c r="M19" s="214" t="str">
        <f t="shared" si="1"/>
        <v>EQTY.IntlUS.off</v>
      </c>
      <c r="N19" s="215">
        <f t="shared" si="2"/>
        <v>-30447.54614409</v>
      </c>
      <c r="O19" s="215">
        <f t="shared" si="3"/>
        <v>3.8559100000000002E-3</v>
      </c>
    </row>
    <row r="20" spans="5:15">
      <c r="E20" s="213" t="s">
        <v>478</v>
      </c>
      <c r="F20" s="213" t="s">
        <v>1916</v>
      </c>
      <c r="G20" s="213" t="s">
        <v>282</v>
      </c>
      <c r="H20" s="213">
        <v>375000</v>
      </c>
      <c r="I20" s="213">
        <v>375000</v>
      </c>
      <c r="K20" s="214" t="str">
        <f t="shared" si="0"/>
        <v>CDS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CHINAGOV 12/20/30</v>
      </c>
      <c r="M20" s="214" t="str">
        <f t="shared" si="1"/>
        <v>EQTY.IntlUS.off</v>
      </c>
      <c r="N20" s="215">
        <f t="shared" si="2"/>
        <v>375000</v>
      </c>
      <c r="O20" s="215">
        <f t="shared" si="3"/>
        <v>375000</v>
      </c>
    </row>
    <row r="21" spans="5:15">
      <c r="E21" s="213" t="s">
        <v>318</v>
      </c>
      <c r="F21" s="213" t="s">
        <v>1776</v>
      </c>
      <c r="G21" s="213" t="s">
        <v>283</v>
      </c>
      <c r="H21" s="213">
        <v>0.01</v>
      </c>
      <c r="I21" s="213">
        <v>0.01</v>
      </c>
      <c r="K21" s="214" t="str">
        <f t="shared" si="0"/>
        <v>Provisions and Costs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CRM DIVIDEND_</v>
      </c>
      <c r="M21" s="214" t="str">
        <f t="shared" si="1"/>
        <v>EQTY.InternacionalUS2.off</v>
      </c>
      <c r="N21" s="215">
        <f t="shared" si="2"/>
        <v>0.01</v>
      </c>
      <c r="O21" s="215">
        <f t="shared" si="3"/>
        <v>0.01</v>
      </c>
    </row>
    <row r="22" spans="5:15">
      <c r="E22" s="213" t="s">
        <v>320</v>
      </c>
      <c r="F22" s="213" t="s">
        <v>1755</v>
      </c>
      <c r="G22" s="213" t="s">
        <v>282</v>
      </c>
      <c r="H22" s="213">
        <v>494</v>
      </c>
      <c r="I22" s="213">
        <v>329</v>
      </c>
      <c r="K22" s="214" t="str">
        <f t="shared" si="0"/>
        <v>ETF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EWY</v>
      </c>
      <c r="M22" s="214" t="str">
        <f t="shared" si="1"/>
        <v>EQTY.IntlUS.off</v>
      </c>
      <c r="N22" s="215">
        <f t="shared" si="2"/>
        <v>494</v>
      </c>
      <c r="O22" s="215">
        <f t="shared" si="3"/>
        <v>329</v>
      </c>
    </row>
    <row r="23" spans="5:15">
      <c r="E23" s="213" t="s">
        <v>320</v>
      </c>
      <c r="F23" s="213" t="s">
        <v>131</v>
      </c>
      <c r="G23" s="213" t="s">
        <v>282</v>
      </c>
      <c r="H23" s="213">
        <v>373</v>
      </c>
      <c r="I23" s="213">
        <v>188</v>
      </c>
      <c r="K23" s="214" t="str">
        <f t="shared" si="0"/>
        <v>ETF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GDX</v>
      </c>
      <c r="M23" s="214" t="str">
        <f t="shared" si="1"/>
        <v>EQTY.IntlUS.off</v>
      </c>
      <c r="N23" s="215">
        <f t="shared" si="2"/>
        <v>373</v>
      </c>
      <c r="O23" s="215">
        <f t="shared" si="3"/>
        <v>188</v>
      </c>
    </row>
    <row r="24" spans="5:15">
      <c r="E24" s="213" t="s">
        <v>325</v>
      </c>
      <c r="F24" s="213" t="s">
        <v>1900</v>
      </c>
      <c r="G24" s="213" t="s">
        <v>282</v>
      </c>
      <c r="H24" s="213">
        <v>19314</v>
      </c>
      <c r="I24" s="213">
        <v>19314</v>
      </c>
      <c r="K24" s="214" t="str">
        <f t="shared" si="0"/>
        <v>Basket Index Options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GSC1000P 03/20/26 C104</v>
      </c>
      <c r="M24" s="214" t="str">
        <f t="shared" si="1"/>
        <v>EQTY.IntlUS.off</v>
      </c>
      <c r="N24" s="215">
        <f t="shared" si="2"/>
        <v>19314</v>
      </c>
      <c r="O24" s="215">
        <f t="shared" si="3"/>
        <v>19314</v>
      </c>
    </row>
    <row r="25" spans="5:15">
      <c r="E25" s="213" t="s">
        <v>325</v>
      </c>
      <c r="F25" s="213" t="s">
        <v>1901</v>
      </c>
      <c r="G25" s="213" t="s">
        <v>282</v>
      </c>
      <c r="H25" s="213">
        <v>-19314</v>
      </c>
      <c r="I25" s="213">
        <v>-19314</v>
      </c>
      <c r="K25" s="214" t="str">
        <f t="shared" si="0"/>
        <v>Basket Index Options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GSC1000P 03/20/26 C119</v>
      </c>
      <c r="M25" s="214" t="str">
        <f t="shared" si="1"/>
        <v>EQTY.IntlUS.off</v>
      </c>
      <c r="N25" s="215">
        <f t="shared" si="2"/>
        <v>-19314</v>
      </c>
      <c r="O25" s="215">
        <f t="shared" si="3"/>
        <v>-19314</v>
      </c>
    </row>
    <row r="26" spans="5:15">
      <c r="E26" s="213" t="s">
        <v>317</v>
      </c>
      <c r="F26" s="213" t="s">
        <v>2114</v>
      </c>
      <c r="G26" s="213" t="s">
        <v>282</v>
      </c>
      <c r="H26" s="213">
        <v>9</v>
      </c>
      <c r="I26" s="213">
        <v>9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LITE</v>
      </c>
      <c r="M26" s="214" t="str">
        <f t="shared" si="1"/>
        <v>EQTY.IntlUS.off</v>
      </c>
      <c r="N26" s="215">
        <f t="shared" si="2"/>
        <v>9</v>
      </c>
      <c r="O26" s="215">
        <f t="shared" si="3"/>
        <v>9</v>
      </c>
    </row>
    <row r="27" spans="5:15">
      <c r="E27" s="213" t="s">
        <v>319</v>
      </c>
      <c r="F27" s="213" t="s">
        <v>2131</v>
      </c>
      <c r="G27" s="213" t="s">
        <v>282</v>
      </c>
      <c r="H27" s="213">
        <v>6</v>
      </c>
      <c r="I27" s="213">
        <v>6</v>
      </c>
      <c r="K27" s="214" t="str">
        <f t="shared" si="0"/>
        <v>US Equity Options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LITE US 02/20/26 C400</v>
      </c>
      <c r="M27" s="214" t="str">
        <f t="shared" si="1"/>
        <v>EQTY.IntlUS.off</v>
      </c>
      <c r="N27" s="215">
        <f t="shared" si="2"/>
        <v>6</v>
      </c>
      <c r="O27" s="215">
        <f t="shared" si="3"/>
        <v>6</v>
      </c>
    </row>
    <row r="28" spans="5:15">
      <c r="E28" s="213" t="s">
        <v>319</v>
      </c>
      <c r="F28" s="213" t="s">
        <v>2132</v>
      </c>
      <c r="G28" s="213" t="s">
        <v>282</v>
      </c>
      <c r="H28" s="213">
        <v>-4</v>
      </c>
      <c r="I28" s="213">
        <v>-4</v>
      </c>
      <c r="K28" s="214" t="str">
        <f t="shared" si="0"/>
        <v>US Equity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LITE US 02/20/26 C450</v>
      </c>
      <c r="M28" s="214" t="str">
        <f t="shared" si="1"/>
        <v>EQTY.IntlUS.off</v>
      </c>
      <c r="N28" s="215">
        <f t="shared" si="2"/>
        <v>-4</v>
      </c>
      <c r="O28" s="215">
        <f t="shared" si="3"/>
        <v>-4</v>
      </c>
    </row>
    <row r="29" spans="5:15">
      <c r="E29" s="213" t="s">
        <v>317</v>
      </c>
      <c r="F29" s="213" t="s">
        <v>326</v>
      </c>
      <c r="G29" s="213" t="s">
        <v>282</v>
      </c>
      <c r="H29" s="213">
        <v>161</v>
      </c>
      <c r="I29" s="213">
        <v>161</v>
      </c>
      <c r="K29" s="214" t="str">
        <f t="shared" si="0"/>
        <v>US Equity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META</v>
      </c>
      <c r="M29" s="214" t="str">
        <f t="shared" si="1"/>
        <v>EQTY.IntlUS.off</v>
      </c>
      <c r="N29" s="215">
        <f t="shared" si="2"/>
        <v>161</v>
      </c>
      <c r="O29" s="215">
        <f t="shared" si="3"/>
        <v>161</v>
      </c>
    </row>
    <row r="30" spans="5:15">
      <c r="E30" s="213" t="s">
        <v>319</v>
      </c>
      <c r="F30" s="213" t="s">
        <v>2125</v>
      </c>
      <c r="G30" s="213" t="s">
        <v>282</v>
      </c>
      <c r="H30" s="213">
        <v>3</v>
      </c>
      <c r="I30" s="213">
        <v>3</v>
      </c>
      <c r="K30" s="214" t="str">
        <f t="shared" si="0"/>
        <v>US Equity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META US 04/17/26 C690</v>
      </c>
      <c r="M30" s="214" t="str">
        <f t="shared" si="1"/>
        <v>EQTY.IntlUS.off</v>
      </c>
      <c r="N30" s="215">
        <f t="shared" si="2"/>
        <v>3</v>
      </c>
      <c r="O30" s="215">
        <f t="shared" si="3"/>
        <v>3</v>
      </c>
    </row>
    <row r="31" spans="5:15">
      <c r="E31" s="213" t="s">
        <v>319</v>
      </c>
      <c r="F31" s="213" t="s">
        <v>2184</v>
      </c>
      <c r="G31" s="213" t="s">
        <v>282</v>
      </c>
      <c r="H31" s="213">
        <v>1</v>
      </c>
      <c r="I31" s="213">
        <v>1</v>
      </c>
      <c r="K31" s="214" t="str">
        <f t="shared" si="0"/>
        <v>US Equity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META US 04/17/26 P570</v>
      </c>
      <c r="M31" s="214" t="str">
        <f t="shared" si="1"/>
        <v>EQTY.IntlUS.off</v>
      </c>
      <c r="N31" s="215">
        <f t="shared" si="2"/>
        <v>1</v>
      </c>
      <c r="O31" s="215">
        <f t="shared" si="3"/>
        <v>1</v>
      </c>
    </row>
    <row r="32" spans="5:15">
      <c r="E32" s="213" t="s">
        <v>319</v>
      </c>
      <c r="F32" s="213" t="s">
        <v>2183</v>
      </c>
      <c r="G32" s="213" t="s">
        <v>282</v>
      </c>
      <c r="H32" s="213">
        <v>-1</v>
      </c>
      <c r="I32" s="213">
        <v>-1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META US 04/17/26 P600</v>
      </c>
      <c r="M32" s="214" t="str">
        <f t="shared" si="1"/>
        <v>EQTY.IntlUS.off</v>
      </c>
      <c r="N32" s="215">
        <f t="shared" si="2"/>
        <v>-1</v>
      </c>
      <c r="O32" s="215">
        <f t="shared" si="3"/>
        <v>-1</v>
      </c>
    </row>
    <row r="33" spans="5:15">
      <c r="E33" s="213" t="s">
        <v>317</v>
      </c>
      <c r="F33" s="213" t="s">
        <v>138</v>
      </c>
      <c r="G33" s="213" t="s">
        <v>282</v>
      </c>
      <c r="H33" s="213">
        <v>-64</v>
      </c>
      <c r="I33" s="213">
        <v>-64</v>
      </c>
      <c r="K33" s="214" t="str">
        <f t="shared" si="0"/>
        <v>US Equity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MRVL</v>
      </c>
      <c r="M33" s="214" t="str">
        <f t="shared" si="1"/>
        <v>EQTY.IntlUS.off</v>
      </c>
      <c r="N33" s="215">
        <f t="shared" si="2"/>
        <v>-64</v>
      </c>
      <c r="O33" s="215">
        <f t="shared" si="3"/>
        <v>-64</v>
      </c>
    </row>
    <row r="34" spans="5:15">
      <c r="E34" s="213" t="s">
        <v>319</v>
      </c>
      <c r="F34" s="213" t="s">
        <v>2163</v>
      </c>
      <c r="G34" s="213" t="s">
        <v>282</v>
      </c>
      <c r="H34" s="213">
        <v>-6</v>
      </c>
      <c r="I34" s="213">
        <v>-6</v>
      </c>
      <c r="K34" s="214" t="str">
        <f t="shared" si="0"/>
        <v>US Equity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MRVL US 03/20/26 P75</v>
      </c>
      <c r="M34" s="214" t="str">
        <f t="shared" si="1"/>
        <v>EQTY.IntlUS.off</v>
      </c>
      <c r="N34" s="215">
        <f t="shared" si="2"/>
        <v>-6</v>
      </c>
      <c r="O34" s="215">
        <f t="shared" si="3"/>
        <v>-6</v>
      </c>
    </row>
    <row r="35" spans="5:15">
      <c r="E35" s="213" t="s">
        <v>319</v>
      </c>
      <c r="F35" s="213" t="s">
        <v>2107</v>
      </c>
      <c r="G35" s="213" t="s">
        <v>282</v>
      </c>
      <c r="H35" s="213">
        <v>-26</v>
      </c>
      <c r="I35" s="213">
        <v>-26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MRVL US 03/20/26 P80</v>
      </c>
      <c r="M35" s="214" t="str">
        <f t="shared" si="1"/>
        <v>EQTY.IntlUS.off</v>
      </c>
      <c r="N35" s="215">
        <f t="shared" si="2"/>
        <v>-26</v>
      </c>
      <c r="O35" s="215">
        <f t="shared" si="3"/>
        <v>-26</v>
      </c>
    </row>
    <row r="36" spans="5:15">
      <c r="E36" s="213" t="s">
        <v>319</v>
      </c>
      <c r="F36" s="213" t="s">
        <v>2162</v>
      </c>
      <c r="G36" s="213" t="s">
        <v>282</v>
      </c>
      <c r="H36" s="213">
        <v>20</v>
      </c>
      <c r="I36" s="213">
        <v>20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MRVL US 03/20/26 P85</v>
      </c>
      <c r="M36" s="214" t="str">
        <f t="shared" si="1"/>
        <v>EQTY.IntlUS.off</v>
      </c>
      <c r="N36" s="215">
        <f t="shared" si="2"/>
        <v>20</v>
      </c>
      <c r="O36" s="215">
        <f t="shared" si="3"/>
        <v>20</v>
      </c>
    </row>
    <row r="37" spans="5:15">
      <c r="E37" s="213" t="s">
        <v>319</v>
      </c>
      <c r="F37" s="213" t="s">
        <v>2108</v>
      </c>
      <c r="G37" s="213" t="s">
        <v>282</v>
      </c>
      <c r="H37" s="213">
        <v>14</v>
      </c>
      <c r="I37" s="213">
        <v>14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MRVL US 03/20/26 P90</v>
      </c>
      <c r="M37" s="214" t="str">
        <f t="shared" si="1"/>
        <v>EQTY.IntlUS.off</v>
      </c>
      <c r="N37" s="215">
        <f t="shared" si="2"/>
        <v>14</v>
      </c>
      <c r="O37" s="215">
        <f t="shared" si="3"/>
        <v>14</v>
      </c>
    </row>
    <row r="38" spans="5:15">
      <c r="E38" s="213" t="s">
        <v>317</v>
      </c>
      <c r="F38" s="213" t="s">
        <v>90</v>
      </c>
      <c r="G38" s="213" t="s">
        <v>282</v>
      </c>
      <c r="H38" s="213">
        <v>220</v>
      </c>
      <c r="I38" s="213">
        <v>220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MSFT</v>
      </c>
      <c r="M38" s="214" t="str">
        <f t="shared" si="1"/>
        <v>EQTY.IntlUS.off</v>
      </c>
      <c r="N38" s="215">
        <f t="shared" si="2"/>
        <v>220</v>
      </c>
      <c r="O38" s="215">
        <f t="shared" si="3"/>
        <v>220</v>
      </c>
    </row>
    <row r="39" spans="5:15">
      <c r="E39" s="213" t="s">
        <v>319</v>
      </c>
      <c r="F39" s="213" t="s">
        <v>2097</v>
      </c>
      <c r="G39" s="213" t="s">
        <v>282</v>
      </c>
      <c r="H39" s="213">
        <v>7</v>
      </c>
      <c r="I39" s="213">
        <v>7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MSFT US 03/20/26 C490</v>
      </c>
      <c r="M39" s="214" t="str">
        <f t="shared" si="1"/>
        <v>EQTY.IntlUS.off</v>
      </c>
      <c r="N39" s="215">
        <f t="shared" si="2"/>
        <v>7</v>
      </c>
      <c r="O39" s="215">
        <f t="shared" si="3"/>
        <v>7</v>
      </c>
    </row>
    <row r="40" spans="5:15">
      <c r="E40" s="213" t="s">
        <v>319</v>
      </c>
      <c r="F40" s="213" t="s">
        <v>2096</v>
      </c>
      <c r="G40" s="213" t="s">
        <v>282</v>
      </c>
      <c r="H40" s="213">
        <v>-7</v>
      </c>
      <c r="I40" s="213">
        <v>-7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MSFT US 03/20/26 C515</v>
      </c>
      <c r="M40" s="214" t="str">
        <f t="shared" si="1"/>
        <v>EQTY.IntlUS.off</v>
      </c>
      <c r="N40" s="215">
        <f t="shared" si="2"/>
        <v>-7</v>
      </c>
      <c r="O40" s="215">
        <f t="shared" si="3"/>
        <v>-7</v>
      </c>
    </row>
    <row r="41" spans="5:15">
      <c r="E41" s="213" t="s">
        <v>319</v>
      </c>
      <c r="F41" s="213" t="s">
        <v>2098</v>
      </c>
      <c r="G41" s="213" t="s">
        <v>282</v>
      </c>
      <c r="H41" s="213">
        <v>-4</v>
      </c>
      <c r="I41" s="213">
        <v>-4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MSFT US 03/20/26 P465</v>
      </c>
      <c r="M41" s="214" t="str">
        <f t="shared" si="1"/>
        <v>EQTY.IntlUS.off</v>
      </c>
      <c r="N41" s="215">
        <f t="shared" si="2"/>
        <v>-4</v>
      </c>
      <c r="O41" s="215">
        <f t="shared" si="3"/>
        <v>-4</v>
      </c>
    </row>
    <row r="42" spans="5:15">
      <c r="E42" s="213" t="s">
        <v>318</v>
      </c>
      <c r="F42" s="213" t="s">
        <v>2232</v>
      </c>
      <c r="G42" s="213" t="s">
        <v>283</v>
      </c>
      <c r="H42" s="213">
        <v>-0.02</v>
      </c>
      <c r="I42" s="213">
        <v>-0.02</v>
      </c>
      <c r="K42" s="214" t="str">
        <f t="shared" si="0"/>
        <v>Provisions and Costs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MU DIVIDEND_</v>
      </c>
      <c r="M42" s="214" t="str">
        <f t="shared" si="1"/>
        <v>EQTY.InternacionalUS2.off</v>
      </c>
      <c r="N42" s="215">
        <f t="shared" si="2"/>
        <v>-0.02</v>
      </c>
      <c r="O42" s="215">
        <f t="shared" si="3"/>
        <v>-0.02</v>
      </c>
    </row>
    <row r="43" spans="5:15">
      <c r="E43" s="213" t="s">
        <v>318</v>
      </c>
      <c r="F43" s="213" t="s">
        <v>2232</v>
      </c>
      <c r="G43" s="213" t="s">
        <v>282</v>
      </c>
      <c r="H43" s="213">
        <v>-0.02</v>
      </c>
      <c r="I43" s="213">
        <v>-0.02</v>
      </c>
      <c r="K43" s="214" t="str">
        <f t="shared" si="0"/>
        <v>Provisions and Costs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MU DIVIDEND_</v>
      </c>
      <c r="M43" s="214" t="str">
        <f t="shared" si="1"/>
        <v>EQTY.IntlUS.off</v>
      </c>
      <c r="N43" s="215">
        <f t="shared" si="2"/>
        <v>-0.02</v>
      </c>
      <c r="O43" s="215">
        <f t="shared" si="3"/>
        <v>-0.02</v>
      </c>
    </row>
    <row r="44" spans="5:15">
      <c r="E44" s="213" t="s">
        <v>319</v>
      </c>
      <c r="F44" s="213" t="s">
        <v>2154</v>
      </c>
      <c r="G44" s="213" t="s">
        <v>282</v>
      </c>
      <c r="H44" s="213">
        <v>-9</v>
      </c>
      <c r="I44" s="213">
        <v>-9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NFLX US 03/20/26 C104</v>
      </c>
      <c r="M44" s="214" t="str">
        <f t="shared" si="1"/>
        <v>EQTY.IntlUS.off</v>
      </c>
      <c r="N44" s="215">
        <f t="shared" si="2"/>
        <v>-9</v>
      </c>
      <c r="O44" s="215">
        <f t="shared" si="3"/>
        <v>-9</v>
      </c>
    </row>
    <row r="45" spans="5:15">
      <c r="E45" s="213" t="s">
        <v>319</v>
      </c>
      <c r="F45" s="213" t="s">
        <v>2155</v>
      </c>
      <c r="G45" s="213" t="s">
        <v>282</v>
      </c>
      <c r="H45" s="213">
        <v>-16</v>
      </c>
      <c r="I45" s="213">
        <v>-16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NFLX US 03/20/26 P83</v>
      </c>
      <c r="M45" s="214" t="str">
        <f t="shared" si="1"/>
        <v>EQTY.IntlUS.off</v>
      </c>
      <c r="N45" s="215">
        <f t="shared" si="2"/>
        <v>-16</v>
      </c>
      <c r="O45" s="215">
        <f t="shared" si="3"/>
        <v>-16</v>
      </c>
    </row>
    <row r="46" spans="5:15">
      <c r="E46" s="213" t="s">
        <v>319</v>
      </c>
      <c r="F46" s="213" t="s">
        <v>2153</v>
      </c>
      <c r="G46" s="213" t="s">
        <v>282</v>
      </c>
      <c r="H46" s="213">
        <v>11</v>
      </c>
      <c r="I46" s="213">
        <v>11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NFLX US 03/20/26 P92</v>
      </c>
      <c r="M46" s="214" t="str">
        <f t="shared" si="1"/>
        <v>EQTY.IntlUS.off</v>
      </c>
      <c r="N46" s="215">
        <f t="shared" si="2"/>
        <v>11</v>
      </c>
      <c r="O46" s="215">
        <f t="shared" si="3"/>
        <v>11</v>
      </c>
    </row>
    <row r="47" spans="5:15">
      <c r="E47" s="213" t="s">
        <v>317</v>
      </c>
      <c r="F47" s="213" t="s">
        <v>94</v>
      </c>
      <c r="G47" s="213" t="s">
        <v>282</v>
      </c>
      <c r="H47" s="213">
        <v>3227</v>
      </c>
      <c r="I47" s="213">
        <v>3227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NVDA</v>
      </c>
      <c r="M47" s="214" t="str">
        <f t="shared" si="1"/>
        <v>EQTY.IntlUS.off</v>
      </c>
      <c r="N47" s="215">
        <f t="shared" si="2"/>
        <v>3227</v>
      </c>
      <c r="O47" s="215">
        <f t="shared" si="3"/>
        <v>3227</v>
      </c>
    </row>
    <row r="48" spans="5:15">
      <c r="E48" s="213" t="s">
        <v>319</v>
      </c>
      <c r="F48" s="213" t="s">
        <v>2064</v>
      </c>
      <c r="G48" s="213" t="s">
        <v>282</v>
      </c>
      <c r="H48" s="213">
        <v>2</v>
      </c>
      <c r="I48" s="213">
        <v>2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NVDA US 01/02/26 P165</v>
      </c>
      <c r="M48" s="214" t="str">
        <f t="shared" si="1"/>
        <v>EQTY.IntlUS.off</v>
      </c>
      <c r="N48" s="215">
        <f t="shared" si="2"/>
        <v>2</v>
      </c>
      <c r="O48" s="215">
        <f t="shared" si="3"/>
        <v>2</v>
      </c>
    </row>
    <row r="49" spans="5:15">
      <c r="E49" s="213" t="s">
        <v>319</v>
      </c>
      <c r="F49" s="213" t="s">
        <v>2219</v>
      </c>
      <c r="G49" s="213" t="s">
        <v>282</v>
      </c>
      <c r="H49" s="213">
        <v>16</v>
      </c>
      <c r="I49" s="213">
        <v>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NVDA US 01/09/26 C200</v>
      </c>
      <c r="M49" s="214" t="str">
        <f t="shared" si="1"/>
        <v>EQTY.IntlUS.off</v>
      </c>
      <c r="N49" s="215">
        <f t="shared" si="2"/>
        <v>16</v>
      </c>
      <c r="O49" s="215">
        <f t="shared" si="3"/>
        <v>16</v>
      </c>
    </row>
    <row r="50" spans="5:15">
      <c r="E50" s="213" t="s">
        <v>318</v>
      </c>
      <c r="F50" s="213" t="s">
        <v>336</v>
      </c>
      <c r="G50" s="213" t="s">
        <v>282</v>
      </c>
      <c r="H50" s="213">
        <v>-913</v>
      </c>
      <c r="I50" s="213">
        <v>0</v>
      </c>
      <c r="K50" s="214" t="str">
        <f t="shared" si="0"/>
        <v>Provisions and Costs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Provision ETF Options USD_</v>
      </c>
      <c r="M50" s="214" t="str">
        <f t="shared" si="1"/>
        <v>EQTY.IntlUS.off</v>
      </c>
      <c r="N50" s="215">
        <f t="shared" si="2"/>
        <v>-913</v>
      </c>
      <c r="O50" s="215">
        <f t="shared" si="3"/>
        <v>0</v>
      </c>
    </row>
    <row r="51" spans="5:15">
      <c r="E51" s="213" t="s">
        <v>318</v>
      </c>
      <c r="F51" s="213" t="s">
        <v>306</v>
      </c>
      <c r="G51" s="213" t="s">
        <v>282</v>
      </c>
      <c r="H51" s="213">
        <v>-32535.09</v>
      </c>
      <c r="I51" s="213">
        <v>-27063.82</v>
      </c>
      <c r="K51" s="214" t="str">
        <f t="shared" si="0"/>
        <v>Provisions and Costs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Provision ETF USD_</v>
      </c>
      <c r="M51" s="214" t="str">
        <f t="shared" si="1"/>
        <v>EQTY.IntlUS.off</v>
      </c>
      <c r="N51" s="215">
        <f t="shared" si="2"/>
        <v>-32535.09</v>
      </c>
      <c r="O51" s="215">
        <f t="shared" si="3"/>
        <v>-27063.82</v>
      </c>
    </row>
    <row r="52" spans="5:15">
      <c r="E52" s="213" t="s">
        <v>318</v>
      </c>
      <c r="F52" s="213" t="s">
        <v>307</v>
      </c>
      <c r="G52" s="213" t="s">
        <v>282</v>
      </c>
      <c r="H52" s="213">
        <v>0</v>
      </c>
      <c r="I52" s="213">
        <v>-3383.73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US Equity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-3383.73</v>
      </c>
    </row>
    <row r="53" spans="5:15">
      <c r="E53" s="213" t="s">
        <v>320</v>
      </c>
      <c r="F53" s="213" t="s">
        <v>135</v>
      </c>
      <c r="G53" s="213" t="s">
        <v>282</v>
      </c>
      <c r="H53" s="213">
        <v>1</v>
      </c>
      <c r="I53" s="213">
        <v>1</v>
      </c>
      <c r="K53" s="214" t="str">
        <f t="shared" si="0"/>
        <v>ETF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QQQ</v>
      </c>
      <c r="M53" s="214" t="str">
        <f t="shared" si="1"/>
        <v>EQTY.IntlUS.off</v>
      </c>
      <c r="N53" s="215">
        <f t="shared" si="2"/>
        <v>1</v>
      </c>
      <c r="O53" s="215">
        <f t="shared" si="3"/>
        <v>1</v>
      </c>
    </row>
    <row r="54" spans="5:15">
      <c r="E54" s="213" t="s">
        <v>318</v>
      </c>
      <c r="F54" s="213" t="s">
        <v>338</v>
      </c>
      <c r="G54" s="213" t="s">
        <v>283</v>
      </c>
      <c r="H54" s="213">
        <v>0.01</v>
      </c>
      <c r="I54" s="213">
        <v>0.01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QQQ DIVIDEND_</v>
      </c>
      <c r="M54" s="214" t="str">
        <f t="shared" si="1"/>
        <v>EQTY.InternacionalUS2.off</v>
      </c>
      <c r="N54" s="215">
        <f t="shared" si="2"/>
        <v>0.01</v>
      </c>
      <c r="O54" s="215">
        <f t="shared" si="3"/>
        <v>0.01</v>
      </c>
    </row>
    <row r="55" spans="5:15">
      <c r="E55" s="213" t="s">
        <v>318</v>
      </c>
      <c r="F55" s="213" t="s">
        <v>338</v>
      </c>
      <c r="G55" s="213" t="s">
        <v>282</v>
      </c>
      <c r="H55" s="213">
        <v>0.8</v>
      </c>
      <c r="I55" s="213">
        <v>0.8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QQQ DIVIDEND_</v>
      </c>
      <c r="M55" s="214" t="str">
        <f t="shared" si="1"/>
        <v>EQTY.IntlUS.off</v>
      </c>
      <c r="N55" s="215">
        <f t="shared" si="2"/>
        <v>0.8</v>
      </c>
      <c r="O55" s="215">
        <f t="shared" si="3"/>
        <v>0.8</v>
      </c>
    </row>
    <row r="56" spans="5:15">
      <c r="E56" s="213" t="s">
        <v>324</v>
      </c>
      <c r="F56" s="213" t="s">
        <v>2255</v>
      </c>
      <c r="G56" s="213" t="s">
        <v>282</v>
      </c>
      <c r="H56" s="213">
        <v>11</v>
      </c>
      <c r="I56" s="213">
        <v>0</v>
      </c>
      <c r="K56" s="214" t="str">
        <f t="shared" si="0"/>
        <v>ETF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 US 01/02/26 P614</v>
      </c>
      <c r="M56" s="214" t="str">
        <f t="shared" si="1"/>
        <v>EQTY.IntlUS.off</v>
      </c>
      <c r="N56" s="215">
        <f t="shared" si="2"/>
        <v>11</v>
      </c>
      <c r="O56" s="215">
        <f t="shared" si="3"/>
        <v>0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-4299</v>
      </c>
      <c r="I57" s="213">
        <v>-4299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-4299</v>
      </c>
      <c r="O57" s="215">
        <f t="shared" si="3"/>
        <v>-4299</v>
      </c>
    </row>
    <row r="58" spans="5:15">
      <c r="E58" s="213" t="s">
        <v>318</v>
      </c>
      <c r="F58" s="213" t="s">
        <v>2209</v>
      </c>
      <c r="G58" s="213" t="s">
        <v>282</v>
      </c>
      <c r="H58" s="213">
        <v>-713.7</v>
      </c>
      <c r="I58" s="213">
        <v>-713.7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QQQE DIVIDEND_</v>
      </c>
      <c r="M58" s="214" t="str">
        <f t="shared" si="1"/>
        <v>EQTY.IntlUS.off</v>
      </c>
      <c r="N58" s="215">
        <f t="shared" si="2"/>
        <v>-713.7</v>
      </c>
      <c r="O58" s="215">
        <f t="shared" si="3"/>
        <v>-713.7</v>
      </c>
    </row>
    <row r="59" spans="5:15">
      <c r="E59" s="213" t="s">
        <v>317</v>
      </c>
      <c r="F59" s="213" t="s">
        <v>2220</v>
      </c>
      <c r="G59" s="213" t="s">
        <v>282</v>
      </c>
      <c r="H59" s="213">
        <v>1433</v>
      </c>
      <c r="I59" s="213">
        <v>1433</v>
      </c>
      <c r="K59" s="214" t="str">
        <f t="shared" si="0"/>
        <v>US Equity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RIOT</v>
      </c>
      <c r="M59" s="214" t="str">
        <f t="shared" si="1"/>
        <v>EQTY.IntlUS.off</v>
      </c>
      <c r="N59" s="215">
        <f t="shared" si="2"/>
        <v>1433</v>
      </c>
      <c r="O59" s="215">
        <f t="shared" si="3"/>
        <v>1433</v>
      </c>
    </row>
    <row r="60" spans="5:15">
      <c r="E60" s="213" t="s">
        <v>320</v>
      </c>
      <c r="F60" s="213" t="s">
        <v>3</v>
      </c>
      <c r="G60" s="213" t="s">
        <v>282</v>
      </c>
      <c r="H60" s="213">
        <v>-392</v>
      </c>
      <c r="I60" s="213">
        <v>-392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RSP</v>
      </c>
      <c r="M60" s="214" t="str">
        <f t="shared" si="1"/>
        <v>EQTY.IntlUS.off</v>
      </c>
      <c r="N60" s="215">
        <f t="shared" si="2"/>
        <v>-392</v>
      </c>
      <c r="O60" s="215">
        <f t="shared" si="3"/>
        <v>-392</v>
      </c>
    </row>
    <row r="61" spans="5:15">
      <c r="E61" s="213" t="s">
        <v>324</v>
      </c>
      <c r="F61" s="213" t="s">
        <v>2206</v>
      </c>
      <c r="G61" s="213" t="s">
        <v>282</v>
      </c>
      <c r="H61" s="213">
        <v>4</v>
      </c>
      <c r="I61" s="213">
        <v>4</v>
      </c>
      <c r="K61" s="214" t="str">
        <f t="shared" si="0"/>
        <v>ETF Options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SMH US 01/09/26 P355</v>
      </c>
      <c r="M61" s="214" t="str">
        <f t="shared" si="1"/>
        <v>EQTY.IntlUS.off</v>
      </c>
      <c r="N61" s="215">
        <f t="shared" si="2"/>
        <v>4</v>
      </c>
      <c r="O61" s="215">
        <f t="shared" si="3"/>
        <v>4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-315</v>
      </c>
      <c r="I62" s="213">
        <v>-315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SOXX</v>
      </c>
      <c r="M62" s="214" t="str">
        <f t="shared" si="1"/>
        <v>EQTY.IntlUS.off</v>
      </c>
      <c r="N62" s="215">
        <f t="shared" si="2"/>
        <v>-315</v>
      </c>
      <c r="O62" s="215">
        <f t="shared" si="3"/>
        <v>-315</v>
      </c>
    </row>
    <row r="63" spans="5:15">
      <c r="E63" s="213" t="s">
        <v>2223</v>
      </c>
      <c r="F63" s="213" t="s">
        <v>2224</v>
      </c>
      <c r="G63" s="213" t="s">
        <v>282</v>
      </c>
      <c r="H63" s="213">
        <v>100</v>
      </c>
      <c r="I63" s="213">
        <v>100</v>
      </c>
      <c r="K63" s="214" t="str">
        <f t="shared" si="0"/>
        <v>Equity Total Return Swap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SWAP 000660 KP 26DEC2025 28DEC2026 386.679</v>
      </c>
      <c r="M63" s="214" t="str">
        <f t="shared" si="1"/>
        <v>EQTY.IntlUS.off</v>
      </c>
      <c r="N63" s="215">
        <f t="shared" si="2"/>
        <v>100</v>
      </c>
      <c r="O63" s="215">
        <f t="shared" si="3"/>
        <v>100</v>
      </c>
    </row>
    <row r="64" spans="5:15">
      <c r="E64" s="213" t="s">
        <v>39</v>
      </c>
      <c r="F64" s="213" t="s">
        <v>96</v>
      </c>
      <c r="G64" s="213" t="s">
        <v>282</v>
      </c>
      <c r="H64" s="213">
        <v>147</v>
      </c>
      <c r="I64" s="213">
        <v>147</v>
      </c>
      <c r="K64" s="214" t="str">
        <f t="shared" si="0"/>
        <v>ADR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</v>
      </c>
      <c r="M64" s="214" t="str">
        <f t="shared" si="1"/>
        <v>EQTY.IntlUS.off</v>
      </c>
      <c r="N64" s="215">
        <f t="shared" si="2"/>
        <v>147</v>
      </c>
      <c r="O64" s="215">
        <f t="shared" si="3"/>
        <v>147</v>
      </c>
    </row>
    <row r="65" spans="5:15">
      <c r="E65" s="213" t="s">
        <v>318</v>
      </c>
      <c r="F65" s="213" t="s">
        <v>1760</v>
      </c>
      <c r="G65" s="213" t="s">
        <v>283</v>
      </c>
      <c r="H65" s="213">
        <v>25.51</v>
      </c>
      <c r="I65" s="213">
        <v>25.51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DIVIDEND_</v>
      </c>
      <c r="M65" s="214" t="str">
        <f t="shared" si="1"/>
        <v>EQTY.InternacionalUS2.off</v>
      </c>
      <c r="N65" s="215">
        <f t="shared" si="2"/>
        <v>25.51</v>
      </c>
      <c r="O65" s="215">
        <f t="shared" si="3"/>
        <v>25.51</v>
      </c>
    </row>
    <row r="66" spans="5:15">
      <c r="E66" s="213" t="s">
        <v>318</v>
      </c>
      <c r="F66" s="213" t="s">
        <v>1760</v>
      </c>
      <c r="G66" s="213" t="s">
        <v>282</v>
      </c>
      <c r="H66" s="213">
        <v>25.52</v>
      </c>
      <c r="I66" s="213">
        <v>25.52</v>
      </c>
      <c r="K66" s="214" t="str">
        <f t="shared" si="0"/>
        <v>Provisions and Costs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DIVIDEND_</v>
      </c>
      <c r="M66" s="214" t="str">
        <f t="shared" si="1"/>
        <v>EQTY.IntlUS.off</v>
      </c>
      <c r="N66" s="215">
        <f t="shared" si="2"/>
        <v>25.52</v>
      </c>
      <c r="O66" s="215">
        <f t="shared" si="3"/>
        <v>25.52</v>
      </c>
    </row>
    <row r="67" spans="5:15">
      <c r="E67" s="213" t="s">
        <v>327</v>
      </c>
      <c r="F67" s="213" t="s">
        <v>2065</v>
      </c>
      <c r="G67" s="213" t="s">
        <v>282</v>
      </c>
      <c r="H67" s="213">
        <v>3</v>
      </c>
      <c r="I67" s="213">
        <v>3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C300</v>
      </c>
      <c r="M67" s="214" t="str">
        <f t="shared" ref="M67:M130" si="5">IF(E67="","",G67)</f>
        <v>EQTY.IntlUS.off</v>
      </c>
      <c r="N67" s="215">
        <f t="shared" ref="N67:N130" si="6">IF(E67="","",H67)</f>
        <v>3</v>
      </c>
      <c r="O67" s="215">
        <f t="shared" ref="O67:O130" si="7">IF(E67="","",I67)</f>
        <v>3</v>
      </c>
    </row>
    <row r="68" spans="5:15">
      <c r="E68" s="213" t="s">
        <v>327</v>
      </c>
      <c r="F68" s="213" t="s">
        <v>2164</v>
      </c>
      <c r="G68" s="213" t="s">
        <v>282</v>
      </c>
      <c r="H68" s="213">
        <v>28</v>
      </c>
      <c r="I68" s="213">
        <v>28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03/20/26 C300</v>
      </c>
      <c r="M68" s="214" t="str">
        <f t="shared" si="5"/>
        <v>EQTY.IntlUS.off</v>
      </c>
      <c r="N68" s="215">
        <f t="shared" si="6"/>
        <v>28</v>
      </c>
      <c r="O68" s="215">
        <f t="shared" si="7"/>
        <v>28</v>
      </c>
    </row>
    <row r="69" spans="5:15">
      <c r="E69" s="213" t="s">
        <v>327</v>
      </c>
      <c r="F69" s="213" t="s">
        <v>2165</v>
      </c>
      <c r="G69" s="213" t="s">
        <v>282</v>
      </c>
      <c r="H69" s="213">
        <v>-24</v>
      </c>
      <c r="I69" s="213">
        <v>-24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03/20/26 C330</v>
      </c>
      <c r="M69" s="214" t="str">
        <f t="shared" si="5"/>
        <v>EQTY.IntlUS.off</v>
      </c>
      <c r="N69" s="215">
        <f t="shared" si="6"/>
        <v>-24</v>
      </c>
      <c r="O69" s="215">
        <f t="shared" si="7"/>
        <v>-24</v>
      </c>
    </row>
    <row r="70" spans="5:15">
      <c r="E70" s="213" t="s">
        <v>317</v>
      </c>
      <c r="F70" s="213" t="s">
        <v>2113</v>
      </c>
      <c r="G70" s="213" t="s">
        <v>282</v>
      </c>
      <c r="H70" s="213">
        <v>2016</v>
      </c>
      <c r="I70" s="213">
        <v>2016</v>
      </c>
      <c r="K70" s="214" t="str">
        <f t="shared" si="4"/>
        <v>US Equity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WBD</v>
      </c>
      <c r="M70" s="214" t="str">
        <f t="shared" si="5"/>
        <v>EQTY.IntlUS.off</v>
      </c>
      <c r="N70" s="215">
        <f t="shared" si="6"/>
        <v>2016</v>
      </c>
      <c r="O70" s="215">
        <f t="shared" si="7"/>
        <v>2016</v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373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373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161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161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220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220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1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1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0.8</v>
      </c>
      <c r="D47" s="217">
        <f>IF(B47="","",IF(OR(LEFT(B47,4)="Cash",LEFT(B47,4)="Prov"),0,SUMIFS('Input_APM (Zenith)'!N:N,'Input_APM (Zenith)'!L:L,'Check (Zenith)'!B47,'Input_APM (Zenith)'!M:M,'Check (Zenith)'!$D$1)))</f>
        <v>0.01</v>
      </c>
      <c r="E47" s="217">
        <f t="shared" si="0"/>
        <v>0.79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-392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-392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-315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-315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147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147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46022</v>
      </c>
      <c r="C2" s="210">
        <v>-2</v>
      </c>
    </row>
    <row r="3" spans="1:7">
      <c r="A3" s="208" t="s">
        <v>342</v>
      </c>
      <c r="B3" s="236">
        <f ca="1">B2-1</f>
        <v>46021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Daniel\BooksOverviewResume30Dec2025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Daniel\BooksOverviewResume30Dec2025_zenith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s="22" t="s">
        <v>353</v>
      </c>
      <c r="G10" s="22" t="s">
        <v>353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1861</v>
      </c>
      <c r="G22" s="354" t="s">
        <v>1858</v>
      </c>
    </row>
    <row r="23" spans="6:7">
      <c r="F23" s="213" t="s">
        <v>1861</v>
      </c>
      <c r="G23" s="354" t="s">
        <v>1858</v>
      </c>
    </row>
    <row r="24" spans="6:7">
      <c r="F24" s="213" t="s">
        <v>1868</v>
      </c>
      <c r="G24" s="354" t="s">
        <v>1858</v>
      </c>
    </row>
    <row r="25" spans="6:7">
      <c r="F25" s="213" t="s">
        <v>1868</v>
      </c>
      <c r="G25" s="354" t="s">
        <v>1858</v>
      </c>
    </row>
    <row r="26" spans="6:7">
      <c r="F26" s="213" t="s">
        <v>1871</v>
      </c>
      <c r="G26" s="354" t="s">
        <v>1858</v>
      </c>
    </row>
    <row r="27" spans="6:7">
      <c r="F27" s="213" t="s">
        <v>1871</v>
      </c>
      <c r="G27" s="354" t="s">
        <v>1858</v>
      </c>
    </row>
    <row r="28" spans="6:7">
      <c r="F28" s="213" t="s">
        <v>1874</v>
      </c>
      <c r="G28" s="354" t="s">
        <v>1858</v>
      </c>
    </row>
    <row r="29" spans="6:7">
      <c r="F29" s="213" t="s">
        <v>1874</v>
      </c>
      <c r="G29" s="354" t="s">
        <v>1858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1889</v>
      </c>
      <c r="G34" s="22" t="s">
        <v>1743</v>
      </c>
    </row>
    <row r="35" spans="6:7">
      <c r="F35" s="363" t="s">
        <v>1888</v>
      </c>
      <c r="G35" s="163" t="s">
        <v>1885</v>
      </c>
    </row>
    <row r="36" spans="6:7">
      <c r="F36" s="363" t="s">
        <v>1887</v>
      </c>
      <c r="G36" s="22" t="s">
        <v>1886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1890</v>
      </c>
      <c r="G39" s="22" t="s">
        <v>2</v>
      </c>
    </row>
    <row r="40" spans="6:7">
      <c r="F40" s="22" t="s">
        <v>359</v>
      </c>
      <c r="G40" s="22" t="s">
        <v>359</v>
      </c>
    </row>
    <row r="41" spans="6:7">
      <c r="F41" s="22" t="s">
        <v>360</v>
      </c>
      <c r="G41" s="22" t="s">
        <v>361</v>
      </c>
    </row>
    <row r="42" spans="6:7">
      <c r="F42" s="22" t="s">
        <v>362</v>
      </c>
      <c r="G42" s="22" t="s">
        <v>363</v>
      </c>
    </row>
    <row r="43" spans="6:7">
      <c r="F43" s="22" t="s">
        <v>364</v>
      </c>
      <c r="G43" s="22" t="s">
        <v>363</v>
      </c>
    </row>
    <row r="44" spans="6:7">
      <c r="F44" s="22" t="s">
        <v>365</v>
      </c>
      <c r="G44" s="22" t="s">
        <v>365</v>
      </c>
    </row>
    <row r="45" spans="6:7">
      <c r="F45" s="22" t="s">
        <v>366</v>
      </c>
      <c r="G45" s="22" t="s">
        <v>366</v>
      </c>
    </row>
    <row r="46" spans="6:7">
      <c r="F46" s="22" t="s">
        <v>326</v>
      </c>
      <c r="G46" s="22" t="s">
        <v>81</v>
      </c>
    </row>
    <row r="47" spans="6:7">
      <c r="F47" s="22" t="s">
        <v>367</v>
      </c>
      <c r="G47" s="22" t="s">
        <v>355</v>
      </c>
    </row>
    <row r="48" spans="6:7">
      <c r="F48" s="22" t="s">
        <v>368</v>
      </c>
      <c r="G48" s="22" t="s">
        <v>140</v>
      </c>
    </row>
    <row r="49" spans="6:7">
      <c r="F49" s="22" t="s">
        <v>369</v>
      </c>
      <c r="G49" s="22" t="s">
        <v>140</v>
      </c>
    </row>
    <row r="50" spans="6:7">
      <c r="F50" s="22" t="s">
        <v>1918</v>
      </c>
      <c r="G50" s="22" t="s">
        <v>1919</v>
      </c>
    </row>
    <row r="51" spans="6:7">
      <c r="F51" s="22" t="s">
        <v>1849</v>
      </c>
      <c r="G51" s="22" t="s">
        <v>1848</v>
      </c>
    </row>
    <row r="52" spans="6:7">
      <c r="F52" s="22" t="s">
        <v>358</v>
      </c>
      <c r="G52" s="22" t="s">
        <v>2</v>
      </c>
    </row>
    <row r="53" spans="6:7">
      <c r="F53" s="213" t="s">
        <v>1872</v>
      </c>
      <c r="G53" s="354" t="s">
        <v>1857</v>
      </c>
    </row>
    <row r="54" spans="6:7">
      <c r="F54" s="213" t="s">
        <v>1872</v>
      </c>
      <c r="G54" s="354" t="s">
        <v>1857</v>
      </c>
    </row>
    <row r="55" spans="6:7">
      <c r="F55" s="213" t="s">
        <v>1869</v>
      </c>
      <c r="G55" s="354" t="s">
        <v>1857</v>
      </c>
    </row>
    <row r="56" spans="6:7">
      <c r="F56" s="213" t="s">
        <v>1869</v>
      </c>
      <c r="G56" s="354" t="s">
        <v>1857</v>
      </c>
    </row>
    <row r="57" spans="6:7">
      <c r="F57" s="213" t="s">
        <v>1873</v>
      </c>
      <c r="G57" s="354" t="s">
        <v>1857</v>
      </c>
    </row>
    <row r="58" spans="6:7">
      <c r="F58" s="213" t="s">
        <v>1873</v>
      </c>
      <c r="G58" s="354" t="s">
        <v>1857</v>
      </c>
    </row>
    <row r="59" spans="6:7">
      <c r="F59" s="213" t="s">
        <v>1875</v>
      </c>
      <c r="G59" s="354" t="s">
        <v>1857</v>
      </c>
    </row>
    <row r="60" spans="6:7">
      <c r="F60" s="213" t="s">
        <v>1875</v>
      </c>
      <c r="G60" s="354" t="s">
        <v>1857</v>
      </c>
    </row>
    <row r="61" spans="6:7">
      <c r="F61" s="22" t="s">
        <v>1855</v>
      </c>
      <c r="G61" s="22" t="s">
        <v>1848</v>
      </c>
    </row>
    <row r="62" spans="6:7">
      <c r="F62" s="22" t="s">
        <v>371</v>
      </c>
      <c r="G62" s="22" t="s">
        <v>372</v>
      </c>
    </row>
    <row r="63" spans="6:7">
      <c r="F63" s="22" t="s">
        <v>373</v>
      </c>
      <c r="G63" s="22" t="s">
        <v>374</v>
      </c>
    </row>
    <row r="64" spans="6:7">
      <c r="F64" s="22" t="s">
        <v>371</v>
      </c>
      <c r="G64" s="22" t="s">
        <v>372</v>
      </c>
    </row>
    <row r="65" spans="6:7">
      <c r="F65" s="22" t="s">
        <v>375</v>
      </c>
      <c r="G65" s="22" t="s">
        <v>372</v>
      </c>
    </row>
    <row r="66" spans="6:7">
      <c r="F66" s="22" t="s">
        <v>373</v>
      </c>
      <c r="G66" s="22" t="s">
        <v>374</v>
      </c>
    </row>
    <row r="67" spans="6:7">
      <c r="F67" s="22" t="s">
        <v>376</v>
      </c>
      <c r="G67" s="22" t="s">
        <v>374</v>
      </c>
    </row>
    <row r="68" spans="6:7">
      <c r="F68" s="22" t="s">
        <v>376</v>
      </c>
      <c r="G68" s="22" t="s">
        <v>374</v>
      </c>
    </row>
    <row r="69" spans="6:7">
      <c r="F69" s="22" t="s">
        <v>377</v>
      </c>
      <c r="G69" s="22"/>
    </row>
    <row r="70" spans="6:7">
      <c r="F70" s="22" t="s">
        <v>377</v>
      </c>
      <c r="G70" s="22"/>
    </row>
    <row r="71" spans="6:7">
      <c r="F71" s="22" t="s">
        <v>378</v>
      </c>
      <c r="G71" s="22" t="s">
        <v>379</v>
      </c>
    </row>
    <row r="72" spans="6:7">
      <c r="F72" s="22" t="s">
        <v>378</v>
      </c>
      <c r="G72" s="22" t="s">
        <v>379</v>
      </c>
    </row>
    <row r="73" spans="6:7">
      <c r="F73" s="22" t="s">
        <v>380</v>
      </c>
      <c r="G73" s="22" t="s">
        <v>370</v>
      </c>
    </row>
    <row r="74" spans="6:7">
      <c r="F74" s="22" t="s">
        <v>380</v>
      </c>
      <c r="G74" s="22" t="s">
        <v>370</v>
      </c>
    </row>
    <row r="75" spans="6:7">
      <c r="F75" s="22" t="s">
        <v>381</v>
      </c>
      <c r="G75" s="22" t="s">
        <v>382</v>
      </c>
    </row>
    <row r="76" spans="6:7">
      <c r="F76" s="22" t="s">
        <v>381</v>
      </c>
      <c r="G76" s="22" t="s">
        <v>382</v>
      </c>
    </row>
    <row r="77" spans="6:7">
      <c r="F77" s="22" t="s">
        <v>383</v>
      </c>
      <c r="G77" s="22" t="s">
        <v>382</v>
      </c>
    </row>
    <row r="78" spans="6:7">
      <c r="F78" s="22" t="s">
        <v>383</v>
      </c>
      <c r="G78" s="22" t="s">
        <v>382</v>
      </c>
    </row>
    <row r="79" spans="6:7">
      <c r="F79" s="22" t="s">
        <v>371</v>
      </c>
      <c r="G79" s="22" t="s">
        <v>372</v>
      </c>
    </row>
    <row r="80" spans="6:7">
      <c r="F80" s="22" t="s">
        <v>371</v>
      </c>
      <c r="G80" s="22" t="s">
        <v>374</v>
      </c>
    </row>
    <row r="81" spans="6:7">
      <c r="F81" s="22" t="s">
        <v>375</v>
      </c>
      <c r="G81" s="22" t="s">
        <v>372</v>
      </c>
    </row>
    <row r="82" spans="6:7">
      <c r="F82" s="22" t="s">
        <v>375</v>
      </c>
      <c r="G82" s="22" t="s">
        <v>374</v>
      </c>
    </row>
    <row r="83" spans="6:7">
      <c r="F83" s="22" t="s">
        <v>373</v>
      </c>
      <c r="G83" s="22" t="s">
        <v>374</v>
      </c>
    </row>
    <row r="84" spans="6:7">
      <c r="F84" s="22" t="s">
        <v>373</v>
      </c>
      <c r="G84" s="22" t="s">
        <v>374</v>
      </c>
    </row>
    <row r="85" spans="6:7">
      <c r="F85" s="22" t="s">
        <v>376</v>
      </c>
      <c r="G85" s="22" t="s">
        <v>374</v>
      </c>
    </row>
    <row r="86" spans="6:7">
      <c r="F86" s="22" t="s">
        <v>376</v>
      </c>
      <c r="G86" s="22" t="s">
        <v>374</v>
      </c>
    </row>
    <row r="87" spans="6:7">
      <c r="F87" s="22" t="s">
        <v>381</v>
      </c>
      <c r="G87" s="22" t="s">
        <v>382</v>
      </c>
    </row>
    <row r="88" spans="6:7">
      <c r="F88" s="22" t="s">
        <v>381</v>
      </c>
      <c r="G88" s="22" t="s">
        <v>382</v>
      </c>
    </row>
    <row r="89" spans="6:7">
      <c r="F89" s="22" t="s">
        <v>383</v>
      </c>
      <c r="G89" s="22" t="s">
        <v>382</v>
      </c>
    </row>
    <row r="90" spans="6:7">
      <c r="F90" s="22" t="s">
        <v>383</v>
      </c>
      <c r="G90" s="22" t="s">
        <v>382</v>
      </c>
    </row>
    <row r="91" spans="6:7">
      <c r="F91" s="22" t="s">
        <v>371</v>
      </c>
      <c r="G91" s="22" t="s">
        <v>382</v>
      </c>
    </row>
    <row r="92" spans="6:7">
      <c r="F92" s="22" t="s">
        <v>384</v>
      </c>
      <c r="G92" s="22" t="s">
        <v>382</v>
      </c>
    </row>
    <row r="93" spans="6:7">
      <c r="F93" s="22" t="s">
        <v>385</v>
      </c>
      <c r="G93" s="22" t="s">
        <v>382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386</v>
      </c>
      <c r="G96" s="22" t="s">
        <v>387</v>
      </c>
    </row>
    <row r="97" spans="6:7">
      <c r="F97" s="22" t="s">
        <v>388</v>
      </c>
      <c r="G97" s="22" t="s">
        <v>389</v>
      </c>
    </row>
    <row r="98" spans="6:7">
      <c r="F98" s="22" t="s">
        <v>2242</v>
      </c>
      <c r="G98" s="22" t="s">
        <v>2242</v>
      </c>
    </row>
    <row r="99" spans="6:7">
      <c r="F99" s="22" t="s">
        <v>196</v>
      </c>
      <c r="G99" s="22" t="s">
        <v>390</v>
      </c>
    </row>
    <row r="100" spans="6:7">
      <c r="F100" s="22" t="s">
        <v>391</v>
      </c>
      <c r="G100" s="22" t="s">
        <v>392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1861</v>
      </c>
      <c r="G104" s="22" t="s">
        <v>1858</v>
      </c>
    </row>
    <row r="105" spans="6:7">
      <c r="F105" s="22" t="s">
        <v>1676</v>
      </c>
      <c r="G105" s="22" t="s">
        <v>350</v>
      </c>
    </row>
    <row r="106" spans="6:7">
      <c r="F106" s="22" t="s">
        <v>1676</v>
      </c>
      <c r="G106" s="22" t="s">
        <v>350</v>
      </c>
    </row>
    <row r="107" spans="6:7">
      <c r="F107" s="22" t="s">
        <v>1728</v>
      </c>
      <c r="G107" s="22" t="s">
        <v>1718</v>
      </c>
    </row>
    <row r="108" spans="6:7">
      <c r="F108" s="22" t="s">
        <v>1728</v>
      </c>
      <c r="G108" s="22" t="s">
        <v>1718</v>
      </c>
    </row>
    <row r="109" spans="6:7">
      <c r="F109" s="22" t="s">
        <v>1729</v>
      </c>
      <c r="G109" s="22" t="s">
        <v>1677</v>
      </c>
    </row>
    <row r="110" spans="6:7">
      <c r="F110" s="22" t="s">
        <v>1756</v>
      </c>
      <c r="G110" s="22" t="s">
        <v>1752</v>
      </c>
    </row>
    <row r="111" spans="6:7">
      <c r="F111" s="22" t="s">
        <v>1757</v>
      </c>
      <c r="G111" s="22" t="s">
        <v>1751</v>
      </c>
    </row>
    <row r="112" spans="6:7">
      <c r="F112" s="22" t="s">
        <v>1860</v>
      </c>
      <c r="G112" s="22" t="s">
        <v>1859</v>
      </c>
    </row>
    <row r="113" spans="6:7">
      <c r="F113" s="22" t="s">
        <v>1767</v>
      </c>
      <c r="G113" s="22" t="s">
        <v>1763</v>
      </c>
    </row>
    <row r="114" spans="6:7">
      <c r="F114" s="22" t="s">
        <v>1767</v>
      </c>
      <c r="G114" s="22" t="s">
        <v>1763</v>
      </c>
    </row>
    <row r="115" spans="6:7">
      <c r="F115" s="22" t="s">
        <v>1768</v>
      </c>
      <c r="G115" s="22" t="s">
        <v>1763</v>
      </c>
    </row>
    <row r="116" spans="6:7">
      <c r="F116" s="22" t="s">
        <v>1768</v>
      </c>
      <c r="G116" s="22" t="s">
        <v>1763</v>
      </c>
    </row>
    <row r="117" spans="6:7">
      <c r="F117" s="22" t="s">
        <v>1766</v>
      </c>
      <c r="G117" s="22" t="s">
        <v>1762</v>
      </c>
    </row>
    <row r="118" spans="6:7">
      <c r="F118" s="22" t="s">
        <v>1766</v>
      </c>
      <c r="G118" s="22" t="s">
        <v>1762</v>
      </c>
    </row>
    <row r="119" spans="6:7">
      <c r="F119" s="22" t="s">
        <v>1759</v>
      </c>
      <c r="G119" s="22" t="s">
        <v>1745</v>
      </c>
    </row>
    <row r="120" spans="6:7">
      <c r="F120" s="22" t="s">
        <v>1759</v>
      </c>
      <c r="G120" s="22" t="s">
        <v>1745</v>
      </c>
    </row>
    <row r="121" spans="6:7">
      <c r="F121" s="22" t="s">
        <v>1769</v>
      </c>
      <c r="G121" s="22" t="s">
        <v>1745</v>
      </c>
    </row>
    <row r="122" spans="6:7">
      <c r="F122" s="22" t="s">
        <v>1769</v>
      </c>
      <c r="G122" s="22" t="s">
        <v>1745</v>
      </c>
    </row>
    <row r="123" spans="6:7">
      <c r="F123" s="22" t="s">
        <v>1761</v>
      </c>
      <c r="G123" s="22" t="s">
        <v>1765</v>
      </c>
    </row>
    <row r="124" spans="6:7">
      <c r="F124" s="22" t="s">
        <v>1777</v>
      </c>
      <c r="G124" s="22" t="s">
        <v>1745</v>
      </c>
    </row>
    <row r="125" spans="6:7">
      <c r="F125" s="22" t="s">
        <v>1777</v>
      </c>
      <c r="G125" s="22" t="s">
        <v>1745</v>
      </c>
    </row>
    <row r="126" spans="6:7">
      <c r="F126" s="22" t="s">
        <v>1862</v>
      </c>
      <c r="G126" s="22" t="s">
        <v>1857</v>
      </c>
    </row>
    <row r="127" spans="6:7">
      <c r="F127" s="22" t="s">
        <v>1869</v>
      </c>
      <c r="G127" s="22" t="s">
        <v>1857</v>
      </c>
    </row>
    <row r="128" spans="6:7">
      <c r="F128" s="22" t="s">
        <v>1868</v>
      </c>
      <c r="G128" s="22" t="s">
        <v>1858</v>
      </c>
    </row>
    <row r="129" spans="6:7">
      <c r="F129" s="22" t="s">
        <v>1870</v>
      </c>
      <c r="G129" s="22" t="s">
        <v>1856</v>
      </c>
    </row>
    <row r="130" spans="6:7">
      <c r="F130" s="22" t="s">
        <v>1866</v>
      </c>
      <c r="G130" s="22" t="s">
        <v>1762</v>
      </c>
    </row>
    <row r="131" spans="6:7">
      <c r="F131" s="22" t="s">
        <v>1867</v>
      </c>
      <c r="G131" s="22" t="s">
        <v>1762</v>
      </c>
    </row>
    <row r="132" spans="6:7">
      <c r="F132" s="22" t="s">
        <v>1864</v>
      </c>
      <c r="G132" s="22" t="s">
        <v>1743</v>
      </c>
    </row>
    <row r="133" spans="6:7">
      <c r="F133" s="22" t="s">
        <v>1865</v>
      </c>
      <c r="G133" s="22" t="s">
        <v>1863</v>
      </c>
    </row>
    <row r="134" spans="6:7">
      <c r="F134" s="22" t="s">
        <v>1872</v>
      </c>
      <c r="G134" s="22" t="s">
        <v>1857</v>
      </c>
    </row>
    <row r="135" spans="6:7">
      <c r="F135" s="22" t="s">
        <v>1873</v>
      </c>
      <c r="G135" s="22" t="s">
        <v>1857</v>
      </c>
    </row>
    <row r="136" spans="6:7">
      <c r="F136" s="22" t="s">
        <v>1871</v>
      </c>
      <c r="G136" s="22" t="s">
        <v>1858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415</v>
      </c>
      <c r="D1" t="s">
        <v>416</v>
      </c>
      <c r="E1" t="s">
        <v>169</v>
      </c>
      <c r="G1" s="3"/>
    </row>
    <row r="2" spans="2:8">
      <c r="B2" t="s">
        <v>417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417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418</v>
      </c>
      <c r="C4" s="3"/>
      <c r="D4" s="3">
        <v>75000</v>
      </c>
      <c r="E4" s="3">
        <v>75000</v>
      </c>
      <c r="G4" s="3"/>
    </row>
    <row r="5" spans="2:8">
      <c r="B5" t="s">
        <v>419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420</v>
      </c>
      <c r="D9" s="3">
        <v>-14000000</v>
      </c>
      <c r="E9" s="1">
        <v>73.75</v>
      </c>
      <c r="F9" t="s">
        <v>421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422</v>
      </c>
      <c r="D10" s="3">
        <v>14000000</v>
      </c>
      <c r="E10" s="1">
        <v>65</v>
      </c>
      <c r="F10" t="s">
        <v>421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420</v>
      </c>
      <c r="D11" s="3">
        <v>-11000000</v>
      </c>
      <c r="E11" s="1">
        <v>74.099999999999994</v>
      </c>
      <c r="F11" t="s">
        <v>423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422</v>
      </c>
      <c r="D12" s="3">
        <v>11000000</v>
      </c>
      <c r="E12" s="1">
        <v>64</v>
      </c>
      <c r="F12" t="s">
        <v>423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420</v>
      </c>
      <c r="D13" s="3">
        <v>40000000</v>
      </c>
      <c r="E13" s="1">
        <v>72.8</v>
      </c>
      <c r="F13" t="s">
        <v>421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420</v>
      </c>
      <c r="D14" s="3">
        <v>30000000</v>
      </c>
      <c r="E14" s="1">
        <v>72.48</v>
      </c>
      <c r="F14" t="s">
        <v>423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420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420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420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422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424</v>
      </c>
      <c r="C26" t="s">
        <v>425</v>
      </c>
      <c r="D26" t="s">
        <v>426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424</v>
      </c>
      <c r="C37" t="s">
        <v>425</v>
      </c>
      <c r="D37" t="s">
        <v>426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427</v>
      </c>
      <c r="B1" s="198" t="s">
        <v>428</v>
      </c>
      <c r="C1" s="198" t="s">
        <v>429</v>
      </c>
      <c r="D1" s="198" t="s">
        <v>430</v>
      </c>
      <c r="E1" s="198" t="s">
        <v>431</v>
      </c>
      <c r="F1" s="198" t="s">
        <v>432</v>
      </c>
      <c r="G1" s="198" t="s">
        <v>433</v>
      </c>
    </row>
    <row r="2" spans="1:7" hidden="1">
      <c r="A2" s="199" t="s">
        <v>434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395</v>
      </c>
      <c r="G2" s="200" t="s">
        <v>435</v>
      </c>
    </row>
    <row r="3" spans="1:7">
      <c r="A3" s="199" t="s">
        <v>434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395</v>
      </c>
      <c r="G3" s="200" t="s">
        <v>435</v>
      </c>
    </row>
    <row r="4" spans="1:7" hidden="1">
      <c r="A4" s="199" t="s">
        <v>436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395</v>
      </c>
      <c r="G4" s="200" t="s">
        <v>435</v>
      </c>
    </row>
    <row r="5" spans="1:7">
      <c r="A5" s="199" t="s">
        <v>436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395</v>
      </c>
      <c r="G5" s="200" t="s">
        <v>435</v>
      </c>
    </row>
    <row r="6" spans="1:7" hidden="1">
      <c r="A6" s="199" t="s">
        <v>437</v>
      </c>
      <c r="B6" s="200">
        <v>-75</v>
      </c>
      <c r="C6" s="200">
        <v>0</v>
      </c>
      <c r="D6" s="201" t="s">
        <v>438</v>
      </c>
      <c r="E6" s="201" t="s">
        <v>315</v>
      </c>
      <c r="F6" s="200" t="s">
        <v>395</v>
      </c>
      <c r="G6" s="200" t="s">
        <v>435</v>
      </c>
    </row>
    <row r="7" spans="1:7" hidden="1">
      <c r="A7" s="199" t="s">
        <v>437</v>
      </c>
      <c r="B7" s="200">
        <v>75</v>
      </c>
      <c r="C7" s="200">
        <v>0</v>
      </c>
      <c r="D7" s="201" t="s">
        <v>438</v>
      </c>
      <c r="E7" s="201" t="s">
        <v>315</v>
      </c>
      <c r="F7" s="200" t="s">
        <v>397</v>
      </c>
      <c r="G7" s="200" t="s">
        <v>435</v>
      </c>
    </row>
    <row r="8" spans="1:7" hidden="1">
      <c r="A8" s="199" t="s">
        <v>439</v>
      </c>
      <c r="B8" s="200">
        <v>2246</v>
      </c>
      <c r="C8" s="200">
        <v>0</v>
      </c>
      <c r="D8" s="201" t="s">
        <v>283</v>
      </c>
      <c r="E8" s="201" t="s">
        <v>440</v>
      </c>
      <c r="F8" s="200" t="s">
        <v>395</v>
      </c>
      <c r="G8" s="200" t="s">
        <v>435</v>
      </c>
    </row>
    <row r="9" spans="1:7">
      <c r="A9" s="199" t="s">
        <v>439</v>
      </c>
      <c r="B9" s="200">
        <v>-2246</v>
      </c>
      <c r="C9" s="200">
        <v>0</v>
      </c>
      <c r="D9" s="201" t="s">
        <v>282</v>
      </c>
      <c r="E9" s="201" t="s">
        <v>440</v>
      </c>
      <c r="F9" s="200" t="s">
        <v>395</v>
      </c>
      <c r="G9" s="200" t="s">
        <v>435</v>
      </c>
    </row>
    <row r="10" spans="1:7">
      <c r="A10" s="199" t="s">
        <v>439</v>
      </c>
      <c r="B10" s="200">
        <v>4492</v>
      </c>
      <c r="C10" s="200">
        <v>0</v>
      </c>
      <c r="D10" s="201" t="s">
        <v>282</v>
      </c>
      <c r="E10" s="201" t="s">
        <v>440</v>
      </c>
      <c r="F10" s="200" t="s">
        <v>394</v>
      </c>
      <c r="G10" s="200" t="s">
        <v>435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441</v>
      </c>
      <c r="E11" s="201" t="s">
        <v>317</v>
      </c>
      <c r="F11" s="200" t="s">
        <v>395</v>
      </c>
      <c r="G11" s="200" t="s">
        <v>435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441</v>
      </c>
      <c r="E12" s="201" t="s">
        <v>317</v>
      </c>
      <c r="F12" s="200" t="s">
        <v>442</v>
      </c>
      <c r="G12" s="200" t="s">
        <v>435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438</v>
      </c>
      <c r="E13" s="201" t="s">
        <v>317</v>
      </c>
      <c r="F13" s="200" t="s">
        <v>395</v>
      </c>
      <c r="G13" s="200" t="s">
        <v>435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438</v>
      </c>
      <c r="E14" s="201" t="s">
        <v>317</v>
      </c>
      <c r="F14" s="200" t="s">
        <v>442</v>
      </c>
      <c r="G14" s="200" t="s">
        <v>435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395</v>
      </c>
      <c r="G15" s="200" t="s">
        <v>435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394</v>
      </c>
      <c r="G16" s="200" t="s">
        <v>435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414</v>
      </c>
      <c r="G17" s="200" t="s">
        <v>435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404</v>
      </c>
      <c r="G18" s="200" t="s">
        <v>435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442</v>
      </c>
      <c r="G19" s="200" t="s">
        <v>435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412</v>
      </c>
      <c r="G20" s="200" t="s">
        <v>435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443</v>
      </c>
      <c r="E21" s="201" t="s">
        <v>317</v>
      </c>
      <c r="F21" s="200" t="s">
        <v>395</v>
      </c>
      <c r="G21" s="200" t="s">
        <v>435</v>
      </c>
    </row>
    <row r="22" spans="1:7" hidden="1">
      <c r="A22" s="199" t="s">
        <v>444</v>
      </c>
      <c r="B22" s="200">
        <v>3969950</v>
      </c>
      <c r="C22" s="200">
        <v>0</v>
      </c>
      <c r="D22" s="201" t="s">
        <v>441</v>
      </c>
      <c r="E22" s="201" t="s">
        <v>39</v>
      </c>
      <c r="F22" s="200" t="s">
        <v>395</v>
      </c>
      <c r="G22" s="200" t="s">
        <v>435</v>
      </c>
    </row>
    <row r="23" spans="1:7">
      <c r="A23" s="199" t="s">
        <v>445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395</v>
      </c>
      <c r="G23" s="200" t="s">
        <v>435</v>
      </c>
    </row>
    <row r="24" spans="1:7">
      <c r="A24" s="199" t="s">
        <v>445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446</v>
      </c>
      <c r="G24" s="200" t="s">
        <v>435</v>
      </c>
    </row>
    <row r="25" spans="1:7">
      <c r="A25" s="199" t="s">
        <v>445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394</v>
      </c>
      <c r="G25" s="200" t="s">
        <v>435</v>
      </c>
    </row>
    <row r="26" spans="1:7">
      <c r="A26" s="199" t="s">
        <v>447</v>
      </c>
      <c r="B26" s="200">
        <v>-141540</v>
      </c>
      <c r="C26" s="200">
        <v>0</v>
      </c>
      <c r="D26" s="201" t="s">
        <v>282</v>
      </c>
      <c r="E26" s="201" t="s">
        <v>448</v>
      </c>
      <c r="F26" s="200" t="s">
        <v>395</v>
      </c>
      <c r="G26" s="200" t="s">
        <v>435</v>
      </c>
    </row>
    <row r="27" spans="1:7">
      <c r="A27" s="199" t="s">
        <v>447</v>
      </c>
      <c r="B27" s="200">
        <v>141540</v>
      </c>
      <c r="C27" s="200">
        <v>0</v>
      </c>
      <c r="D27" s="201" t="s">
        <v>282</v>
      </c>
      <c r="E27" s="201" t="s">
        <v>448</v>
      </c>
      <c r="F27" s="200" t="s">
        <v>398</v>
      </c>
      <c r="G27" s="200" t="s">
        <v>435</v>
      </c>
    </row>
    <row r="28" spans="1:7">
      <c r="A28" s="199" t="s">
        <v>449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395</v>
      </c>
      <c r="G28" s="200" t="s">
        <v>435</v>
      </c>
    </row>
    <row r="29" spans="1:7">
      <c r="A29" s="199" t="s">
        <v>449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450</v>
      </c>
      <c r="G29" s="200" t="s">
        <v>435</v>
      </c>
    </row>
    <row r="30" spans="1:7" hidden="1">
      <c r="A30" s="199" t="s">
        <v>400</v>
      </c>
      <c r="B30" s="200">
        <v>32740</v>
      </c>
      <c r="C30" s="200">
        <v>0</v>
      </c>
      <c r="D30" s="201" t="s">
        <v>438</v>
      </c>
      <c r="E30" s="201" t="s">
        <v>317</v>
      </c>
      <c r="F30" s="200" t="s">
        <v>395</v>
      </c>
      <c r="G30" s="200" t="s">
        <v>435</v>
      </c>
    </row>
    <row r="31" spans="1:7" hidden="1">
      <c r="A31" s="199" t="s">
        <v>400</v>
      </c>
      <c r="B31" s="200">
        <v>-32740</v>
      </c>
      <c r="C31" s="200">
        <v>0</v>
      </c>
      <c r="D31" s="201" t="s">
        <v>438</v>
      </c>
      <c r="E31" s="201" t="s">
        <v>317</v>
      </c>
      <c r="F31" s="200" t="s">
        <v>442</v>
      </c>
      <c r="G31" s="200" t="s">
        <v>435</v>
      </c>
    </row>
    <row r="32" spans="1:7">
      <c r="A32" s="199" t="s">
        <v>400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413</v>
      </c>
      <c r="G32" s="200" t="s">
        <v>435</v>
      </c>
    </row>
    <row r="33" spans="1:7">
      <c r="A33" s="199" t="s">
        <v>400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395</v>
      </c>
      <c r="G33" s="200" t="s">
        <v>435</v>
      </c>
    </row>
    <row r="34" spans="1:7">
      <c r="A34" s="199" t="s">
        <v>400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409</v>
      </c>
      <c r="G34" s="200" t="s">
        <v>435</v>
      </c>
    </row>
    <row r="35" spans="1:7">
      <c r="A35" s="199" t="s">
        <v>400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394</v>
      </c>
      <c r="G35" s="200" t="s">
        <v>435</v>
      </c>
    </row>
    <row r="36" spans="1:7">
      <c r="A36" s="199" t="s">
        <v>400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414</v>
      </c>
      <c r="G36" s="200" t="s">
        <v>435</v>
      </c>
    </row>
    <row r="37" spans="1:7">
      <c r="A37" s="199" t="s">
        <v>400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442</v>
      </c>
      <c r="G37" s="200" t="s">
        <v>435</v>
      </c>
    </row>
    <row r="38" spans="1:7" hidden="1">
      <c r="A38" s="199" t="s">
        <v>400</v>
      </c>
      <c r="B38" s="200">
        <v>1933</v>
      </c>
      <c r="C38" s="200">
        <v>0</v>
      </c>
      <c r="D38" s="201" t="s">
        <v>443</v>
      </c>
      <c r="E38" s="201" t="s">
        <v>317</v>
      </c>
      <c r="F38" s="200" t="s">
        <v>395</v>
      </c>
      <c r="G38" s="200" t="s">
        <v>435</v>
      </c>
    </row>
    <row r="39" spans="1:7">
      <c r="A39" s="199" t="s">
        <v>451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409</v>
      </c>
      <c r="G39" s="200" t="s">
        <v>435</v>
      </c>
    </row>
    <row r="40" spans="1:7">
      <c r="A40" s="199" t="s">
        <v>451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394</v>
      </c>
      <c r="G40" s="200" t="s">
        <v>435</v>
      </c>
    </row>
    <row r="41" spans="1:7">
      <c r="A41" s="199" t="s">
        <v>452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409</v>
      </c>
      <c r="G41" s="200" t="s">
        <v>435</v>
      </c>
    </row>
    <row r="42" spans="1:7">
      <c r="A42" s="199" t="s">
        <v>452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394</v>
      </c>
      <c r="G42" s="200" t="s">
        <v>435</v>
      </c>
    </row>
    <row r="43" spans="1:7" hidden="1">
      <c r="A43" s="199" t="s">
        <v>453</v>
      </c>
      <c r="B43" s="200">
        <v>1.9994331523776054E-8</v>
      </c>
      <c r="C43" s="200">
        <v>0</v>
      </c>
      <c r="D43" s="201" t="s">
        <v>441</v>
      </c>
      <c r="E43" s="201" t="s">
        <v>317</v>
      </c>
      <c r="F43" s="200" t="s">
        <v>395</v>
      </c>
      <c r="G43" s="200" t="s">
        <v>435</v>
      </c>
    </row>
    <row r="44" spans="1:7" hidden="1">
      <c r="A44" s="199" t="s">
        <v>453</v>
      </c>
      <c r="B44" s="200">
        <v>32400</v>
      </c>
      <c r="C44" s="200">
        <v>0</v>
      </c>
      <c r="D44" s="201" t="s">
        <v>443</v>
      </c>
      <c r="E44" s="201" t="s">
        <v>317</v>
      </c>
      <c r="F44" s="200" t="s">
        <v>395</v>
      </c>
      <c r="G44" s="200" t="s">
        <v>435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395</v>
      </c>
      <c r="G45" s="200" t="s">
        <v>435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409</v>
      </c>
      <c r="G46" s="200" t="s">
        <v>435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395</v>
      </c>
      <c r="G47" s="200" t="s">
        <v>435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409</v>
      </c>
      <c r="G48" s="200" t="s">
        <v>435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450</v>
      </c>
      <c r="G49" s="200" t="s">
        <v>435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443</v>
      </c>
      <c r="E50" s="201" t="s">
        <v>320</v>
      </c>
      <c r="F50" s="200" t="s">
        <v>395</v>
      </c>
      <c r="G50" s="200" t="s">
        <v>435</v>
      </c>
    </row>
    <row r="51" spans="1:7" hidden="1">
      <c r="A51" s="199" t="s">
        <v>454</v>
      </c>
      <c r="B51" s="200">
        <v>8250</v>
      </c>
      <c r="C51" s="200">
        <v>0</v>
      </c>
      <c r="D51" s="201" t="s">
        <v>438</v>
      </c>
      <c r="E51" s="201" t="s">
        <v>324</v>
      </c>
      <c r="F51" s="200" t="s">
        <v>395</v>
      </c>
      <c r="G51" s="200" t="s">
        <v>435</v>
      </c>
    </row>
    <row r="52" spans="1:7" hidden="1">
      <c r="A52" s="199" t="s">
        <v>455</v>
      </c>
      <c r="B52" s="200">
        <v>-8250</v>
      </c>
      <c r="C52" s="200">
        <v>0</v>
      </c>
      <c r="D52" s="201" t="s">
        <v>438</v>
      </c>
      <c r="E52" s="201" t="s">
        <v>324</v>
      </c>
      <c r="F52" s="200" t="s">
        <v>395</v>
      </c>
      <c r="G52" s="200" t="s">
        <v>435</v>
      </c>
    </row>
    <row r="53" spans="1:7" hidden="1">
      <c r="A53" s="199" t="s">
        <v>456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395</v>
      </c>
      <c r="G53" s="200" t="s">
        <v>435</v>
      </c>
    </row>
    <row r="54" spans="1:7" hidden="1">
      <c r="A54" s="199" t="s">
        <v>456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409</v>
      </c>
      <c r="G54" s="200" t="s">
        <v>435</v>
      </c>
    </row>
    <row r="55" spans="1:7">
      <c r="A55" s="199" t="s">
        <v>456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395</v>
      </c>
      <c r="G55" s="200" t="s">
        <v>435</v>
      </c>
    </row>
    <row r="56" spans="1:7">
      <c r="A56" s="199" t="s">
        <v>456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409</v>
      </c>
      <c r="G56" s="200" t="s">
        <v>435</v>
      </c>
    </row>
    <row r="57" spans="1:7" hidden="1">
      <c r="A57" s="199" t="s">
        <v>457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395</v>
      </c>
      <c r="G57" s="200" t="s">
        <v>435</v>
      </c>
    </row>
    <row r="58" spans="1:7" hidden="1">
      <c r="A58" s="199" t="s">
        <v>457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409</v>
      </c>
      <c r="G58" s="200" t="s">
        <v>435</v>
      </c>
    </row>
    <row r="59" spans="1:7">
      <c r="A59" s="199" t="s">
        <v>457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395</v>
      </c>
      <c r="G59" s="200" t="s">
        <v>435</v>
      </c>
    </row>
    <row r="60" spans="1:7">
      <c r="A60" s="199" t="s">
        <v>457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409</v>
      </c>
      <c r="G60" s="200" t="s">
        <v>435</v>
      </c>
    </row>
    <row r="61" spans="1:7">
      <c r="A61" s="199" t="s">
        <v>458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395</v>
      </c>
      <c r="G61" s="200" t="s">
        <v>435</v>
      </c>
    </row>
    <row r="62" spans="1:7">
      <c r="A62" s="199" t="s">
        <v>458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394</v>
      </c>
      <c r="G62" s="200" t="s">
        <v>435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395</v>
      </c>
      <c r="G63" s="200" t="s">
        <v>435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442</v>
      </c>
      <c r="G64" s="200" t="s">
        <v>435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395</v>
      </c>
      <c r="G65" s="200" t="s">
        <v>435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446</v>
      </c>
      <c r="G66" s="200" t="s">
        <v>435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409</v>
      </c>
      <c r="G67" s="200" t="s">
        <v>435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394</v>
      </c>
      <c r="G68" s="200" t="s">
        <v>435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414</v>
      </c>
      <c r="G69" s="200" t="s">
        <v>435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404</v>
      </c>
      <c r="G70" s="200" t="s">
        <v>435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442</v>
      </c>
      <c r="G71" s="200" t="s">
        <v>435</v>
      </c>
    </row>
    <row r="72" spans="1:7">
      <c r="A72" s="199" t="s">
        <v>459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395</v>
      </c>
      <c r="G72" s="200" t="s">
        <v>435</v>
      </c>
    </row>
    <row r="73" spans="1:7">
      <c r="A73" s="199" t="s">
        <v>459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409</v>
      </c>
      <c r="G73" s="200" t="s">
        <v>435</v>
      </c>
    </row>
    <row r="74" spans="1:7">
      <c r="A74" s="199" t="s">
        <v>460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395</v>
      </c>
      <c r="G74" s="200" t="s">
        <v>435</v>
      </c>
    </row>
    <row r="75" spans="1:7">
      <c r="A75" s="199" t="s">
        <v>460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409</v>
      </c>
      <c r="G75" s="200" t="s">
        <v>435</v>
      </c>
    </row>
    <row r="76" spans="1:7">
      <c r="A76" s="199" t="s">
        <v>461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395</v>
      </c>
      <c r="G76" s="200" t="s">
        <v>435</v>
      </c>
    </row>
    <row r="77" spans="1:7">
      <c r="A77" s="199" t="s">
        <v>461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446</v>
      </c>
      <c r="G77" s="200" t="s">
        <v>435</v>
      </c>
    </row>
    <row r="78" spans="1:7">
      <c r="A78" s="199" t="s">
        <v>461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398</v>
      </c>
      <c r="G78" s="200" t="s">
        <v>435</v>
      </c>
    </row>
    <row r="79" spans="1:7">
      <c r="A79" s="199" t="s">
        <v>461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394</v>
      </c>
      <c r="G79" s="200" t="s">
        <v>435</v>
      </c>
    </row>
    <row r="80" spans="1:7">
      <c r="A80" s="199" t="s">
        <v>462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395</v>
      </c>
      <c r="G80" s="200" t="s">
        <v>435</v>
      </c>
    </row>
    <row r="81" spans="1:7">
      <c r="A81" s="199" t="s">
        <v>462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446</v>
      </c>
      <c r="G81" s="200" t="s">
        <v>435</v>
      </c>
    </row>
    <row r="82" spans="1:7">
      <c r="A82" s="199" t="s">
        <v>462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394</v>
      </c>
      <c r="G82" s="200" t="s">
        <v>435</v>
      </c>
    </row>
    <row r="83" spans="1:7" hidden="1">
      <c r="A83" s="199" t="s">
        <v>463</v>
      </c>
      <c r="B83" s="200">
        <v>1000000</v>
      </c>
      <c r="C83" s="200">
        <v>0</v>
      </c>
      <c r="D83" s="201" t="s">
        <v>464</v>
      </c>
      <c r="E83" s="201" t="s">
        <v>465</v>
      </c>
      <c r="F83" s="200" t="s">
        <v>395</v>
      </c>
      <c r="G83" s="200" t="s">
        <v>435</v>
      </c>
    </row>
    <row r="84" spans="1:7">
      <c r="A84" s="199" t="s">
        <v>466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395</v>
      </c>
      <c r="G84" s="200" t="s">
        <v>435</v>
      </c>
    </row>
    <row r="85" spans="1:7">
      <c r="A85" s="199" t="s">
        <v>466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446</v>
      </c>
      <c r="G85" s="200" t="s">
        <v>435</v>
      </c>
    </row>
    <row r="86" spans="1:7">
      <c r="A86" s="199" t="s">
        <v>466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394</v>
      </c>
      <c r="G86" s="200" t="s">
        <v>435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395</v>
      </c>
      <c r="G87" s="200" t="s">
        <v>435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394</v>
      </c>
      <c r="G88" s="200" t="s">
        <v>435</v>
      </c>
    </row>
    <row r="89" spans="1:7" hidden="1">
      <c r="A89" s="199" t="s">
        <v>467</v>
      </c>
      <c r="B89" s="200">
        <v>469413</v>
      </c>
      <c r="C89" s="200">
        <v>0</v>
      </c>
      <c r="D89" s="201" t="s">
        <v>441</v>
      </c>
      <c r="E89" s="201" t="s">
        <v>39</v>
      </c>
      <c r="F89" s="200" t="s">
        <v>395</v>
      </c>
      <c r="G89" s="200" t="s">
        <v>435</v>
      </c>
    </row>
    <row r="90" spans="1:7" hidden="1">
      <c r="A90" s="199" t="s">
        <v>467</v>
      </c>
      <c r="B90" s="200">
        <v>-469413</v>
      </c>
      <c r="C90" s="200">
        <v>0</v>
      </c>
      <c r="D90" s="201" t="s">
        <v>441</v>
      </c>
      <c r="E90" s="201" t="s">
        <v>39</v>
      </c>
      <c r="F90" s="200" t="s">
        <v>403</v>
      </c>
      <c r="G90" s="200" t="s">
        <v>435</v>
      </c>
    </row>
    <row r="91" spans="1:7" hidden="1">
      <c r="A91" s="199" t="s">
        <v>468</v>
      </c>
      <c r="B91" s="200">
        <v>-700000</v>
      </c>
      <c r="C91" s="200">
        <v>0</v>
      </c>
      <c r="D91" s="201" t="s">
        <v>464</v>
      </c>
      <c r="E91" s="201" t="s">
        <v>465</v>
      </c>
      <c r="F91" s="200" t="s">
        <v>395</v>
      </c>
      <c r="G91" s="200" t="s">
        <v>435</v>
      </c>
    </row>
    <row r="92" spans="1:7" hidden="1">
      <c r="A92" s="199" t="s">
        <v>468</v>
      </c>
      <c r="B92" s="200">
        <v>1500000</v>
      </c>
      <c r="C92" s="200">
        <v>0</v>
      </c>
      <c r="D92" s="201" t="s">
        <v>464</v>
      </c>
      <c r="E92" s="201" t="s">
        <v>465</v>
      </c>
      <c r="F92" s="200" t="s">
        <v>469</v>
      </c>
      <c r="G92" s="200" t="s">
        <v>435</v>
      </c>
    </row>
    <row r="93" spans="1:7" hidden="1">
      <c r="A93" s="199" t="s">
        <v>468</v>
      </c>
      <c r="B93" s="200">
        <v>-1074000</v>
      </c>
      <c r="C93" s="200">
        <v>0</v>
      </c>
      <c r="D93" s="201" t="s">
        <v>464</v>
      </c>
      <c r="E93" s="201" t="s">
        <v>465</v>
      </c>
      <c r="F93" s="200" t="s">
        <v>414</v>
      </c>
      <c r="G93" s="200" t="s">
        <v>435</v>
      </c>
    </row>
    <row r="94" spans="1:7" hidden="1">
      <c r="A94" s="199" t="s">
        <v>468</v>
      </c>
      <c r="B94" s="200">
        <v>274000</v>
      </c>
      <c r="C94" s="200">
        <v>0</v>
      </c>
      <c r="D94" s="201" t="s">
        <v>464</v>
      </c>
      <c r="E94" s="201" t="s">
        <v>465</v>
      </c>
      <c r="F94" s="200" t="s">
        <v>470</v>
      </c>
      <c r="G94" s="200" t="s">
        <v>435</v>
      </c>
    </row>
    <row r="95" spans="1:7" hidden="1">
      <c r="A95" s="199" t="s">
        <v>471</v>
      </c>
      <c r="B95" s="200">
        <v>320000</v>
      </c>
      <c r="C95" s="200">
        <v>0</v>
      </c>
      <c r="D95" s="201" t="s">
        <v>441</v>
      </c>
      <c r="E95" s="201" t="s">
        <v>39</v>
      </c>
      <c r="F95" s="200" t="s">
        <v>395</v>
      </c>
      <c r="G95" s="200" t="s">
        <v>435</v>
      </c>
    </row>
    <row r="96" spans="1:7" hidden="1">
      <c r="A96" s="199" t="s">
        <v>471</v>
      </c>
      <c r="B96" s="200">
        <v>-320000</v>
      </c>
      <c r="C96" s="200">
        <v>0</v>
      </c>
      <c r="D96" s="201" t="s">
        <v>441</v>
      </c>
      <c r="E96" s="201" t="s">
        <v>39</v>
      </c>
      <c r="F96" s="200" t="s">
        <v>403</v>
      </c>
      <c r="G96" s="200" t="s">
        <v>435</v>
      </c>
    </row>
    <row r="97" spans="1:7" hidden="1">
      <c r="A97" s="199" t="s">
        <v>472</v>
      </c>
      <c r="B97" s="200">
        <v>3330000</v>
      </c>
      <c r="C97" s="200">
        <v>0</v>
      </c>
      <c r="D97" s="201" t="s">
        <v>464</v>
      </c>
      <c r="E97" s="201" t="s">
        <v>465</v>
      </c>
      <c r="F97" s="200" t="s">
        <v>469</v>
      </c>
      <c r="G97" s="200" t="s">
        <v>435</v>
      </c>
    </row>
    <row r="98" spans="1:7" hidden="1">
      <c r="A98" s="199" t="s">
        <v>472</v>
      </c>
      <c r="B98" s="200">
        <v>-4660000</v>
      </c>
      <c r="C98" s="200">
        <v>0</v>
      </c>
      <c r="D98" s="201" t="s">
        <v>464</v>
      </c>
      <c r="E98" s="201" t="s">
        <v>465</v>
      </c>
      <c r="F98" s="200" t="s">
        <v>398</v>
      </c>
      <c r="G98" s="200" t="s">
        <v>435</v>
      </c>
    </row>
    <row r="99" spans="1:7" hidden="1">
      <c r="A99" s="199" t="s">
        <v>472</v>
      </c>
      <c r="B99" s="200">
        <v>1330000</v>
      </c>
      <c r="C99" s="200">
        <v>0</v>
      </c>
      <c r="D99" s="201" t="s">
        <v>464</v>
      </c>
      <c r="E99" s="201" t="s">
        <v>465</v>
      </c>
      <c r="F99" s="200" t="s">
        <v>470</v>
      </c>
      <c r="G99" s="200" t="s">
        <v>435</v>
      </c>
    </row>
    <row r="100" spans="1:7" hidden="1">
      <c r="A100" s="199" t="s">
        <v>473</v>
      </c>
      <c r="B100" s="200">
        <v>-12150000</v>
      </c>
      <c r="C100" s="200">
        <v>0</v>
      </c>
      <c r="D100" s="201" t="s">
        <v>464</v>
      </c>
      <c r="E100" s="201" t="s">
        <v>465</v>
      </c>
      <c r="F100" s="200" t="s">
        <v>398</v>
      </c>
      <c r="G100" s="200" t="s">
        <v>435</v>
      </c>
    </row>
    <row r="101" spans="1:7" hidden="1">
      <c r="A101" s="199" t="s">
        <v>473</v>
      </c>
      <c r="B101" s="200">
        <v>11850000</v>
      </c>
      <c r="C101" s="200">
        <v>0</v>
      </c>
      <c r="D101" s="201" t="s">
        <v>464</v>
      </c>
      <c r="E101" s="201" t="s">
        <v>465</v>
      </c>
      <c r="F101" s="200" t="s">
        <v>414</v>
      </c>
      <c r="G101" s="200" t="s">
        <v>435</v>
      </c>
    </row>
    <row r="102" spans="1:7" hidden="1">
      <c r="A102" s="199" t="s">
        <v>473</v>
      </c>
      <c r="B102" s="200">
        <v>300000</v>
      </c>
      <c r="C102" s="200">
        <v>0</v>
      </c>
      <c r="D102" s="201" t="s">
        <v>464</v>
      </c>
      <c r="E102" s="201" t="s">
        <v>465</v>
      </c>
      <c r="F102" s="200" t="s">
        <v>470</v>
      </c>
      <c r="G102" s="200" t="s">
        <v>435</v>
      </c>
    </row>
    <row r="103" spans="1:7" hidden="1">
      <c r="A103" s="199" t="s">
        <v>474</v>
      </c>
      <c r="B103" s="200">
        <v>-1570</v>
      </c>
      <c r="C103" s="200">
        <v>0</v>
      </c>
      <c r="D103" s="201" t="s">
        <v>441</v>
      </c>
      <c r="E103" s="201" t="s">
        <v>39</v>
      </c>
      <c r="F103" s="200" t="s">
        <v>395</v>
      </c>
      <c r="G103" s="200" t="s">
        <v>435</v>
      </c>
    </row>
    <row r="104" spans="1:7" hidden="1">
      <c r="A104" s="199" t="s">
        <v>474</v>
      </c>
      <c r="B104" s="200">
        <v>1570</v>
      </c>
      <c r="C104" s="200">
        <v>0</v>
      </c>
      <c r="D104" s="201" t="s">
        <v>441</v>
      </c>
      <c r="E104" s="201" t="s">
        <v>39</v>
      </c>
      <c r="F104" s="200" t="s">
        <v>442</v>
      </c>
      <c r="G104" s="200" t="s">
        <v>435</v>
      </c>
    </row>
    <row r="105" spans="1:7" hidden="1">
      <c r="A105" s="199" t="s">
        <v>474</v>
      </c>
      <c r="B105" s="200">
        <v>-3802</v>
      </c>
      <c r="C105" s="200">
        <v>0</v>
      </c>
      <c r="D105" s="201" t="s">
        <v>443</v>
      </c>
      <c r="E105" s="201" t="s">
        <v>39</v>
      </c>
      <c r="F105" s="200" t="s">
        <v>395</v>
      </c>
      <c r="G105" s="200" t="s">
        <v>435</v>
      </c>
    </row>
    <row r="106" spans="1:7" hidden="1">
      <c r="A106" s="199" t="s">
        <v>474</v>
      </c>
      <c r="B106" s="200">
        <v>-1570</v>
      </c>
      <c r="C106" s="200">
        <v>0</v>
      </c>
      <c r="D106" s="201" t="s">
        <v>443</v>
      </c>
      <c r="E106" s="201" t="s">
        <v>39</v>
      </c>
      <c r="F106" s="200" t="s">
        <v>442</v>
      </c>
      <c r="G106" s="200" t="s">
        <v>435</v>
      </c>
    </row>
    <row r="107" spans="1:7" hidden="1">
      <c r="A107" s="199" t="s">
        <v>474</v>
      </c>
      <c r="B107" s="200">
        <v>54717</v>
      </c>
      <c r="C107" s="200">
        <v>0</v>
      </c>
      <c r="D107" s="201" t="s">
        <v>475</v>
      </c>
      <c r="E107" s="201" t="s">
        <v>39</v>
      </c>
      <c r="F107" s="200" t="s">
        <v>395</v>
      </c>
      <c r="G107" s="200" t="s">
        <v>435</v>
      </c>
    </row>
    <row r="108" spans="1:7" hidden="1">
      <c r="A108" s="199" t="s">
        <v>474</v>
      </c>
      <c r="B108" s="200">
        <v>-54717</v>
      </c>
      <c r="C108" s="200">
        <v>0</v>
      </c>
      <c r="D108" s="201" t="s">
        <v>475</v>
      </c>
      <c r="E108" s="201" t="s">
        <v>39</v>
      </c>
      <c r="F108" s="200" t="s">
        <v>403</v>
      </c>
      <c r="G108" s="200" t="s">
        <v>435</v>
      </c>
    </row>
    <row r="109" spans="1:7">
      <c r="A109" s="199" t="s">
        <v>476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395</v>
      </c>
      <c r="G109" s="200" t="s">
        <v>435</v>
      </c>
    </row>
    <row r="110" spans="1:7">
      <c r="A110" s="199" t="s">
        <v>476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446</v>
      </c>
      <c r="G110" s="200" t="s">
        <v>435</v>
      </c>
    </row>
    <row r="111" spans="1:7">
      <c r="A111" s="199" t="s">
        <v>476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394</v>
      </c>
      <c r="G111" s="200" t="s">
        <v>435</v>
      </c>
    </row>
    <row r="112" spans="1:7" hidden="1">
      <c r="A112" s="199" t="s">
        <v>477</v>
      </c>
      <c r="B112" s="200">
        <v>-25000000</v>
      </c>
      <c r="C112" s="200">
        <v>0</v>
      </c>
      <c r="D112" s="201" t="s">
        <v>464</v>
      </c>
      <c r="E112" s="201" t="s">
        <v>478</v>
      </c>
      <c r="F112" s="200" t="s">
        <v>395</v>
      </c>
      <c r="G112" s="200" t="s">
        <v>435</v>
      </c>
    </row>
    <row r="113" spans="1:7" hidden="1">
      <c r="A113" s="199" t="s">
        <v>477</v>
      </c>
      <c r="B113" s="200">
        <v>25000000</v>
      </c>
      <c r="C113" s="200">
        <v>0</v>
      </c>
      <c r="D113" s="201" t="s">
        <v>464</v>
      </c>
      <c r="E113" s="201" t="s">
        <v>478</v>
      </c>
      <c r="F113" s="200" t="s">
        <v>394</v>
      </c>
      <c r="G113" s="200" t="s">
        <v>435</v>
      </c>
    </row>
    <row r="114" spans="1:7" hidden="1">
      <c r="A114" s="199" t="s">
        <v>479</v>
      </c>
      <c r="B114" s="200">
        <v>25000000</v>
      </c>
      <c r="C114" s="200">
        <v>0</v>
      </c>
      <c r="D114" s="201" t="s">
        <v>464</v>
      </c>
      <c r="E114" s="201" t="s">
        <v>478</v>
      </c>
      <c r="F114" s="200" t="s">
        <v>395</v>
      </c>
      <c r="G114" s="200" t="s">
        <v>435</v>
      </c>
    </row>
    <row r="115" spans="1:7" hidden="1">
      <c r="A115" s="199" t="s">
        <v>479</v>
      </c>
      <c r="B115" s="200">
        <v>-25000000</v>
      </c>
      <c r="C115" s="200">
        <v>0</v>
      </c>
      <c r="D115" s="201" t="s">
        <v>464</v>
      </c>
      <c r="E115" s="201" t="s">
        <v>478</v>
      </c>
      <c r="F115" s="200" t="s">
        <v>394</v>
      </c>
      <c r="G115" s="200" t="s">
        <v>435</v>
      </c>
    </row>
    <row r="116" spans="1:7" hidden="1">
      <c r="A116" s="199" t="s">
        <v>480</v>
      </c>
      <c r="B116" s="200">
        <v>-15825000</v>
      </c>
      <c r="C116" s="200">
        <v>0</v>
      </c>
      <c r="D116" s="201" t="s">
        <v>481</v>
      </c>
      <c r="E116" s="201" t="s">
        <v>478</v>
      </c>
      <c r="F116" s="200" t="s">
        <v>395</v>
      </c>
      <c r="G116" s="200" t="s">
        <v>435</v>
      </c>
    </row>
    <row r="117" spans="1:7" hidden="1">
      <c r="A117" s="199" t="s">
        <v>480</v>
      </c>
      <c r="B117" s="200">
        <v>15825000</v>
      </c>
      <c r="C117" s="200">
        <v>0</v>
      </c>
      <c r="D117" s="201" t="s">
        <v>481</v>
      </c>
      <c r="E117" s="201" t="s">
        <v>478</v>
      </c>
      <c r="F117" s="200" t="s">
        <v>482</v>
      </c>
      <c r="G117" s="200" t="s">
        <v>435</v>
      </c>
    </row>
    <row r="118" spans="1:7">
      <c r="A118" s="199" t="s">
        <v>480</v>
      </c>
      <c r="B118" s="200">
        <v>-7925000</v>
      </c>
      <c r="C118" s="200">
        <v>0</v>
      </c>
      <c r="D118" s="201" t="s">
        <v>282</v>
      </c>
      <c r="E118" s="201" t="s">
        <v>478</v>
      </c>
      <c r="F118" s="200" t="s">
        <v>395</v>
      </c>
      <c r="G118" s="200" t="s">
        <v>435</v>
      </c>
    </row>
    <row r="119" spans="1:7">
      <c r="A119" s="199" t="s">
        <v>480</v>
      </c>
      <c r="B119" s="200">
        <v>7925000</v>
      </c>
      <c r="C119" s="200">
        <v>0</v>
      </c>
      <c r="D119" s="201" t="s">
        <v>282</v>
      </c>
      <c r="E119" s="201" t="s">
        <v>478</v>
      </c>
      <c r="F119" s="200" t="s">
        <v>482</v>
      </c>
      <c r="G119" s="200" t="s">
        <v>435</v>
      </c>
    </row>
    <row r="120" spans="1:7" hidden="1">
      <c r="A120" s="199" t="s">
        <v>483</v>
      </c>
      <c r="B120" s="200">
        <v>34631250</v>
      </c>
      <c r="C120" s="200">
        <v>0</v>
      </c>
      <c r="D120" s="201" t="s">
        <v>481</v>
      </c>
      <c r="E120" s="201" t="s">
        <v>478</v>
      </c>
      <c r="F120" s="200" t="s">
        <v>395</v>
      </c>
      <c r="G120" s="200" t="s">
        <v>435</v>
      </c>
    </row>
    <row r="121" spans="1:7">
      <c r="A121" s="199" t="s">
        <v>483</v>
      </c>
      <c r="B121" s="200">
        <v>12868750</v>
      </c>
      <c r="C121" s="200">
        <v>0</v>
      </c>
      <c r="D121" s="201" t="s">
        <v>282</v>
      </c>
      <c r="E121" s="201" t="s">
        <v>478</v>
      </c>
      <c r="F121" s="200" t="s">
        <v>395</v>
      </c>
      <c r="G121" s="200" t="s">
        <v>435</v>
      </c>
    </row>
    <row r="122" spans="1:7">
      <c r="A122" s="199" t="s">
        <v>484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395</v>
      </c>
      <c r="G122" s="200" t="s">
        <v>435</v>
      </c>
    </row>
    <row r="123" spans="1:7">
      <c r="A123" s="199" t="s">
        <v>484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394</v>
      </c>
      <c r="G123" s="200" t="s">
        <v>435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395</v>
      </c>
      <c r="G124" s="200" t="s">
        <v>435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394</v>
      </c>
      <c r="G125" s="200" t="s">
        <v>435</v>
      </c>
    </row>
    <row r="126" spans="1:7">
      <c r="A126" s="199" t="s">
        <v>485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395</v>
      </c>
      <c r="G126" s="200" t="s">
        <v>435</v>
      </c>
    </row>
    <row r="127" spans="1:7">
      <c r="A127" s="199" t="s">
        <v>485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446</v>
      </c>
      <c r="G127" s="200" t="s">
        <v>435</v>
      </c>
    </row>
    <row r="128" spans="1:7">
      <c r="A128" s="199" t="s">
        <v>485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394</v>
      </c>
      <c r="G128" s="200" t="s">
        <v>435</v>
      </c>
    </row>
    <row r="129" spans="1:7" hidden="1">
      <c r="A129" s="199" t="s">
        <v>486</v>
      </c>
      <c r="B129" s="200">
        <v>367</v>
      </c>
      <c r="C129" s="200">
        <v>0</v>
      </c>
      <c r="D129" s="201" t="s">
        <v>441</v>
      </c>
      <c r="E129" s="201" t="s">
        <v>487</v>
      </c>
      <c r="F129" s="200" t="s">
        <v>395</v>
      </c>
      <c r="G129" s="200" t="s">
        <v>435</v>
      </c>
    </row>
    <row r="130" spans="1:7" hidden="1">
      <c r="A130" s="199" t="s">
        <v>486</v>
      </c>
      <c r="B130" s="200">
        <v>85</v>
      </c>
      <c r="C130" s="200">
        <v>0</v>
      </c>
      <c r="D130" s="201" t="s">
        <v>438</v>
      </c>
      <c r="E130" s="201" t="s">
        <v>487</v>
      </c>
      <c r="F130" s="200" t="s">
        <v>395</v>
      </c>
      <c r="G130" s="200" t="s">
        <v>435</v>
      </c>
    </row>
    <row r="131" spans="1:7" hidden="1">
      <c r="A131" s="199" t="s">
        <v>486</v>
      </c>
      <c r="B131" s="200">
        <v>-33</v>
      </c>
      <c r="C131" s="200">
        <v>0</v>
      </c>
      <c r="D131" s="201" t="s">
        <v>438</v>
      </c>
      <c r="E131" s="201" t="s">
        <v>487</v>
      </c>
      <c r="F131" s="200" t="s">
        <v>397</v>
      </c>
      <c r="G131" s="200" t="s">
        <v>435</v>
      </c>
    </row>
    <row r="132" spans="1:7" hidden="1">
      <c r="A132" s="199" t="s">
        <v>486</v>
      </c>
      <c r="B132" s="200">
        <v>-21</v>
      </c>
      <c r="C132" s="200">
        <v>0</v>
      </c>
      <c r="D132" s="201" t="s">
        <v>443</v>
      </c>
      <c r="E132" s="201" t="s">
        <v>487</v>
      </c>
      <c r="F132" s="200" t="s">
        <v>395</v>
      </c>
      <c r="G132" s="200" t="s">
        <v>435</v>
      </c>
    </row>
    <row r="133" spans="1:7" hidden="1">
      <c r="A133" s="199" t="s">
        <v>488</v>
      </c>
      <c r="B133" s="200">
        <v>887</v>
      </c>
      <c r="C133" s="200">
        <v>0</v>
      </c>
      <c r="D133" s="201" t="s">
        <v>441</v>
      </c>
      <c r="E133" s="201" t="s">
        <v>489</v>
      </c>
      <c r="F133" s="200" t="s">
        <v>395</v>
      </c>
      <c r="G133" s="200" t="s">
        <v>435</v>
      </c>
    </row>
    <row r="134" spans="1:7" hidden="1">
      <c r="A134" s="199" t="s">
        <v>490</v>
      </c>
      <c r="B134" s="200">
        <v>-887</v>
      </c>
      <c r="C134" s="200">
        <v>0</v>
      </c>
      <c r="D134" s="201" t="s">
        <v>441</v>
      </c>
      <c r="E134" s="201" t="s">
        <v>489</v>
      </c>
      <c r="F134" s="200" t="s">
        <v>395</v>
      </c>
      <c r="G134" s="200" t="s">
        <v>435</v>
      </c>
    </row>
    <row r="135" spans="1:7" hidden="1">
      <c r="A135" s="199" t="s">
        <v>491</v>
      </c>
      <c r="B135" s="200">
        <v>887</v>
      </c>
      <c r="C135" s="200">
        <v>0</v>
      </c>
      <c r="D135" s="201" t="s">
        <v>441</v>
      </c>
      <c r="E135" s="201" t="s">
        <v>489</v>
      </c>
      <c r="F135" s="200" t="s">
        <v>395</v>
      </c>
      <c r="G135" s="200" t="s">
        <v>435</v>
      </c>
    </row>
    <row r="136" spans="1:7" hidden="1">
      <c r="A136" s="199" t="s">
        <v>492</v>
      </c>
      <c r="B136" s="200">
        <v>-512</v>
      </c>
      <c r="C136" s="200">
        <v>0</v>
      </c>
      <c r="D136" s="201" t="s">
        <v>441</v>
      </c>
      <c r="E136" s="201" t="s">
        <v>487</v>
      </c>
      <c r="F136" s="200" t="s">
        <v>395</v>
      </c>
      <c r="G136" s="200" t="s">
        <v>435</v>
      </c>
    </row>
    <row r="137" spans="1:7" hidden="1">
      <c r="A137" s="199" t="s">
        <v>493</v>
      </c>
      <c r="B137" s="200">
        <v>3612</v>
      </c>
      <c r="C137" s="200">
        <v>0</v>
      </c>
      <c r="D137" s="201" t="s">
        <v>443</v>
      </c>
      <c r="E137" s="201" t="s">
        <v>317</v>
      </c>
      <c r="F137" s="200" t="s">
        <v>395</v>
      </c>
      <c r="G137" s="200" t="s">
        <v>435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395</v>
      </c>
      <c r="G138" s="200" t="s">
        <v>435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442</v>
      </c>
      <c r="G139" s="200" t="s">
        <v>435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395</v>
      </c>
      <c r="G140" s="200" t="s">
        <v>435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409</v>
      </c>
      <c r="G141" s="200" t="s">
        <v>435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394</v>
      </c>
      <c r="G142" s="200" t="s">
        <v>435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414</v>
      </c>
      <c r="G143" s="200" t="s">
        <v>435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404</v>
      </c>
      <c r="G144" s="200" t="s">
        <v>435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442</v>
      </c>
      <c r="G145" s="200" t="s">
        <v>435</v>
      </c>
    </row>
    <row r="146" spans="1:7">
      <c r="A146" s="199" t="s">
        <v>494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409</v>
      </c>
      <c r="G146" s="200" t="s">
        <v>435</v>
      </c>
    </row>
    <row r="147" spans="1:7">
      <c r="A147" s="199" t="s">
        <v>494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394</v>
      </c>
      <c r="G147" s="200" t="s">
        <v>435</v>
      </c>
    </row>
    <row r="148" spans="1:7">
      <c r="A148" s="199" t="s">
        <v>495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395</v>
      </c>
      <c r="G148" s="200" t="s">
        <v>435</v>
      </c>
    </row>
    <row r="149" spans="1:7">
      <c r="A149" s="199" t="s">
        <v>495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409</v>
      </c>
      <c r="G149" s="200" t="s">
        <v>435</v>
      </c>
    </row>
    <row r="150" spans="1:7">
      <c r="A150" s="199" t="s">
        <v>495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394</v>
      </c>
      <c r="G150" s="200" t="s">
        <v>435</v>
      </c>
    </row>
    <row r="151" spans="1:7">
      <c r="A151" s="199" t="s">
        <v>496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409</v>
      </c>
      <c r="G151" s="200" t="s">
        <v>435</v>
      </c>
    </row>
    <row r="152" spans="1:7">
      <c r="A152" s="199" t="s">
        <v>496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394</v>
      </c>
      <c r="G152" s="200" t="s">
        <v>435</v>
      </c>
    </row>
    <row r="153" spans="1:7">
      <c r="A153" s="199" t="s">
        <v>497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395</v>
      </c>
      <c r="G153" s="200" t="s">
        <v>435</v>
      </c>
    </row>
    <row r="154" spans="1:7">
      <c r="A154" s="199" t="s">
        <v>497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409</v>
      </c>
      <c r="G154" s="200" t="s">
        <v>435</v>
      </c>
    </row>
    <row r="155" spans="1:7">
      <c r="A155" s="199" t="s">
        <v>498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395</v>
      </c>
      <c r="G155" s="200" t="s">
        <v>435</v>
      </c>
    </row>
    <row r="156" spans="1:7">
      <c r="A156" s="199" t="s">
        <v>498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409</v>
      </c>
      <c r="G156" s="200" t="s">
        <v>435</v>
      </c>
    </row>
    <row r="157" spans="1:7">
      <c r="A157" s="199" t="s">
        <v>498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394</v>
      </c>
      <c r="G157" s="200" t="s">
        <v>435</v>
      </c>
    </row>
    <row r="158" spans="1:7">
      <c r="A158" s="199" t="s">
        <v>499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395</v>
      </c>
      <c r="G158" s="200" t="s">
        <v>435</v>
      </c>
    </row>
    <row r="159" spans="1:7">
      <c r="A159" s="199" t="s">
        <v>499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409</v>
      </c>
      <c r="G159" s="200" t="s">
        <v>435</v>
      </c>
    </row>
    <row r="160" spans="1:7">
      <c r="A160" s="199" t="s">
        <v>500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395</v>
      </c>
      <c r="G160" s="200" t="s">
        <v>435</v>
      </c>
    </row>
    <row r="161" spans="1:7">
      <c r="A161" s="199" t="s">
        <v>500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446</v>
      </c>
      <c r="G161" s="200" t="s">
        <v>435</v>
      </c>
    </row>
    <row r="162" spans="1:7">
      <c r="A162" s="199" t="s">
        <v>500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398</v>
      </c>
      <c r="G162" s="200" t="s">
        <v>435</v>
      </c>
    </row>
    <row r="163" spans="1:7">
      <c r="A163" s="199" t="s">
        <v>500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394</v>
      </c>
      <c r="G163" s="200" t="s">
        <v>435</v>
      </c>
    </row>
    <row r="164" spans="1:7">
      <c r="A164" s="199" t="s">
        <v>501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446</v>
      </c>
      <c r="G164" s="200" t="s">
        <v>435</v>
      </c>
    </row>
    <row r="165" spans="1:7">
      <c r="A165" s="199" t="s">
        <v>501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394</v>
      </c>
      <c r="G165" s="200" t="s">
        <v>435</v>
      </c>
    </row>
    <row r="166" spans="1:7">
      <c r="A166" s="199" t="s">
        <v>502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395</v>
      </c>
      <c r="G166" s="200" t="s">
        <v>435</v>
      </c>
    </row>
    <row r="167" spans="1:7">
      <c r="A167" s="199" t="s">
        <v>502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394</v>
      </c>
      <c r="G167" s="200" t="s">
        <v>435</v>
      </c>
    </row>
    <row r="168" spans="1:7">
      <c r="A168" s="199" t="s">
        <v>502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404</v>
      </c>
      <c r="G168" s="200" t="s">
        <v>435</v>
      </c>
    </row>
    <row r="169" spans="1:7" hidden="1">
      <c r="A169" s="199" t="s">
        <v>503</v>
      </c>
      <c r="B169" s="200">
        <v>-207130</v>
      </c>
      <c r="C169" s="200">
        <v>0</v>
      </c>
      <c r="D169" s="201" t="s">
        <v>438</v>
      </c>
      <c r="E169" s="201" t="s">
        <v>320</v>
      </c>
      <c r="F169" s="200" t="s">
        <v>395</v>
      </c>
      <c r="G169" s="200" t="s">
        <v>435</v>
      </c>
    </row>
    <row r="170" spans="1:7" hidden="1">
      <c r="A170" s="199" t="s">
        <v>503</v>
      </c>
      <c r="B170" s="200">
        <v>207130</v>
      </c>
      <c r="C170" s="200">
        <v>0</v>
      </c>
      <c r="D170" s="201" t="s">
        <v>438</v>
      </c>
      <c r="E170" s="201" t="s">
        <v>320</v>
      </c>
      <c r="F170" s="200" t="s">
        <v>403</v>
      </c>
      <c r="G170" s="200" t="s">
        <v>435</v>
      </c>
    </row>
    <row r="171" spans="1:7" hidden="1">
      <c r="A171" s="199" t="s">
        <v>503</v>
      </c>
      <c r="B171" s="200">
        <v>15270</v>
      </c>
      <c r="C171" s="200">
        <v>0</v>
      </c>
      <c r="D171" s="201" t="s">
        <v>443</v>
      </c>
      <c r="E171" s="201" t="s">
        <v>320</v>
      </c>
      <c r="F171" s="200" t="s">
        <v>395</v>
      </c>
      <c r="G171" s="200" t="s">
        <v>435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395</v>
      </c>
      <c r="G172" s="200" t="s">
        <v>435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442</v>
      </c>
      <c r="G173" s="200" t="s">
        <v>435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395</v>
      </c>
      <c r="G174" s="200" t="s">
        <v>435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414</v>
      </c>
      <c r="G175" s="200" t="s">
        <v>435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442</v>
      </c>
      <c r="G176" s="200" t="s">
        <v>435</v>
      </c>
    </row>
    <row r="177" spans="1:7" hidden="1">
      <c r="A177" s="199" t="s">
        <v>504</v>
      </c>
      <c r="B177" s="200">
        <v>6192</v>
      </c>
      <c r="C177" s="200">
        <v>0</v>
      </c>
      <c r="D177" s="201" t="s">
        <v>443</v>
      </c>
      <c r="E177" s="201" t="s">
        <v>320</v>
      </c>
      <c r="F177" s="200" t="s">
        <v>395</v>
      </c>
      <c r="G177" s="200" t="s">
        <v>435</v>
      </c>
    </row>
    <row r="178" spans="1:7" hidden="1">
      <c r="A178" s="199" t="s">
        <v>504</v>
      </c>
      <c r="B178" s="200">
        <v>-5341</v>
      </c>
      <c r="C178" s="200">
        <v>0</v>
      </c>
      <c r="D178" s="201" t="s">
        <v>443</v>
      </c>
      <c r="E178" s="201" t="s">
        <v>320</v>
      </c>
      <c r="F178" s="200" t="s">
        <v>410</v>
      </c>
      <c r="G178" s="200" t="s">
        <v>435</v>
      </c>
    </row>
    <row r="179" spans="1:7" hidden="1">
      <c r="A179" s="199" t="s">
        <v>505</v>
      </c>
      <c r="B179" s="200">
        <v>-12040</v>
      </c>
      <c r="C179" s="200">
        <v>0</v>
      </c>
      <c r="D179" s="201" t="s">
        <v>441</v>
      </c>
      <c r="E179" s="201" t="s">
        <v>440</v>
      </c>
      <c r="F179" s="200" t="s">
        <v>395</v>
      </c>
      <c r="G179" s="200" t="s">
        <v>435</v>
      </c>
    </row>
    <row r="180" spans="1:7" hidden="1">
      <c r="A180" s="199" t="s">
        <v>506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395</v>
      </c>
      <c r="G180" s="200" t="s">
        <v>435</v>
      </c>
    </row>
    <row r="181" spans="1:7" hidden="1">
      <c r="A181" s="199" t="s">
        <v>506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442</v>
      </c>
      <c r="G181" s="200" t="s">
        <v>435</v>
      </c>
    </row>
    <row r="182" spans="1:7">
      <c r="A182" s="199" t="s">
        <v>506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395</v>
      </c>
      <c r="G182" s="200" t="s">
        <v>435</v>
      </c>
    </row>
    <row r="183" spans="1:7">
      <c r="A183" s="199" t="s">
        <v>506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394</v>
      </c>
      <c r="G183" s="200" t="s">
        <v>435</v>
      </c>
    </row>
    <row r="184" spans="1:7">
      <c r="A184" s="199" t="s">
        <v>506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442</v>
      </c>
      <c r="G184" s="200" t="s">
        <v>435</v>
      </c>
    </row>
    <row r="185" spans="1:7">
      <c r="A185" s="199" t="s">
        <v>507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395</v>
      </c>
      <c r="G185" s="200" t="s">
        <v>435</v>
      </c>
    </row>
    <row r="186" spans="1:7">
      <c r="A186" s="199" t="s">
        <v>507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446</v>
      </c>
      <c r="G186" s="200" t="s">
        <v>435</v>
      </c>
    </row>
    <row r="187" spans="1:7">
      <c r="A187" s="199" t="s">
        <v>507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404</v>
      </c>
      <c r="G187" s="200" t="s">
        <v>435</v>
      </c>
    </row>
    <row r="188" spans="1:7" hidden="1">
      <c r="A188" s="199" t="s">
        <v>508</v>
      </c>
      <c r="B188" s="200">
        <v>19119</v>
      </c>
      <c r="C188" s="200">
        <v>0</v>
      </c>
      <c r="D188" s="201" t="s">
        <v>443</v>
      </c>
      <c r="E188" s="201" t="s">
        <v>39</v>
      </c>
      <c r="F188" s="200" t="s">
        <v>395</v>
      </c>
      <c r="G188" s="200" t="s">
        <v>435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395</v>
      </c>
      <c r="G189" s="200" t="s">
        <v>435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410</v>
      </c>
      <c r="G190" s="200" t="s">
        <v>435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438</v>
      </c>
      <c r="E191" s="201" t="s">
        <v>322</v>
      </c>
      <c r="F191" s="200" t="s">
        <v>395</v>
      </c>
      <c r="G191" s="200" t="s">
        <v>435</v>
      </c>
    </row>
    <row r="192" spans="1:7" hidden="1">
      <c r="A192" s="199" t="s">
        <v>509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395</v>
      </c>
      <c r="G192" s="200" t="s">
        <v>435</v>
      </c>
    </row>
    <row r="193" spans="1:7" hidden="1">
      <c r="A193" s="199" t="s">
        <v>509</v>
      </c>
      <c r="B193" s="200">
        <v>-93</v>
      </c>
      <c r="C193" s="200">
        <v>0</v>
      </c>
      <c r="D193" s="201" t="s">
        <v>438</v>
      </c>
      <c r="E193" s="201" t="s">
        <v>315</v>
      </c>
      <c r="F193" s="200" t="s">
        <v>395</v>
      </c>
      <c r="G193" s="200" t="s">
        <v>435</v>
      </c>
    </row>
    <row r="194" spans="1:7">
      <c r="A194" s="199" t="s">
        <v>509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395</v>
      </c>
      <c r="G194" s="200" t="s">
        <v>435</v>
      </c>
    </row>
    <row r="195" spans="1:7" hidden="1">
      <c r="A195" s="199" t="s">
        <v>510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395</v>
      </c>
      <c r="G195" s="200" t="s">
        <v>435</v>
      </c>
    </row>
    <row r="196" spans="1:7" hidden="1">
      <c r="A196" s="199" t="s">
        <v>510</v>
      </c>
      <c r="B196" s="200">
        <v>93</v>
      </c>
      <c r="C196" s="200">
        <v>0</v>
      </c>
      <c r="D196" s="201" t="s">
        <v>438</v>
      </c>
      <c r="E196" s="201" t="s">
        <v>315</v>
      </c>
      <c r="F196" s="200" t="s">
        <v>395</v>
      </c>
      <c r="G196" s="200" t="s">
        <v>435</v>
      </c>
    </row>
    <row r="197" spans="1:7">
      <c r="A197" s="199" t="s">
        <v>510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395</v>
      </c>
      <c r="G197" s="200" t="s">
        <v>435</v>
      </c>
    </row>
    <row r="198" spans="1:7" hidden="1">
      <c r="A198" s="199" t="s">
        <v>511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395</v>
      </c>
      <c r="G198" s="200" t="s">
        <v>435</v>
      </c>
    </row>
    <row r="199" spans="1:7">
      <c r="A199" s="199" t="s">
        <v>511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395</v>
      </c>
      <c r="G199" s="200" t="s">
        <v>435</v>
      </c>
    </row>
    <row r="200" spans="1:7">
      <c r="A200" s="199" t="s">
        <v>511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394</v>
      </c>
      <c r="G200" s="200" t="s">
        <v>435</v>
      </c>
    </row>
    <row r="201" spans="1:7" hidden="1">
      <c r="A201" s="199" t="s">
        <v>512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395</v>
      </c>
      <c r="G201" s="200" t="s">
        <v>435</v>
      </c>
    </row>
    <row r="202" spans="1:7">
      <c r="A202" s="199" t="s">
        <v>512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395</v>
      </c>
      <c r="G202" s="200" t="s">
        <v>435</v>
      </c>
    </row>
    <row r="203" spans="1:7">
      <c r="A203" s="199" t="s">
        <v>512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409</v>
      </c>
      <c r="G203" s="200" t="s">
        <v>435</v>
      </c>
    </row>
    <row r="204" spans="1:7" hidden="1">
      <c r="A204" s="199" t="s">
        <v>513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395</v>
      </c>
      <c r="G204" s="200" t="s">
        <v>435</v>
      </c>
    </row>
    <row r="205" spans="1:7">
      <c r="A205" s="199" t="s">
        <v>513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395</v>
      </c>
      <c r="G205" s="200" t="s">
        <v>435</v>
      </c>
    </row>
    <row r="206" spans="1:7">
      <c r="A206" s="199" t="s">
        <v>513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409</v>
      </c>
      <c r="G206" s="200" t="s">
        <v>435</v>
      </c>
    </row>
    <row r="207" spans="1:7">
      <c r="A207" s="199" t="s">
        <v>514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395</v>
      </c>
      <c r="G207" s="200" t="s">
        <v>435</v>
      </c>
    </row>
    <row r="208" spans="1:7">
      <c r="A208" s="199" t="s">
        <v>514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394</v>
      </c>
      <c r="G208" s="200" t="s">
        <v>435</v>
      </c>
    </row>
    <row r="209" spans="1:7" hidden="1">
      <c r="A209" s="199" t="s">
        <v>515</v>
      </c>
      <c r="B209" s="200">
        <v>-2306480</v>
      </c>
      <c r="C209" s="200">
        <v>0</v>
      </c>
      <c r="D209" s="201" t="s">
        <v>441</v>
      </c>
      <c r="E209" s="201" t="s">
        <v>320</v>
      </c>
      <c r="F209" s="200" t="s">
        <v>395</v>
      </c>
      <c r="G209" s="200" t="s">
        <v>435</v>
      </c>
    </row>
    <row r="210" spans="1:7" hidden="1">
      <c r="A210" s="199" t="s">
        <v>515</v>
      </c>
      <c r="B210" s="200">
        <v>-48940</v>
      </c>
      <c r="C210" s="200">
        <v>0</v>
      </c>
      <c r="D210" s="201" t="s">
        <v>441</v>
      </c>
      <c r="E210" s="201" t="s">
        <v>320</v>
      </c>
      <c r="F210" s="200" t="s">
        <v>398</v>
      </c>
      <c r="G210" s="200" t="s">
        <v>435</v>
      </c>
    </row>
    <row r="211" spans="1:7" hidden="1">
      <c r="A211" s="199" t="s">
        <v>515</v>
      </c>
      <c r="B211" s="200">
        <v>-64000</v>
      </c>
      <c r="C211" s="200">
        <v>0</v>
      </c>
      <c r="D211" s="201" t="s">
        <v>441</v>
      </c>
      <c r="E211" s="201" t="s">
        <v>320</v>
      </c>
      <c r="F211" s="200" t="s">
        <v>411</v>
      </c>
      <c r="G211" s="200" t="s">
        <v>435</v>
      </c>
    </row>
    <row r="212" spans="1:7" hidden="1">
      <c r="A212" s="199" t="s">
        <v>515</v>
      </c>
      <c r="B212" s="200">
        <v>80000</v>
      </c>
      <c r="C212" s="200">
        <v>0</v>
      </c>
      <c r="D212" s="201" t="s">
        <v>441</v>
      </c>
      <c r="E212" s="201" t="s">
        <v>320</v>
      </c>
      <c r="F212" s="200" t="s">
        <v>442</v>
      </c>
      <c r="G212" s="200" t="s">
        <v>435</v>
      </c>
    </row>
    <row r="213" spans="1:7" hidden="1">
      <c r="A213" s="199" t="s">
        <v>515</v>
      </c>
      <c r="B213" s="200">
        <v>415000</v>
      </c>
      <c r="C213" s="200">
        <v>0</v>
      </c>
      <c r="D213" s="201" t="s">
        <v>441</v>
      </c>
      <c r="E213" s="201" t="s">
        <v>320</v>
      </c>
      <c r="F213" s="200" t="s">
        <v>403</v>
      </c>
      <c r="G213" s="200" t="s">
        <v>435</v>
      </c>
    </row>
    <row r="214" spans="1:7" hidden="1">
      <c r="A214" s="199" t="s">
        <v>515</v>
      </c>
      <c r="B214" s="200">
        <v>-70000</v>
      </c>
      <c r="C214" s="200">
        <v>0</v>
      </c>
      <c r="D214" s="201" t="s">
        <v>438</v>
      </c>
      <c r="E214" s="201" t="s">
        <v>320</v>
      </c>
      <c r="F214" s="200" t="s">
        <v>411</v>
      </c>
      <c r="G214" s="200" t="s">
        <v>435</v>
      </c>
    </row>
    <row r="215" spans="1:7" hidden="1">
      <c r="A215" s="199" t="s">
        <v>515</v>
      </c>
      <c r="B215" s="200">
        <v>-80000</v>
      </c>
      <c r="C215" s="200">
        <v>0</v>
      </c>
      <c r="D215" s="201" t="s">
        <v>438</v>
      </c>
      <c r="E215" s="201" t="s">
        <v>320</v>
      </c>
      <c r="F215" s="200" t="s">
        <v>442</v>
      </c>
      <c r="G215" s="200" t="s">
        <v>435</v>
      </c>
    </row>
    <row r="216" spans="1:7" hidden="1">
      <c r="A216" s="199" t="s">
        <v>515</v>
      </c>
      <c r="B216" s="200">
        <v>150000</v>
      </c>
      <c r="C216" s="200">
        <v>0</v>
      </c>
      <c r="D216" s="201" t="s">
        <v>438</v>
      </c>
      <c r="E216" s="201" t="s">
        <v>320</v>
      </c>
      <c r="F216" s="200" t="s">
        <v>403</v>
      </c>
      <c r="G216" s="200" t="s">
        <v>435</v>
      </c>
    </row>
    <row r="217" spans="1:7" hidden="1">
      <c r="A217" s="199" t="s">
        <v>515</v>
      </c>
      <c r="B217" s="200">
        <v>-66072</v>
      </c>
      <c r="C217" s="200">
        <v>0</v>
      </c>
      <c r="D217" s="201" t="s">
        <v>443</v>
      </c>
      <c r="E217" s="201" t="s">
        <v>320</v>
      </c>
      <c r="F217" s="200" t="s">
        <v>395</v>
      </c>
      <c r="G217" s="200" t="s">
        <v>435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395</v>
      </c>
      <c r="G218" s="200" t="s">
        <v>435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446</v>
      </c>
      <c r="G219" s="200" t="s">
        <v>435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394</v>
      </c>
      <c r="G220" s="200" t="s">
        <v>435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404</v>
      </c>
      <c r="G221" s="200" t="s">
        <v>435</v>
      </c>
    </row>
    <row r="222" spans="1:7">
      <c r="A222" s="199" t="s">
        <v>516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395</v>
      </c>
      <c r="G222" s="200" t="s">
        <v>435</v>
      </c>
    </row>
    <row r="223" spans="1:7">
      <c r="A223" s="199" t="s">
        <v>516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409</v>
      </c>
      <c r="G223" s="200" t="s">
        <v>435</v>
      </c>
    </row>
    <row r="224" spans="1:7">
      <c r="A224" s="199" t="s">
        <v>517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395</v>
      </c>
      <c r="G224" s="200" t="s">
        <v>435</v>
      </c>
    </row>
    <row r="225" spans="1:7">
      <c r="A225" s="199" t="s">
        <v>517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394</v>
      </c>
      <c r="G225" s="200" t="s">
        <v>435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438</v>
      </c>
      <c r="E226" s="201" t="s">
        <v>320</v>
      </c>
      <c r="F226" s="200" t="s">
        <v>395</v>
      </c>
      <c r="G226" s="200" t="s">
        <v>435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438</v>
      </c>
      <c r="E227" s="201" t="s">
        <v>320</v>
      </c>
      <c r="F227" s="200" t="s">
        <v>394</v>
      </c>
      <c r="G227" s="200" t="s">
        <v>435</v>
      </c>
    </row>
    <row r="228" spans="1:7" hidden="1">
      <c r="A228" s="199" t="s">
        <v>396</v>
      </c>
      <c r="B228" s="200">
        <v>1025</v>
      </c>
      <c r="C228" s="200">
        <v>0</v>
      </c>
      <c r="D228" s="201" t="s">
        <v>283</v>
      </c>
      <c r="E228" s="201" t="s">
        <v>518</v>
      </c>
      <c r="F228" s="200" t="s">
        <v>395</v>
      </c>
      <c r="G228" s="200" t="s">
        <v>435</v>
      </c>
    </row>
    <row r="229" spans="1:7">
      <c r="A229" s="199" t="s">
        <v>396</v>
      </c>
      <c r="B229" s="200">
        <v>883</v>
      </c>
      <c r="C229" s="200">
        <v>0</v>
      </c>
      <c r="D229" s="201" t="s">
        <v>282</v>
      </c>
      <c r="E229" s="201" t="s">
        <v>518</v>
      </c>
      <c r="F229" s="200" t="s">
        <v>395</v>
      </c>
      <c r="G229" s="200" t="s">
        <v>435</v>
      </c>
    </row>
    <row r="230" spans="1:7">
      <c r="A230" s="199" t="s">
        <v>396</v>
      </c>
      <c r="B230" s="200">
        <v>139</v>
      </c>
      <c r="C230" s="200">
        <v>0</v>
      </c>
      <c r="D230" s="201" t="s">
        <v>282</v>
      </c>
      <c r="E230" s="201" t="s">
        <v>518</v>
      </c>
      <c r="F230" s="200" t="s">
        <v>394</v>
      </c>
      <c r="G230" s="200" t="s">
        <v>435</v>
      </c>
    </row>
    <row r="231" spans="1:7" hidden="1">
      <c r="A231" s="199" t="s">
        <v>519</v>
      </c>
      <c r="B231" s="200">
        <v>-140000</v>
      </c>
      <c r="C231" s="200">
        <v>0</v>
      </c>
      <c r="D231" s="201" t="s">
        <v>441</v>
      </c>
      <c r="E231" s="201" t="s">
        <v>39</v>
      </c>
      <c r="F231" s="200" t="s">
        <v>395</v>
      </c>
      <c r="G231" s="200" t="s">
        <v>435</v>
      </c>
    </row>
    <row r="232" spans="1:7" hidden="1">
      <c r="A232" s="199" t="s">
        <v>519</v>
      </c>
      <c r="B232" s="200">
        <v>-16500</v>
      </c>
      <c r="C232" s="200">
        <v>0</v>
      </c>
      <c r="D232" s="201" t="s">
        <v>441</v>
      </c>
      <c r="E232" s="201" t="s">
        <v>39</v>
      </c>
      <c r="F232" s="200" t="s">
        <v>442</v>
      </c>
      <c r="G232" s="200" t="s">
        <v>435</v>
      </c>
    </row>
    <row r="233" spans="1:7" hidden="1">
      <c r="A233" s="199" t="s">
        <v>519</v>
      </c>
      <c r="B233" s="200">
        <v>210000</v>
      </c>
      <c r="C233" s="200">
        <v>0</v>
      </c>
      <c r="D233" s="201" t="s">
        <v>441</v>
      </c>
      <c r="E233" s="201" t="s">
        <v>39</v>
      </c>
      <c r="F233" s="200" t="s">
        <v>412</v>
      </c>
      <c r="G233" s="200" t="s">
        <v>435</v>
      </c>
    </row>
    <row r="234" spans="1:7" hidden="1">
      <c r="A234" s="199" t="s">
        <v>519</v>
      </c>
      <c r="B234" s="200">
        <v>-53500</v>
      </c>
      <c r="C234" s="200">
        <v>0</v>
      </c>
      <c r="D234" s="201" t="s">
        <v>441</v>
      </c>
      <c r="E234" s="201" t="s">
        <v>39</v>
      </c>
      <c r="F234" s="200" t="s">
        <v>403</v>
      </c>
      <c r="G234" s="200" t="s">
        <v>435</v>
      </c>
    </row>
    <row r="235" spans="1:7" hidden="1">
      <c r="A235" s="199" t="s">
        <v>520</v>
      </c>
      <c r="B235" s="200">
        <v>-16500</v>
      </c>
      <c r="C235" s="200">
        <v>0</v>
      </c>
      <c r="D235" s="201" t="s">
        <v>441</v>
      </c>
      <c r="E235" s="201" t="s">
        <v>39</v>
      </c>
      <c r="F235" s="200" t="s">
        <v>395</v>
      </c>
      <c r="G235" s="200" t="s">
        <v>435</v>
      </c>
    </row>
    <row r="236" spans="1:7" hidden="1">
      <c r="A236" s="199" t="s">
        <v>520</v>
      </c>
      <c r="B236" s="200">
        <v>16500</v>
      </c>
      <c r="C236" s="200">
        <v>0</v>
      </c>
      <c r="D236" s="201" t="s">
        <v>441</v>
      </c>
      <c r="E236" s="201" t="s">
        <v>39</v>
      </c>
      <c r="F236" s="200" t="s">
        <v>442</v>
      </c>
      <c r="G236" s="200" t="s">
        <v>435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395</v>
      </c>
      <c r="G237" s="200" t="s">
        <v>435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446</v>
      </c>
      <c r="G238" s="200" t="s">
        <v>435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394</v>
      </c>
      <c r="G239" s="200" t="s">
        <v>435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404</v>
      </c>
      <c r="G240" s="200" t="s">
        <v>435</v>
      </c>
    </row>
    <row r="241" spans="1:7" hidden="1">
      <c r="A241" s="199" t="s">
        <v>521</v>
      </c>
      <c r="B241" s="200">
        <v>460000</v>
      </c>
      <c r="C241" s="200">
        <v>0</v>
      </c>
      <c r="D241" s="201" t="s">
        <v>438</v>
      </c>
      <c r="E241" s="201" t="s">
        <v>320</v>
      </c>
      <c r="F241" s="200" t="s">
        <v>395</v>
      </c>
      <c r="G241" s="200" t="s">
        <v>435</v>
      </c>
    </row>
    <row r="242" spans="1:7" hidden="1">
      <c r="A242" s="199" t="s">
        <v>521</v>
      </c>
      <c r="B242" s="200">
        <v>-460000</v>
      </c>
      <c r="C242" s="200">
        <v>0</v>
      </c>
      <c r="D242" s="201" t="s">
        <v>438</v>
      </c>
      <c r="E242" s="201" t="s">
        <v>320</v>
      </c>
      <c r="F242" s="200" t="s">
        <v>394</v>
      </c>
      <c r="G242" s="200" t="s">
        <v>435</v>
      </c>
    </row>
    <row r="243" spans="1:7" hidden="1">
      <c r="A243" s="199" t="s">
        <v>522</v>
      </c>
      <c r="B243" s="200">
        <v>-14373</v>
      </c>
      <c r="C243" s="200">
        <v>0</v>
      </c>
      <c r="D243" s="201" t="s">
        <v>443</v>
      </c>
      <c r="E243" s="201" t="s">
        <v>523</v>
      </c>
      <c r="F243" s="200" t="s">
        <v>395</v>
      </c>
      <c r="G243" s="200" t="s">
        <v>435</v>
      </c>
    </row>
    <row r="244" spans="1:7" hidden="1">
      <c r="A244" s="199" t="s">
        <v>524</v>
      </c>
      <c r="B244" s="200">
        <v>100000</v>
      </c>
      <c r="C244" s="200">
        <v>0</v>
      </c>
      <c r="D244" s="201" t="s">
        <v>475</v>
      </c>
      <c r="E244" s="201" t="s">
        <v>320</v>
      </c>
      <c r="F244" s="200" t="s">
        <v>395</v>
      </c>
      <c r="G244" s="200" t="s">
        <v>435</v>
      </c>
    </row>
    <row r="245" spans="1:7" hidden="1">
      <c r="A245" s="199" t="s">
        <v>524</v>
      </c>
      <c r="B245" s="200">
        <v>-100000</v>
      </c>
      <c r="C245" s="200">
        <v>0</v>
      </c>
      <c r="D245" s="201" t="s">
        <v>475</v>
      </c>
      <c r="E245" s="201" t="s">
        <v>320</v>
      </c>
      <c r="F245" s="200" t="s">
        <v>403</v>
      </c>
      <c r="G245" s="200" t="s">
        <v>435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395</v>
      </c>
      <c r="G246" s="200" t="s">
        <v>435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442</v>
      </c>
      <c r="G247" s="200" t="s">
        <v>435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395</v>
      </c>
      <c r="G248" s="200" t="s">
        <v>435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394</v>
      </c>
      <c r="G249" s="200" t="s">
        <v>435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414</v>
      </c>
      <c r="G250" s="200" t="s">
        <v>435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404</v>
      </c>
      <c r="G251" s="200" t="s">
        <v>435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442</v>
      </c>
      <c r="G252" s="200" t="s">
        <v>435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412</v>
      </c>
      <c r="G253" s="200" t="s">
        <v>435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442</v>
      </c>
      <c r="G254" s="200" t="s">
        <v>435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409</v>
      </c>
      <c r="G255" s="200" t="s">
        <v>435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442</v>
      </c>
      <c r="G256" s="200" t="s">
        <v>435</v>
      </c>
    </row>
    <row r="257" spans="1:7" hidden="1">
      <c r="A257" s="199" t="s">
        <v>525</v>
      </c>
      <c r="B257" s="200">
        <v>10631200</v>
      </c>
      <c r="C257" s="200">
        <v>0</v>
      </c>
      <c r="D257" s="201" t="s">
        <v>438</v>
      </c>
      <c r="E257" s="201" t="s">
        <v>526</v>
      </c>
      <c r="F257" s="200" t="s">
        <v>395</v>
      </c>
      <c r="G257" s="200" t="s">
        <v>435</v>
      </c>
    </row>
    <row r="258" spans="1:7" hidden="1">
      <c r="A258" s="199" t="s">
        <v>525</v>
      </c>
      <c r="B258" s="200">
        <v>-10631200</v>
      </c>
      <c r="C258" s="200">
        <v>0</v>
      </c>
      <c r="D258" s="201" t="s">
        <v>438</v>
      </c>
      <c r="E258" s="201" t="s">
        <v>526</v>
      </c>
      <c r="F258" s="200" t="s">
        <v>394</v>
      </c>
      <c r="G258" s="200" t="s">
        <v>435</v>
      </c>
    </row>
    <row r="259" spans="1:7">
      <c r="A259" s="199" t="s">
        <v>525</v>
      </c>
      <c r="B259" s="200">
        <v>10631200</v>
      </c>
      <c r="C259" s="200">
        <v>0</v>
      </c>
      <c r="D259" s="201" t="s">
        <v>282</v>
      </c>
      <c r="E259" s="201" t="s">
        <v>526</v>
      </c>
      <c r="F259" s="200" t="s">
        <v>395</v>
      </c>
      <c r="G259" s="200" t="s">
        <v>435</v>
      </c>
    </row>
    <row r="260" spans="1:7">
      <c r="A260" s="199" t="s">
        <v>525</v>
      </c>
      <c r="B260" s="200">
        <v>-10631200</v>
      </c>
      <c r="C260" s="200">
        <v>0</v>
      </c>
      <c r="D260" s="201" t="s">
        <v>282</v>
      </c>
      <c r="E260" s="201" t="s">
        <v>526</v>
      </c>
      <c r="F260" s="200" t="s">
        <v>394</v>
      </c>
      <c r="G260" s="200" t="s">
        <v>435</v>
      </c>
    </row>
    <row r="261" spans="1:7" hidden="1">
      <c r="A261" s="199" t="s">
        <v>527</v>
      </c>
      <c r="B261" s="200">
        <v>4230877</v>
      </c>
      <c r="C261" s="200">
        <v>0</v>
      </c>
      <c r="D261" s="201" t="s">
        <v>441</v>
      </c>
      <c r="E261" s="201" t="s">
        <v>39</v>
      </c>
      <c r="F261" s="200" t="s">
        <v>395</v>
      </c>
      <c r="G261" s="200" t="s">
        <v>435</v>
      </c>
    </row>
    <row r="262" spans="1:7" hidden="1">
      <c r="A262" s="199" t="s">
        <v>527</v>
      </c>
      <c r="B262" s="200">
        <v>178206</v>
      </c>
      <c r="C262" s="200">
        <v>0</v>
      </c>
      <c r="D262" s="201" t="s">
        <v>443</v>
      </c>
      <c r="E262" s="201" t="s">
        <v>39</v>
      </c>
      <c r="F262" s="200" t="s">
        <v>395</v>
      </c>
      <c r="G262" s="200" t="s">
        <v>435</v>
      </c>
    </row>
    <row r="263" spans="1:7" hidden="1">
      <c r="A263" s="199" t="s">
        <v>528</v>
      </c>
      <c r="B263" s="200">
        <v>-37600</v>
      </c>
      <c r="C263" s="200">
        <v>0</v>
      </c>
      <c r="D263" s="201" t="s">
        <v>441</v>
      </c>
      <c r="E263" s="201" t="s">
        <v>327</v>
      </c>
      <c r="F263" s="200" t="s">
        <v>395</v>
      </c>
      <c r="G263" s="200" t="s">
        <v>435</v>
      </c>
    </row>
    <row r="264" spans="1:7" hidden="1">
      <c r="A264" s="199" t="s">
        <v>529</v>
      </c>
      <c r="B264" s="200">
        <v>-37600</v>
      </c>
      <c r="C264" s="200">
        <v>0</v>
      </c>
      <c r="D264" s="201" t="s">
        <v>441</v>
      </c>
      <c r="E264" s="201" t="s">
        <v>327</v>
      </c>
      <c r="F264" s="200" t="s">
        <v>395</v>
      </c>
      <c r="G264" s="200" t="s">
        <v>435</v>
      </c>
    </row>
    <row r="265" spans="1:7" hidden="1">
      <c r="A265" s="199" t="s">
        <v>530</v>
      </c>
      <c r="B265" s="200">
        <v>37600</v>
      </c>
      <c r="C265" s="200">
        <v>0</v>
      </c>
      <c r="D265" s="201" t="s">
        <v>441</v>
      </c>
      <c r="E265" s="201" t="s">
        <v>327</v>
      </c>
      <c r="F265" s="200" t="s">
        <v>395</v>
      </c>
      <c r="G265" s="200" t="s">
        <v>435</v>
      </c>
    </row>
    <row r="266" spans="1:7" hidden="1">
      <c r="A266" s="199" t="s">
        <v>531</v>
      </c>
      <c r="B266" s="200">
        <v>-39320</v>
      </c>
      <c r="C266" s="200">
        <v>0</v>
      </c>
      <c r="D266" s="201" t="s">
        <v>441</v>
      </c>
      <c r="E266" s="201" t="s">
        <v>327</v>
      </c>
      <c r="F266" s="200" t="s">
        <v>410</v>
      </c>
      <c r="G266" s="200" t="s">
        <v>435</v>
      </c>
    </row>
    <row r="267" spans="1:7" hidden="1">
      <c r="A267" s="199" t="s">
        <v>532</v>
      </c>
      <c r="B267" s="200">
        <v>-39320</v>
      </c>
      <c r="C267" s="200">
        <v>0</v>
      </c>
      <c r="D267" s="201" t="s">
        <v>441</v>
      </c>
      <c r="E267" s="201" t="s">
        <v>327</v>
      </c>
      <c r="F267" s="200" t="s">
        <v>410</v>
      </c>
      <c r="G267" s="200" t="s">
        <v>435</v>
      </c>
    </row>
    <row r="268" spans="1:7" hidden="1">
      <c r="A268" s="199" t="s">
        <v>533</v>
      </c>
      <c r="B268" s="200">
        <v>39320</v>
      </c>
      <c r="C268" s="200">
        <v>0</v>
      </c>
      <c r="D268" s="201" t="s">
        <v>441</v>
      </c>
      <c r="E268" s="201" t="s">
        <v>327</v>
      </c>
      <c r="F268" s="200" t="s">
        <v>410</v>
      </c>
      <c r="G268" s="200" t="s">
        <v>435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438</v>
      </c>
      <c r="E269" s="201" t="s">
        <v>320</v>
      </c>
      <c r="F269" s="200" t="s">
        <v>395</v>
      </c>
      <c r="G269" s="200" t="s">
        <v>435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438</v>
      </c>
      <c r="E270" s="201" t="s">
        <v>320</v>
      </c>
      <c r="F270" s="200" t="s">
        <v>403</v>
      </c>
      <c r="G270" s="200" t="s">
        <v>435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395</v>
      </c>
      <c r="G271" s="200" t="s">
        <v>435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394</v>
      </c>
      <c r="G272" s="200" t="s">
        <v>435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443</v>
      </c>
      <c r="E273" s="201" t="s">
        <v>320</v>
      </c>
      <c r="F273" s="200" t="s">
        <v>395</v>
      </c>
      <c r="G273" s="200" t="s">
        <v>435</v>
      </c>
    </row>
    <row r="274" spans="1:7" hidden="1">
      <c r="A274" s="199" t="s">
        <v>534</v>
      </c>
      <c r="B274" s="200">
        <v>17600</v>
      </c>
      <c r="C274" s="200">
        <v>0</v>
      </c>
      <c r="D274" s="201" t="s">
        <v>443</v>
      </c>
      <c r="E274" s="201" t="s">
        <v>39</v>
      </c>
      <c r="F274" s="200" t="s">
        <v>395</v>
      </c>
      <c r="G274" s="200" t="s">
        <v>435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395</v>
      </c>
      <c r="G275" s="200" t="s">
        <v>435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442</v>
      </c>
      <c r="G276" s="200" t="s">
        <v>435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438</v>
      </c>
      <c r="E277" s="201" t="s">
        <v>320</v>
      </c>
      <c r="F277" s="200" t="s">
        <v>395</v>
      </c>
      <c r="G277" s="200" t="s">
        <v>435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395</v>
      </c>
      <c r="G278" s="200" t="s">
        <v>435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446</v>
      </c>
      <c r="G279" s="200" t="s">
        <v>435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394</v>
      </c>
      <c r="G280" s="200" t="s">
        <v>435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414</v>
      </c>
      <c r="G281" s="200" t="s">
        <v>435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404</v>
      </c>
      <c r="G282" s="200" t="s">
        <v>435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442</v>
      </c>
      <c r="G283" s="200" t="s">
        <v>435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450</v>
      </c>
      <c r="G284" s="200" t="s">
        <v>435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395</v>
      </c>
      <c r="G285" s="200" t="s">
        <v>435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395</v>
      </c>
      <c r="G286" s="200" t="s">
        <v>435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446</v>
      </c>
      <c r="G287" s="200" t="s">
        <v>435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394</v>
      </c>
      <c r="G288" s="200" t="s">
        <v>435</v>
      </c>
    </row>
    <row r="289" spans="1:7" hidden="1">
      <c r="A289" s="199" t="s">
        <v>535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395</v>
      </c>
      <c r="G289" s="200" t="s">
        <v>435</v>
      </c>
    </row>
    <row r="290" spans="1:7">
      <c r="A290" s="199" t="s">
        <v>535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395</v>
      </c>
      <c r="G290" s="200" t="s">
        <v>435</v>
      </c>
    </row>
    <row r="291" spans="1:7">
      <c r="A291" s="199" t="s">
        <v>535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409</v>
      </c>
      <c r="G291" s="200" t="s">
        <v>435</v>
      </c>
    </row>
    <row r="292" spans="1:7" hidden="1">
      <c r="A292" s="199" t="s">
        <v>536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395</v>
      </c>
      <c r="G292" s="200" t="s">
        <v>435</v>
      </c>
    </row>
    <row r="293" spans="1:7">
      <c r="A293" s="199" t="s">
        <v>536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395</v>
      </c>
      <c r="G293" s="200" t="s">
        <v>435</v>
      </c>
    </row>
    <row r="294" spans="1:7">
      <c r="A294" s="199" t="s">
        <v>536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409</v>
      </c>
      <c r="G294" s="200" t="s">
        <v>435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409</v>
      </c>
      <c r="G295" s="200" t="s">
        <v>435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394</v>
      </c>
      <c r="G296" s="200" t="s">
        <v>435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414</v>
      </c>
      <c r="G297" s="200" t="s">
        <v>435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438</v>
      </c>
      <c r="E298" s="201" t="s">
        <v>320</v>
      </c>
      <c r="F298" s="200" t="s">
        <v>395</v>
      </c>
      <c r="G298" s="200" t="s">
        <v>435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438</v>
      </c>
      <c r="E299" s="201" t="s">
        <v>320</v>
      </c>
      <c r="F299" s="200" t="s">
        <v>394</v>
      </c>
      <c r="G299" s="200" t="s">
        <v>435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395</v>
      </c>
      <c r="G300" s="200" t="s">
        <v>435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409</v>
      </c>
      <c r="G301" s="200" t="s">
        <v>435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394</v>
      </c>
      <c r="G302" s="200" t="s">
        <v>435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414</v>
      </c>
      <c r="G303" s="200" t="s">
        <v>435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404</v>
      </c>
      <c r="G304" s="200" t="s">
        <v>435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443</v>
      </c>
      <c r="E305" s="201" t="s">
        <v>320</v>
      </c>
      <c r="F305" s="200" t="s">
        <v>395</v>
      </c>
      <c r="G305" s="200" t="s">
        <v>435</v>
      </c>
    </row>
    <row r="306" spans="1:7" hidden="1">
      <c r="A306" s="199" t="s">
        <v>537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395</v>
      </c>
      <c r="G306" s="200" t="s">
        <v>435</v>
      </c>
    </row>
    <row r="307" spans="1:7" hidden="1">
      <c r="A307" s="199" t="s">
        <v>537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442</v>
      </c>
      <c r="G307" s="200" t="s">
        <v>435</v>
      </c>
    </row>
    <row r="308" spans="1:7">
      <c r="A308" s="199" t="s">
        <v>537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395</v>
      </c>
      <c r="G308" s="200" t="s">
        <v>435</v>
      </c>
    </row>
    <row r="309" spans="1:7">
      <c r="A309" s="199" t="s">
        <v>537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409</v>
      </c>
      <c r="G309" s="200" t="s">
        <v>435</v>
      </c>
    </row>
    <row r="310" spans="1:7">
      <c r="A310" s="199" t="s">
        <v>537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394</v>
      </c>
      <c r="G310" s="200" t="s">
        <v>435</v>
      </c>
    </row>
    <row r="311" spans="1:7">
      <c r="A311" s="199" t="s">
        <v>537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442</v>
      </c>
      <c r="G311" s="200" t="s">
        <v>435</v>
      </c>
    </row>
    <row r="312" spans="1:7" hidden="1">
      <c r="A312" s="199" t="s">
        <v>538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409</v>
      </c>
      <c r="G312" s="200" t="s">
        <v>435</v>
      </c>
    </row>
    <row r="313" spans="1:7" hidden="1">
      <c r="A313" s="199" t="s">
        <v>538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442</v>
      </c>
      <c r="G313" s="200" t="s">
        <v>435</v>
      </c>
    </row>
    <row r="314" spans="1:7">
      <c r="A314" s="199" t="s">
        <v>538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409</v>
      </c>
      <c r="G314" s="200" t="s">
        <v>435</v>
      </c>
    </row>
    <row r="315" spans="1:7">
      <c r="A315" s="199" t="s">
        <v>538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394</v>
      </c>
      <c r="G315" s="200" t="s">
        <v>435</v>
      </c>
    </row>
    <row r="316" spans="1:7">
      <c r="A316" s="199" t="s">
        <v>538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442</v>
      </c>
      <c r="G316" s="200" t="s">
        <v>435</v>
      </c>
    </row>
    <row r="317" spans="1:7" hidden="1">
      <c r="A317" s="199" t="s">
        <v>539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395</v>
      </c>
      <c r="G317" s="200" t="s">
        <v>435</v>
      </c>
    </row>
    <row r="318" spans="1:7" hidden="1">
      <c r="A318" s="199" t="s">
        <v>539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442</v>
      </c>
      <c r="G318" s="200" t="s">
        <v>435</v>
      </c>
    </row>
    <row r="319" spans="1:7">
      <c r="A319" s="199" t="s">
        <v>539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395</v>
      </c>
      <c r="G319" s="200" t="s">
        <v>435</v>
      </c>
    </row>
    <row r="320" spans="1:7">
      <c r="A320" s="199" t="s">
        <v>539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409</v>
      </c>
      <c r="G320" s="200" t="s">
        <v>435</v>
      </c>
    </row>
    <row r="321" spans="1:7">
      <c r="A321" s="199" t="s">
        <v>539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394</v>
      </c>
      <c r="G321" s="200" t="s">
        <v>435</v>
      </c>
    </row>
    <row r="322" spans="1:7">
      <c r="A322" s="199" t="s">
        <v>539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442</v>
      </c>
      <c r="G322" s="200" t="s">
        <v>435</v>
      </c>
    </row>
    <row r="323" spans="1:7" hidden="1">
      <c r="A323" s="199" t="s">
        <v>540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395</v>
      </c>
      <c r="G323" s="200" t="s">
        <v>435</v>
      </c>
    </row>
    <row r="324" spans="1:7" hidden="1">
      <c r="A324" s="199" t="s">
        <v>540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409</v>
      </c>
      <c r="G324" s="200" t="s">
        <v>435</v>
      </c>
    </row>
    <row r="325" spans="1:7" hidden="1">
      <c r="A325" s="199" t="s">
        <v>540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442</v>
      </c>
      <c r="G325" s="200" t="s">
        <v>435</v>
      </c>
    </row>
    <row r="326" spans="1:7">
      <c r="A326" s="199" t="s">
        <v>540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395</v>
      </c>
      <c r="G326" s="200" t="s">
        <v>435</v>
      </c>
    </row>
    <row r="327" spans="1:7">
      <c r="A327" s="199" t="s">
        <v>540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409</v>
      </c>
      <c r="G327" s="200" t="s">
        <v>435</v>
      </c>
    </row>
    <row r="328" spans="1:7">
      <c r="A328" s="199" t="s">
        <v>540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394</v>
      </c>
      <c r="G328" s="200" t="s">
        <v>435</v>
      </c>
    </row>
    <row r="329" spans="1:7">
      <c r="A329" s="199" t="s">
        <v>540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442</v>
      </c>
      <c r="G329" s="200" t="s">
        <v>435</v>
      </c>
    </row>
    <row r="330" spans="1:7" hidden="1">
      <c r="A330" s="199" t="s">
        <v>541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395</v>
      </c>
      <c r="G330" s="200" t="s">
        <v>435</v>
      </c>
    </row>
    <row r="331" spans="1:7">
      <c r="A331" s="199" t="s">
        <v>541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395</v>
      </c>
      <c r="G331" s="200" t="s">
        <v>435</v>
      </c>
    </row>
    <row r="332" spans="1:7">
      <c r="A332" s="199" t="s">
        <v>541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409</v>
      </c>
      <c r="G332" s="200" t="s">
        <v>435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395</v>
      </c>
      <c r="G333" s="200" t="s">
        <v>435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395</v>
      </c>
      <c r="G334" s="200" t="s">
        <v>435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409</v>
      </c>
      <c r="G335" s="200" t="s">
        <v>435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395</v>
      </c>
      <c r="G336" s="200" t="s">
        <v>435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395</v>
      </c>
      <c r="G337" s="200" t="s">
        <v>435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409</v>
      </c>
      <c r="G338" s="200" t="s">
        <v>435</v>
      </c>
    </row>
    <row r="339" spans="1:7" hidden="1">
      <c r="A339" s="199" t="s">
        <v>542</v>
      </c>
      <c r="B339" s="200">
        <v>1060000</v>
      </c>
      <c r="C339" s="200">
        <v>0</v>
      </c>
      <c r="D339" s="201" t="s">
        <v>464</v>
      </c>
      <c r="E339" s="201" t="s">
        <v>465</v>
      </c>
      <c r="F339" s="200" t="s">
        <v>395</v>
      </c>
      <c r="G339" s="200" t="s">
        <v>435</v>
      </c>
    </row>
    <row r="340" spans="1:7" hidden="1">
      <c r="A340" s="199" t="s">
        <v>542</v>
      </c>
      <c r="B340" s="200">
        <v>-860000</v>
      </c>
      <c r="C340" s="200">
        <v>0</v>
      </c>
      <c r="D340" s="201" t="s">
        <v>464</v>
      </c>
      <c r="E340" s="201" t="s">
        <v>465</v>
      </c>
      <c r="F340" s="200" t="s">
        <v>414</v>
      </c>
      <c r="G340" s="200" t="s">
        <v>435</v>
      </c>
    </row>
    <row r="341" spans="1:7" hidden="1">
      <c r="A341" s="199" t="s">
        <v>542</v>
      </c>
      <c r="B341" s="200">
        <v>-200000</v>
      </c>
      <c r="C341" s="200">
        <v>0</v>
      </c>
      <c r="D341" s="201" t="s">
        <v>464</v>
      </c>
      <c r="E341" s="201" t="s">
        <v>465</v>
      </c>
      <c r="F341" s="200" t="s">
        <v>470</v>
      </c>
      <c r="G341" s="200" t="s">
        <v>435</v>
      </c>
    </row>
    <row r="342" spans="1:7" hidden="1">
      <c r="A342" s="199" t="s">
        <v>543</v>
      </c>
      <c r="B342" s="200">
        <v>-5500</v>
      </c>
      <c r="C342" s="200">
        <v>0</v>
      </c>
      <c r="D342" s="201" t="s">
        <v>464</v>
      </c>
      <c r="E342" s="201" t="s">
        <v>320</v>
      </c>
      <c r="F342" s="200" t="s">
        <v>395</v>
      </c>
      <c r="G342" s="200" t="s">
        <v>435</v>
      </c>
    </row>
    <row r="343" spans="1:7" hidden="1">
      <c r="A343" s="199" t="s">
        <v>543</v>
      </c>
      <c r="B343" s="200">
        <v>11100</v>
      </c>
      <c r="C343" s="200">
        <v>0</v>
      </c>
      <c r="D343" s="201" t="s">
        <v>464</v>
      </c>
      <c r="E343" s="201" t="s">
        <v>320</v>
      </c>
      <c r="F343" s="200" t="s">
        <v>403</v>
      </c>
      <c r="G343" s="200" t="s">
        <v>435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395</v>
      </c>
      <c r="G344" s="200" t="s">
        <v>435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442</v>
      </c>
      <c r="G345" s="200" t="s">
        <v>435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395</v>
      </c>
      <c r="G346" s="200" t="s">
        <v>435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446</v>
      </c>
      <c r="G347" s="200" t="s">
        <v>435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394</v>
      </c>
      <c r="G348" s="200" t="s">
        <v>435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442</v>
      </c>
      <c r="G349" s="200" t="s">
        <v>435</v>
      </c>
    </row>
    <row r="350" spans="1:7">
      <c r="A350" s="199" t="s">
        <v>544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395</v>
      </c>
      <c r="G350" s="200" t="s">
        <v>435</v>
      </c>
    </row>
    <row r="351" spans="1:7">
      <c r="A351" s="199" t="s">
        <v>544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414</v>
      </c>
      <c r="G351" s="200" t="s">
        <v>435</v>
      </c>
    </row>
    <row r="352" spans="1:7" hidden="1">
      <c r="A352" s="199" t="s">
        <v>545</v>
      </c>
      <c r="B352" s="200">
        <v>1834</v>
      </c>
      <c r="C352" s="200">
        <v>0</v>
      </c>
      <c r="D352" s="201" t="s">
        <v>441</v>
      </c>
      <c r="E352" s="201" t="s">
        <v>317</v>
      </c>
      <c r="F352" s="200" t="s">
        <v>395</v>
      </c>
      <c r="G352" s="200" t="s">
        <v>435</v>
      </c>
    </row>
    <row r="353" spans="1:7" hidden="1">
      <c r="A353" s="199" t="s">
        <v>545</v>
      </c>
      <c r="B353" s="200">
        <v>-758</v>
      </c>
      <c r="C353" s="200">
        <v>0</v>
      </c>
      <c r="D353" s="201" t="s">
        <v>441</v>
      </c>
      <c r="E353" s="201" t="s">
        <v>317</v>
      </c>
      <c r="F353" s="200" t="s">
        <v>442</v>
      </c>
      <c r="G353" s="200" t="s">
        <v>435</v>
      </c>
    </row>
    <row r="354" spans="1:7" hidden="1">
      <c r="A354" s="199" t="s">
        <v>545</v>
      </c>
      <c r="B354" s="200">
        <v>-40</v>
      </c>
      <c r="C354" s="200">
        <v>0</v>
      </c>
      <c r="D354" s="201" t="s">
        <v>441</v>
      </c>
      <c r="E354" s="201" t="s">
        <v>317</v>
      </c>
      <c r="F354" s="200" t="s">
        <v>403</v>
      </c>
      <c r="G354" s="200" t="s">
        <v>435</v>
      </c>
    </row>
    <row r="355" spans="1:7" hidden="1">
      <c r="A355" s="199" t="s">
        <v>545</v>
      </c>
      <c r="B355" s="200">
        <v>136</v>
      </c>
      <c r="C355" s="200">
        <v>0</v>
      </c>
      <c r="D355" s="201" t="s">
        <v>443</v>
      </c>
      <c r="E355" s="201" t="s">
        <v>317</v>
      </c>
      <c r="F355" s="200" t="s">
        <v>395</v>
      </c>
      <c r="G355" s="200" t="s">
        <v>435</v>
      </c>
    </row>
    <row r="356" spans="1:7" hidden="1">
      <c r="A356" s="199" t="s">
        <v>545</v>
      </c>
      <c r="B356" s="200">
        <v>758</v>
      </c>
      <c r="C356" s="200">
        <v>0</v>
      </c>
      <c r="D356" s="201" t="s">
        <v>443</v>
      </c>
      <c r="E356" s="201" t="s">
        <v>317</v>
      </c>
      <c r="F356" s="200" t="s">
        <v>442</v>
      </c>
      <c r="G356" s="200" t="s">
        <v>435</v>
      </c>
    </row>
    <row r="357" spans="1:7" hidden="1">
      <c r="A357" s="199" t="s">
        <v>545</v>
      </c>
      <c r="B357" s="200">
        <v>-34</v>
      </c>
      <c r="C357" s="200">
        <v>0</v>
      </c>
      <c r="D357" s="201" t="s">
        <v>443</v>
      </c>
      <c r="E357" s="201" t="s">
        <v>317</v>
      </c>
      <c r="F357" s="200" t="s">
        <v>403</v>
      </c>
      <c r="G357" s="200" t="s">
        <v>435</v>
      </c>
    </row>
    <row r="358" spans="1:7" hidden="1">
      <c r="A358" s="199" t="s">
        <v>545</v>
      </c>
      <c r="B358" s="200">
        <v>420</v>
      </c>
      <c r="C358" s="200">
        <v>0</v>
      </c>
      <c r="D358" s="201" t="s">
        <v>546</v>
      </c>
      <c r="E358" s="201" t="s">
        <v>317</v>
      </c>
      <c r="F358" s="200" t="s">
        <v>395</v>
      </c>
      <c r="G358" s="200" t="s">
        <v>435</v>
      </c>
    </row>
    <row r="359" spans="1:7" hidden="1">
      <c r="A359" s="199" t="s">
        <v>545</v>
      </c>
      <c r="B359" s="200">
        <v>1165</v>
      </c>
      <c r="C359" s="200">
        <v>0</v>
      </c>
      <c r="D359" s="201" t="s">
        <v>475</v>
      </c>
      <c r="E359" s="201" t="s">
        <v>317</v>
      </c>
      <c r="F359" s="200" t="s">
        <v>395</v>
      </c>
      <c r="G359" s="200" t="s">
        <v>435</v>
      </c>
    </row>
    <row r="360" spans="1:7" hidden="1">
      <c r="A360" s="199" t="s">
        <v>547</v>
      </c>
      <c r="B360" s="200">
        <v>402</v>
      </c>
      <c r="C360" s="200">
        <v>0</v>
      </c>
      <c r="D360" s="201" t="s">
        <v>438</v>
      </c>
      <c r="E360" s="201" t="s">
        <v>548</v>
      </c>
      <c r="F360" s="200" t="s">
        <v>395</v>
      </c>
      <c r="G360" s="200" t="s">
        <v>435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395</v>
      </c>
      <c r="G361" s="200" t="s">
        <v>435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442</v>
      </c>
      <c r="G362" s="200" t="s">
        <v>435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438</v>
      </c>
      <c r="E363" s="201" t="s">
        <v>317</v>
      </c>
      <c r="F363" s="200" t="s">
        <v>395</v>
      </c>
      <c r="G363" s="200" t="s">
        <v>435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438</v>
      </c>
      <c r="E364" s="201" t="s">
        <v>317</v>
      </c>
      <c r="F364" s="200" t="s">
        <v>442</v>
      </c>
      <c r="G364" s="200" t="s">
        <v>435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395</v>
      </c>
      <c r="G365" s="200" t="s">
        <v>435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446</v>
      </c>
      <c r="G366" s="200" t="s">
        <v>435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409</v>
      </c>
      <c r="G367" s="200" t="s">
        <v>435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394</v>
      </c>
      <c r="G368" s="200" t="s">
        <v>435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414</v>
      </c>
      <c r="G369" s="200" t="s">
        <v>435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442</v>
      </c>
      <c r="G370" s="200" t="s">
        <v>435</v>
      </c>
    </row>
    <row r="371" spans="1:7" hidden="1">
      <c r="A371" s="199" t="s">
        <v>549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395</v>
      </c>
      <c r="G371" s="200" t="s">
        <v>435</v>
      </c>
    </row>
    <row r="372" spans="1:7" hidden="1">
      <c r="A372" s="199" t="s">
        <v>549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409</v>
      </c>
      <c r="G372" s="200" t="s">
        <v>435</v>
      </c>
    </row>
    <row r="373" spans="1:7">
      <c r="A373" s="199" t="s">
        <v>549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395</v>
      </c>
      <c r="G373" s="200" t="s">
        <v>435</v>
      </c>
    </row>
    <row r="374" spans="1:7">
      <c r="A374" s="199" t="s">
        <v>549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409</v>
      </c>
      <c r="G374" s="200" t="s">
        <v>435</v>
      </c>
    </row>
    <row r="375" spans="1:7">
      <c r="A375" s="199" t="s">
        <v>549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394</v>
      </c>
      <c r="G375" s="200" t="s">
        <v>435</v>
      </c>
    </row>
    <row r="376" spans="1:7" hidden="1">
      <c r="A376" s="199" t="s">
        <v>550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395</v>
      </c>
      <c r="G376" s="200" t="s">
        <v>435</v>
      </c>
    </row>
    <row r="377" spans="1:7" hidden="1">
      <c r="A377" s="199" t="s">
        <v>550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409</v>
      </c>
      <c r="G377" s="200" t="s">
        <v>435</v>
      </c>
    </row>
    <row r="378" spans="1:7">
      <c r="A378" s="199" t="s">
        <v>550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395</v>
      </c>
      <c r="G378" s="200" t="s">
        <v>435</v>
      </c>
    </row>
    <row r="379" spans="1:7">
      <c r="A379" s="199" t="s">
        <v>550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409</v>
      </c>
      <c r="G379" s="200" t="s">
        <v>435</v>
      </c>
    </row>
    <row r="380" spans="1:7">
      <c r="A380" s="199" t="s">
        <v>550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394</v>
      </c>
      <c r="G380" s="200" t="s">
        <v>435</v>
      </c>
    </row>
    <row r="381" spans="1:7" hidden="1">
      <c r="A381" s="199" t="s">
        <v>551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395</v>
      </c>
      <c r="G381" s="200" t="s">
        <v>435</v>
      </c>
    </row>
    <row r="382" spans="1:7">
      <c r="A382" s="199" t="s">
        <v>551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395</v>
      </c>
      <c r="G382" s="200" t="s">
        <v>435</v>
      </c>
    </row>
    <row r="383" spans="1:7">
      <c r="A383" s="199" t="s">
        <v>551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409</v>
      </c>
      <c r="G383" s="200" t="s">
        <v>435</v>
      </c>
    </row>
    <row r="384" spans="1:7">
      <c r="A384" s="199" t="s">
        <v>551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394</v>
      </c>
      <c r="G384" s="200" t="s">
        <v>435</v>
      </c>
    </row>
    <row r="385" spans="1:7">
      <c r="A385" s="199" t="s">
        <v>552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409</v>
      </c>
      <c r="G385" s="200" t="s">
        <v>435</v>
      </c>
    </row>
    <row r="386" spans="1:7">
      <c r="A386" s="199" t="s">
        <v>552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394</v>
      </c>
      <c r="G386" s="200" t="s">
        <v>435</v>
      </c>
    </row>
    <row r="387" spans="1:7" hidden="1">
      <c r="A387" s="199" t="s">
        <v>553</v>
      </c>
      <c r="B387" s="200">
        <v>53</v>
      </c>
      <c r="C387" s="200">
        <v>0</v>
      </c>
      <c r="D387" s="201" t="s">
        <v>438</v>
      </c>
      <c r="E387" s="201" t="s">
        <v>554</v>
      </c>
      <c r="F387" s="200" t="s">
        <v>395</v>
      </c>
      <c r="G387" s="200" t="s">
        <v>435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395</v>
      </c>
      <c r="G388" s="200" t="s">
        <v>435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394</v>
      </c>
      <c r="G389" s="200" t="s">
        <v>435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414</v>
      </c>
      <c r="G390" s="200" t="s">
        <v>435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404</v>
      </c>
      <c r="G391" s="200" t="s">
        <v>435</v>
      </c>
    </row>
    <row r="392" spans="1:7" hidden="1">
      <c r="A392" s="199" t="s">
        <v>555</v>
      </c>
      <c r="B392" s="200">
        <v>-4319000</v>
      </c>
      <c r="C392" s="200">
        <v>0</v>
      </c>
      <c r="D392" s="201" t="s">
        <v>464</v>
      </c>
      <c r="E392" s="201" t="s">
        <v>465</v>
      </c>
      <c r="F392" s="200" t="s">
        <v>395</v>
      </c>
      <c r="G392" s="200" t="s">
        <v>435</v>
      </c>
    </row>
    <row r="393" spans="1:7" hidden="1">
      <c r="A393" s="199" t="s">
        <v>555</v>
      </c>
      <c r="B393" s="200">
        <v>2483000</v>
      </c>
      <c r="C393" s="200">
        <v>0</v>
      </c>
      <c r="D393" s="201" t="s">
        <v>464</v>
      </c>
      <c r="E393" s="201" t="s">
        <v>465</v>
      </c>
      <c r="F393" s="200" t="s">
        <v>414</v>
      </c>
      <c r="G393" s="200" t="s">
        <v>435</v>
      </c>
    </row>
    <row r="394" spans="1:7" hidden="1">
      <c r="A394" s="199" t="s">
        <v>555</v>
      </c>
      <c r="B394" s="200">
        <v>1836000</v>
      </c>
      <c r="C394" s="200">
        <v>0</v>
      </c>
      <c r="D394" s="201" t="s">
        <v>464</v>
      </c>
      <c r="E394" s="201" t="s">
        <v>465</v>
      </c>
      <c r="F394" s="200" t="s">
        <v>470</v>
      </c>
      <c r="G394" s="200" t="s">
        <v>435</v>
      </c>
    </row>
    <row r="395" spans="1:7">
      <c r="A395" s="199" t="s">
        <v>556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409</v>
      </c>
      <c r="G395" s="200" t="s">
        <v>435</v>
      </c>
    </row>
    <row r="396" spans="1:7">
      <c r="A396" s="199" t="s">
        <v>556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394</v>
      </c>
      <c r="G396" s="200" t="s">
        <v>435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395</v>
      </c>
      <c r="G397" s="200" t="s">
        <v>435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442</v>
      </c>
      <c r="G398" s="200" t="s">
        <v>435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395</v>
      </c>
      <c r="G399" s="200" t="s">
        <v>435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409</v>
      </c>
      <c r="G400" s="200" t="s">
        <v>435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394</v>
      </c>
      <c r="G401" s="200" t="s">
        <v>435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404</v>
      </c>
      <c r="G402" s="200" t="s">
        <v>435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442</v>
      </c>
      <c r="G403" s="200" t="s">
        <v>435</v>
      </c>
    </row>
    <row r="404" spans="1:7" hidden="1">
      <c r="A404" s="199" t="s">
        <v>557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395</v>
      </c>
      <c r="G404" s="200" t="s">
        <v>435</v>
      </c>
    </row>
    <row r="405" spans="1:7">
      <c r="A405" s="199" t="s">
        <v>557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395</v>
      </c>
      <c r="G405" s="200" t="s">
        <v>435</v>
      </c>
    </row>
    <row r="406" spans="1:7">
      <c r="A406" s="199" t="s">
        <v>557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409</v>
      </c>
      <c r="G406" s="200" t="s">
        <v>435</v>
      </c>
    </row>
    <row r="407" spans="1:7" hidden="1">
      <c r="A407" s="199" t="s">
        <v>558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395</v>
      </c>
      <c r="G407" s="200" t="s">
        <v>435</v>
      </c>
    </row>
    <row r="408" spans="1:7">
      <c r="A408" s="199" t="s">
        <v>558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395</v>
      </c>
      <c r="G408" s="200" t="s">
        <v>435</v>
      </c>
    </row>
    <row r="409" spans="1:7">
      <c r="A409" s="199" t="s">
        <v>558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409</v>
      </c>
      <c r="G409" s="200" t="s">
        <v>435</v>
      </c>
    </row>
    <row r="410" spans="1:7" hidden="1">
      <c r="A410" s="199" t="s">
        <v>559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395</v>
      </c>
      <c r="G410" s="200" t="s">
        <v>435</v>
      </c>
    </row>
    <row r="411" spans="1:7">
      <c r="A411" s="199" t="s">
        <v>559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395</v>
      </c>
      <c r="G411" s="200" t="s">
        <v>435</v>
      </c>
    </row>
    <row r="412" spans="1:7">
      <c r="A412" s="199" t="s">
        <v>559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409</v>
      </c>
      <c r="G412" s="200" t="s">
        <v>435</v>
      </c>
    </row>
    <row r="413" spans="1:7" hidden="1">
      <c r="A413" s="199" t="s">
        <v>560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395</v>
      </c>
      <c r="G413" s="200" t="s">
        <v>435</v>
      </c>
    </row>
    <row r="414" spans="1:7">
      <c r="A414" s="199" t="s">
        <v>560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395</v>
      </c>
      <c r="G414" s="200" t="s">
        <v>435</v>
      </c>
    </row>
    <row r="415" spans="1:7">
      <c r="A415" s="199" t="s">
        <v>560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409</v>
      </c>
      <c r="G415" s="200" t="s">
        <v>435</v>
      </c>
    </row>
    <row r="416" spans="1:7">
      <c r="A416" s="199" t="s">
        <v>561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395</v>
      </c>
      <c r="G416" s="200" t="s">
        <v>435</v>
      </c>
    </row>
    <row r="417" spans="1:7">
      <c r="A417" s="199" t="s">
        <v>561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409</v>
      </c>
      <c r="G417" s="200" t="s">
        <v>435</v>
      </c>
    </row>
    <row r="418" spans="1:7">
      <c r="A418" s="199" t="s">
        <v>561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394</v>
      </c>
      <c r="G418" s="200" t="s">
        <v>435</v>
      </c>
    </row>
    <row r="419" spans="1:7" hidden="1">
      <c r="A419" s="199" t="s">
        <v>562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395</v>
      </c>
      <c r="G419" s="200" t="s">
        <v>435</v>
      </c>
    </row>
    <row r="420" spans="1:7" hidden="1">
      <c r="A420" s="199" t="s">
        <v>562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409</v>
      </c>
      <c r="G420" s="200" t="s">
        <v>435</v>
      </c>
    </row>
    <row r="421" spans="1:7">
      <c r="A421" s="199" t="s">
        <v>562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395</v>
      </c>
      <c r="G421" s="200" t="s">
        <v>435</v>
      </c>
    </row>
    <row r="422" spans="1:7">
      <c r="A422" s="199" t="s">
        <v>562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409</v>
      </c>
      <c r="G422" s="200" t="s">
        <v>435</v>
      </c>
    </row>
    <row r="423" spans="1:7">
      <c r="A423" s="199" t="s">
        <v>563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395</v>
      </c>
      <c r="G423" s="200" t="s">
        <v>435</v>
      </c>
    </row>
    <row r="424" spans="1:7">
      <c r="A424" s="199" t="s">
        <v>563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409</v>
      </c>
      <c r="G424" s="200" t="s">
        <v>435</v>
      </c>
    </row>
    <row r="425" spans="1:7">
      <c r="A425" s="199" t="s">
        <v>563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394</v>
      </c>
      <c r="G425" s="200" t="s">
        <v>435</v>
      </c>
    </row>
    <row r="426" spans="1:7">
      <c r="A426" s="199" t="s">
        <v>564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395</v>
      </c>
      <c r="G426" s="200" t="s">
        <v>435</v>
      </c>
    </row>
    <row r="427" spans="1:7">
      <c r="A427" s="199" t="s">
        <v>564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409</v>
      </c>
      <c r="G427" s="200" t="s">
        <v>435</v>
      </c>
    </row>
    <row r="428" spans="1:7">
      <c r="A428" s="199" t="s">
        <v>565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395</v>
      </c>
      <c r="G428" s="200" t="s">
        <v>435</v>
      </c>
    </row>
    <row r="429" spans="1:7">
      <c r="A429" s="199" t="s">
        <v>565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409</v>
      </c>
      <c r="G429" s="200" t="s">
        <v>435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395</v>
      </c>
      <c r="G430" s="200" t="s">
        <v>435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446</v>
      </c>
      <c r="G431" s="200" t="s">
        <v>435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394</v>
      </c>
      <c r="G432" s="200" t="s">
        <v>435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414</v>
      </c>
      <c r="G433" s="200" t="s">
        <v>435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404</v>
      </c>
      <c r="G434" s="200" t="s">
        <v>435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450</v>
      </c>
      <c r="G435" s="200" t="s">
        <v>435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443</v>
      </c>
      <c r="E436" s="201" t="s">
        <v>317</v>
      </c>
      <c r="F436" s="200" t="s">
        <v>395</v>
      </c>
      <c r="G436" s="200" t="s">
        <v>435</v>
      </c>
    </row>
    <row r="437" spans="1:7">
      <c r="A437" s="199" t="s">
        <v>566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395</v>
      </c>
      <c r="G437" s="200" t="s">
        <v>435</v>
      </c>
    </row>
    <row r="438" spans="1:7">
      <c r="A438" s="199" t="s">
        <v>566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394</v>
      </c>
      <c r="G438" s="200" t="s">
        <v>435</v>
      </c>
    </row>
    <row r="439" spans="1:7">
      <c r="A439" s="199" t="s">
        <v>567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395</v>
      </c>
      <c r="G439" s="200" t="s">
        <v>435</v>
      </c>
    </row>
    <row r="440" spans="1:7">
      <c r="A440" s="199" t="s">
        <v>567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394</v>
      </c>
      <c r="G440" s="200" t="s">
        <v>435</v>
      </c>
    </row>
    <row r="441" spans="1:7" hidden="1">
      <c r="A441" s="199" t="s">
        <v>568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395</v>
      </c>
      <c r="G441" s="200" t="s">
        <v>435</v>
      </c>
    </row>
    <row r="442" spans="1:7">
      <c r="A442" s="199" t="s">
        <v>568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395</v>
      </c>
      <c r="G442" s="200" t="s">
        <v>435</v>
      </c>
    </row>
    <row r="443" spans="1:7">
      <c r="A443" s="199" t="s">
        <v>568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394</v>
      </c>
      <c r="G443" s="200" t="s">
        <v>435</v>
      </c>
    </row>
    <row r="444" spans="1:7" hidden="1">
      <c r="A444" s="199" t="s">
        <v>569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395</v>
      </c>
      <c r="G444" s="200" t="s">
        <v>435</v>
      </c>
    </row>
    <row r="445" spans="1:7">
      <c r="A445" s="199" t="s">
        <v>569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395</v>
      </c>
      <c r="G445" s="200" t="s">
        <v>435</v>
      </c>
    </row>
    <row r="446" spans="1:7">
      <c r="A446" s="199" t="s">
        <v>569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394</v>
      </c>
      <c r="G446" s="200" t="s">
        <v>435</v>
      </c>
    </row>
    <row r="447" spans="1:7">
      <c r="A447" s="199" t="s">
        <v>570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446</v>
      </c>
      <c r="G447" s="200" t="s">
        <v>435</v>
      </c>
    </row>
    <row r="448" spans="1:7">
      <c r="A448" s="199" t="s">
        <v>570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394</v>
      </c>
      <c r="G448" s="200" t="s">
        <v>435</v>
      </c>
    </row>
    <row r="449" spans="1:7" hidden="1">
      <c r="A449" s="199" t="s">
        <v>571</v>
      </c>
      <c r="B449" s="200">
        <v>-19825000</v>
      </c>
      <c r="C449" s="200">
        <v>0</v>
      </c>
      <c r="D449" s="201" t="s">
        <v>464</v>
      </c>
      <c r="E449" s="201" t="s">
        <v>465</v>
      </c>
      <c r="F449" s="200" t="s">
        <v>395</v>
      </c>
      <c r="G449" s="200" t="s">
        <v>435</v>
      </c>
    </row>
    <row r="450" spans="1:7" hidden="1">
      <c r="A450" s="199" t="s">
        <v>571</v>
      </c>
      <c r="B450" s="200">
        <v>1000000</v>
      </c>
      <c r="C450" s="200">
        <v>0</v>
      </c>
      <c r="D450" s="201" t="s">
        <v>464</v>
      </c>
      <c r="E450" s="201" t="s">
        <v>465</v>
      </c>
      <c r="F450" s="200" t="s">
        <v>469</v>
      </c>
      <c r="G450" s="200" t="s">
        <v>435</v>
      </c>
    </row>
    <row r="451" spans="1:7" hidden="1">
      <c r="A451" s="199" t="s">
        <v>571</v>
      </c>
      <c r="B451" s="200">
        <v>-1648000</v>
      </c>
      <c r="C451" s="200">
        <v>0</v>
      </c>
      <c r="D451" s="201" t="s">
        <v>464</v>
      </c>
      <c r="E451" s="201" t="s">
        <v>465</v>
      </c>
      <c r="F451" s="200" t="s">
        <v>414</v>
      </c>
      <c r="G451" s="200" t="s">
        <v>435</v>
      </c>
    </row>
    <row r="452" spans="1:7" hidden="1">
      <c r="A452" s="199" t="s">
        <v>571</v>
      </c>
      <c r="B452" s="200">
        <v>20000000</v>
      </c>
      <c r="C452" s="200">
        <v>0</v>
      </c>
      <c r="D452" s="201" t="s">
        <v>464</v>
      </c>
      <c r="E452" s="201" t="s">
        <v>465</v>
      </c>
      <c r="F452" s="200" t="s">
        <v>450</v>
      </c>
      <c r="G452" s="200" t="s">
        <v>435</v>
      </c>
    </row>
    <row r="453" spans="1:7" hidden="1">
      <c r="A453" s="199" t="s">
        <v>571</v>
      </c>
      <c r="B453" s="200">
        <v>473000</v>
      </c>
      <c r="C453" s="200">
        <v>0</v>
      </c>
      <c r="D453" s="201" t="s">
        <v>464</v>
      </c>
      <c r="E453" s="201" t="s">
        <v>465</v>
      </c>
      <c r="F453" s="200" t="s">
        <v>470</v>
      </c>
      <c r="G453" s="200" t="s">
        <v>435</v>
      </c>
    </row>
    <row r="454" spans="1:7" hidden="1">
      <c r="A454" s="199" t="s">
        <v>572</v>
      </c>
      <c r="B454" s="200">
        <v>-3093000</v>
      </c>
      <c r="C454" s="200">
        <v>0</v>
      </c>
      <c r="D454" s="201" t="s">
        <v>464</v>
      </c>
      <c r="E454" s="201" t="s">
        <v>465</v>
      </c>
      <c r="F454" s="200" t="s">
        <v>395</v>
      </c>
      <c r="G454" s="200" t="s">
        <v>435</v>
      </c>
    </row>
    <row r="455" spans="1:7" hidden="1">
      <c r="A455" s="199" t="s">
        <v>572</v>
      </c>
      <c r="B455" s="200">
        <v>500000</v>
      </c>
      <c r="C455" s="200">
        <v>0</v>
      </c>
      <c r="D455" s="201" t="s">
        <v>464</v>
      </c>
      <c r="E455" s="201" t="s">
        <v>465</v>
      </c>
      <c r="F455" s="200" t="s">
        <v>469</v>
      </c>
      <c r="G455" s="200" t="s">
        <v>435</v>
      </c>
    </row>
    <row r="456" spans="1:7" hidden="1">
      <c r="A456" s="199" t="s">
        <v>572</v>
      </c>
      <c r="B456" s="200">
        <v>1000000</v>
      </c>
      <c r="C456" s="200">
        <v>0</v>
      </c>
      <c r="D456" s="201" t="s">
        <v>464</v>
      </c>
      <c r="E456" s="201" t="s">
        <v>465</v>
      </c>
      <c r="F456" s="200" t="s">
        <v>414</v>
      </c>
      <c r="G456" s="200" t="s">
        <v>435</v>
      </c>
    </row>
    <row r="457" spans="1:7" hidden="1">
      <c r="A457" s="199" t="s">
        <v>572</v>
      </c>
      <c r="B457" s="200">
        <v>3600000</v>
      </c>
      <c r="C457" s="200">
        <v>0</v>
      </c>
      <c r="D457" s="201" t="s">
        <v>464</v>
      </c>
      <c r="E457" s="201" t="s">
        <v>465</v>
      </c>
      <c r="F457" s="200" t="s">
        <v>450</v>
      </c>
      <c r="G457" s="200" t="s">
        <v>435</v>
      </c>
    </row>
    <row r="458" spans="1:7" hidden="1">
      <c r="A458" s="199" t="s">
        <v>572</v>
      </c>
      <c r="B458" s="200">
        <v>-2007000</v>
      </c>
      <c r="C458" s="200">
        <v>0</v>
      </c>
      <c r="D458" s="201" t="s">
        <v>464</v>
      </c>
      <c r="E458" s="201" t="s">
        <v>465</v>
      </c>
      <c r="F458" s="200" t="s">
        <v>470</v>
      </c>
      <c r="G458" s="200" t="s">
        <v>435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395</v>
      </c>
      <c r="G459" s="200" t="s">
        <v>435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442</v>
      </c>
      <c r="G460" s="200" t="s">
        <v>435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395</v>
      </c>
      <c r="G461" s="200" t="s">
        <v>435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394</v>
      </c>
      <c r="G462" s="200" t="s">
        <v>435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442</v>
      </c>
      <c r="G463" s="200" t="s">
        <v>435</v>
      </c>
    </row>
    <row r="464" spans="1:7">
      <c r="A464" s="199" t="s">
        <v>573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395</v>
      </c>
      <c r="G464" s="200" t="s">
        <v>435</v>
      </c>
    </row>
    <row r="465" spans="1:7">
      <c r="A465" s="199" t="s">
        <v>573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409</v>
      </c>
      <c r="G465" s="200" t="s">
        <v>435</v>
      </c>
    </row>
    <row r="466" spans="1:7">
      <c r="A466" s="199" t="s">
        <v>574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395</v>
      </c>
      <c r="G466" s="200" t="s">
        <v>435</v>
      </c>
    </row>
    <row r="467" spans="1:7">
      <c r="A467" s="199" t="s">
        <v>574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409</v>
      </c>
      <c r="G467" s="200" t="s">
        <v>435</v>
      </c>
    </row>
    <row r="468" spans="1:7" hidden="1">
      <c r="A468" s="199" t="s">
        <v>575</v>
      </c>
      <c r="B468" s="200">
        <v>61536</v>
      </c>
      <c r="C468" s="200">
        <v>0</v>
      </c>
      <c r="D468" s="201" t="s">
        <v>441</v>
      </c>
      <c r="E468" s="201" t="s">
        <v>39</v>
      </c>
      <c r="F468" s="200" t="s">
        <v>395</v>
      </c>
      <c r="G468" s="200" t="s">
        <v>435</v>
      </c>
    </row>
    <row r="469" spans="1:7" hidden="1">
      <c r="A469" s="199" t="s">
        <v>575</v>
      </c>
      <c r="B469" s="200">
        <v>-61536</v>
      </c>
      <c r="C469" s="200">
        <v>0</v>
      </c>
      <c r="D469" s="201" t="s">
        <v>441</v>
      </c>
      <c r="E469" s="201" t="s">
        <v>39</v>
      </c>
      <c r="F469" s="200" t="s">
        <v>403</v>
      </c>
      <c r="G469" s="200" t="s">
        <v>435</v>
      </c>
    </row>
    <row r="470" spans="1:7" hidden="1">
      <c r="A470" s="199" t="s">
        <v>576</v>
      </c>
      <c r="B470" s="200">
        <v>467100</v>
      </c>
      <c r="C470" s="200">
        <v>0</v>
      </c>
      <c r="D470" s="201" t="s">
        <v>441</v>
      </c>
      <c r="E470" s="201" t="s">
        <v>317</v>
      </c>
      <c r="F470" s="200" t="s">
        <v>395</v>
      </c>
      <c r="G470" s="200" t="s">
        <v>435</v>
      </c>
    </row>
    <row r="471" spans="1:7" hidden="1">
      <c r="A471" s="199" t="s">
        <v>576</v>
      </c>
      <c r="B471" s="200">
        <v>-100</v>
      </c>
      <c r="C471" s="200">
        <v>0</v>
      </c>
      <c r="D471" s="201" t="s">
        <v>441</v>
      </c>
      <c r="E471" s="201" t="s">
        <v>317</v>
      </c>
      <c r="F471" s="200" t="s">
        <v>398</v>
      </c>
      <c r="G471" s="200" t="s">
        <v>435</v>
      </c>
    </row>
    <row r="472" spans="1:7" hidden="1">
      <c r="A472" s="199" t="s">
        <v>576</v>
      </c>
      <c r="B472" s="200">
        <v>-280000</v>
      </c>
      <c r="C472" s="200">
        <v>0</v>
      </c>
      <c r="D472" s="201" t="s">
        <v>441</v>
      </c>
      <c r="E472" s="201" t="s">
        <v>317</v>
      </c>
      <c r="F472" s="200" t="s">
        <v>406</v>
      </c>
      <c r="G472" s="200" t="s">
        <v>435</v>
      </c>
    </row>
    <row r="473" spans="1:7" hidden="1">
      <c r="A473" s="199" t="s">
        <v>576</v>
      </c>
      <c r="B473" s="200">
        <v>-200000</v>
      </c>
      <c r="C473" s="200">
        <v>0</v>
      </c>
      <c r="D473" s="201" t="s">
        <v>441</v>
      </c>
      <c r="E473" s="201" t="s">
        <v>317</v>
      </c>
      <c r="F473" s="200" t="s">
        <v>394</v>
      </c>
      <c r="G473" s="200" t="s">
        <v>435</v>
      </c>
    </row>
    <row r="474" spans="1:7" hidden="1">
      <c r="A474" s="199" t="s">
        <v>576</v>
      </c>
      <c r="B474" s="200">
        <v>200000</v>
      </c>
      <c r="C474" s="200">
        <v>0</v>
      </c>
      <c r="D474" s="201" t="s">
        <v>441</v>
      </c>
      <c r="E474" s="201" t="s">
        <v>317</v>
      </c>
      <c r="F474" s="200" t="s">
        <v>411</v>
      </c>
      <c r="G474" s="200" t="s">
        <v>435</v>
      </c>
    </row>
    <row r="475" spans="1:7" hidden="1">
      <c r="A475" s="199" t="s">
        <v>576</v>
      </c>
      <c r="B475" s="200">
        <v>-400000</v>
      </c>
      <c r="C475" s="200">
        <v>0</v>
      </c>
      <c r="D475" s="201" t="s">
        <v>441</v>
      </c>
      <c r="E475" s="201" t="s">
        <v>317</v>
      </c>
      <c r="F475" s="200" t="s">
        <v>412</v>
      </c>
      <c r="G475" s="200" t="s">
        <v>435</v>
      </c>
    </row>
    <row r="476" spans="1:7" hidden="1">
      <c r="A476" s="199" t="s">
        <v>576</v>
      </c>
      <c r="B476" s="200">
        <v>213000</v>
      </c>
      <c r="C476" s="200">
        <v>0</v>
      </c>
      <c r="D476" s="201" t="s">
        <v>441</v>
      </c>
      <c r="E476" s="201" t="s">
        <v>317</v>
      </c>
      <c r="F476" s="200" t="s">
        <v>403</v>
      </c>
      <c r="G476" s="200" t="s">
        <v>435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395</v>
      </c>
      <c r="G477" s="200" t="s">
        <v>435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394</v>
      </c>
      <c r="G478" s="200" t="s">
        <v>435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442</v>
      </c>
      <c r="G479" s="200" t="s">
        <v>435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412</v>
      </c>
      <c r="G480" s="200" t="s">
        <v>435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395</v>
      </c>
      <c r="G481" s="200" t="s">
        <v>435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446</v>
      </c>
      <c r="G482" s="200" t="s">
        <v>435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409</v>
      </c>
      <c r="G483" s="200" t="s">
        <v>435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394</v>
      </c>
      <c r="G484" s="200" t="s">
        <v>435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414</v>
      </c>
      <c r="G485" s="200" t="s">
        <v>435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404</v>
      </c>
      <c r="G486" s="200" t="s">
        <v>435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442</v>
      </c>
      <c r="G487" s="200" t="s">
        <v>435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412</v>
      </c>
      <c r="G488" s="200" t="s">
        <v>435</v>
      </c>
    </row>
    <row r="489" spans="1:7" hidden="1">
      <c r="A489" s="199" t="s">
        <v>577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395</v>
      </c>
      <c r="G489" s="200" t="s">
        <v>435</v>
      </c>
    </row>
    <row r="490" spans="1:7" hidden="1">
      <c r="A490" s="199" t="s">
        <v>577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442</v>
      </c>
      <c r="G490" s="200" t="s">
        <v>435</v>
      </c>
    </row>
    <row r="491" spans="1:7">
      <c r="A491" s="199" t="s">
        <v>577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395</v>
      </c>
      <c r="G491" s="200" t="s">
        <v>435</v>
      </c>
    </row>
    <row r="492" spans="1:7">
      <c r="A492" s="199" t="s">
        <v>577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409</v>
      </c>
      <c r="G492" s="200" t="s">
        <v>435</v>
      </c>
    </row>
    <row r="493" spans="1:7">
      <c r="A493" s="199" t="s">
        <v>577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394</v>
      </c>
      <c r="G493" s="200" t="s">
        <v>435</v>
      </c>
    </row>
    <row r="494" spans="1:7">
      <c r="A494" s="199" t="s">
        <v>577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442</v>
      </c>
      <c r="G494" s="200" t="s">
        <v>435</v>
      </c>
    </row>
    <row r="495" spans="1:7">
      <c r="A495" s="199" t="s">
        <v>578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409</v>
      </c>
      <c r="G495" s="200" t="s">
        <v>435</v>
      </c>
    </row>
    <row r="496" spans="1:7">
      <c r="A496" s="199" t="s">
        <v>578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394</v>
      </c>
      <c r="G496" s="200" t="s">
        <v>435</v>
      </c>
    </row>
    <row r="497" spans="1:7">
      <c r="A497" s="199" t="s">
        <v>579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395</v>
      </c>
      <c r="G497" s="200" t="s">
        <v>435</v>
      </c>
    </row>
    <row r="498" spans="1:7">
      <c r="A498" s="199" t="s">
        <v>579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409</v>
      </c>
      <c r="G498" s="200" t="s">
        <v>435</v>
      </c>
    </row>
    <row r="499" spans="1:7">
      <c r="A499" s="199" t="s">
        <v>579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394</v>
      </c>
      <c r="G499" s="200" t="s">
        <v>435</v>
      </c>
    </row>
    <row r="500" spans="1:7">
      <c r="A500" s="199" t="s">
        <v>580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409</v>
      </c>
      <c r="G500" s="200" t="s">
        <v>435</v>
      </c>
    </row>
    <row r="501" spans="1:7">
      <c r="A501" s="199" t="s">
        <v>580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394</v>
      </c>
      <c r="G501" s="200" t="s">
        <v>435</v>
      </c>
    </row>
    <row r="502" spans="1:7" hidden="1">
      <c r="A502" s="199" t="s">
        <v>581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395</v>
      </c>
      <c r="G502" s="200" t="s">
        <v>435</v>
      </c>
    </row>
    <row r="503" spans="1:7">
      <c r="A503" s="199" t="s">
        <v>581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395</v>
      </c>
      <c r="G503" s="200" t="s">
        <v>435</v>
      </c>
    </row>
    <row r="504" spans="1:7">
      <c r="A504" s="199" t="s">
        <v>581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409</v>
      </c>
      <c r="G504" s="200" t="s">
        <v>435</v>
      </c>
    </row>
    <row r="505" spans="1:7">
      <c r="A505" s="199" t="s">
        <v>581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394</v>
      </c>
      <c r="G505" s="200" t="s">
        <v>435</v>
      </c>
    </row>
    <row r="506" spans="1:7">
      <c r="A506" s="199" t="s">
        <v>582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395</v>
      </c>
      <c r="G506" s="200" t="s">
        <v>435</v>
      </c>
    </row>
    <row r="507" spans="1:7">
      <c r="A507" s="199" t="s">
        <v>582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409</v>
      </c>
      <c r="G507" s="200" t="s">
        <v>435</v>
      </c>
    </row>
    <row r="508" spans="1:7" hidden="1">
      <c r="A508" s="199" t="s">
        <v>583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395</v>
      </c>
      <c r="G508" s="200" t="s">
        <v>435</v>
      </c>
    </row>
    <row r="509" spans="1:7">
      <c r="A509" s="199" t="s">
        <v>583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395</v>
      </c>
      <c r="G509" s="200" t="s">
        <v>435</v>
      </c>
    </row>
    <row r="510" spans="1:7">
      <c r="A510" s="199" t="s">
        <v>583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409</v>
      </c>
      <c r="G510" s="200" t="s">
        <v>435</v>
      </c>
    </row>
    <row r="511" spans="1:7">
      <c r="A511" s="199" t="s">
        <v>583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394</v>
      </c>
      <c r="G511" s="200" t="s">
        <v>435</v>
      </c>
    </row>
    <row r="512" spans="1:7">
      <c r="A512" s="199" t="s">
        <v>584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395</v>
      </c>
      <c r="G512" s="200" t="s">
        <v>435</v>
      </c>
    </row>
    <row r="513" spans="1:7">
      <c r="A513" s="199" t="s">
        <v>584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409</v>
      </c>
      <c r="G513" s="200" t="s">
        <v>435</v>
      </c>
    </row>
    <row r="514" spans="1:7" hidden="1">
      <c r="A514" s="199" t="s">
        <v>585</v>
      </c>
      <c r="B514" s="200">
        <v>-189657</v>
      </c>
      <c r="C514" s="200">
        <v>0</v>
      </c>
      <c r="D514" s="201" t="s">
        <v>441</v>
      </c>
      <c r="E514" s="201" t="s">
        <v>317</v>
      </c>
      <c r="F514" s="200" t="s">
        <v>395</v>
      </c>
      <c r="G514" s="200" t="s">
        <v>435</v>
      </c>
    </row>
    <row r="515" spans="1:7" hidden="1">
      <c r="A515" s="199" t="s">
        <v>585</v>
      </c>
      <c r="B515" s="200">
        <v>-38490</v>
      </c>
      <c r="C515" s="200">
        <v>0</v>
      </c>
      <c r="D515" s="201" t="s">
        <v>441</v>
      </c>
      <c r="E515" s="201" t="s">
        <v>317</v>
      </c>
      <c r="F515" s="200" t="s">
        <v>411</v>
      </c>
      <c r="G515" s="200" t="s">
        <v>435</v>
      </c>
    </row>
    <row r="516" spans="1:7" hidden="1">
      <c r="A516" s="199" t="s">
        <v>585</v>
      </c>
      <c r="B516" s="200">
        <v>-64870</v>
      </c>
      <c r="C516" s="200">
        <v>0</v>
      </c>
      <c r="D516" s="201" t="s">
        <v>441</v>
      </c>
      <c r="E516" s="201" t="s">
        <v>317</v>
      </c>
      <c r="F516" s="200" t="s">
        <v>408</v>
      </c>
      <c r="G516" s="200" t="s">
        <v>435</v>
      </c>
    </row>
    <row r="517" spans="1:7" hidden="1">
      <c r="A517" s="199" t="s">
        <v>585</v>
      </c>
      <c r="B517" s="200">
        <v>431336</v>
      </c>
      <c r="C517" s="200">
        <v>0</v>
      </c>
      <c r="D517" s="201" t="s">
        <v>441</v>
      </c>
      <c r="E517" s="201" t="s">
        <v>317</v>
      </c>
      <c r="F517" s="200" t="s">
        <v>403</v>
      </c>
      <c r="G517" s="200" t="s">
        <v>435</v>
      </c>
    </row>
    <row r="518" spans="1:7" hidden="1">
      <c r="A518" s="199" t="s">
        <v>585</v>
      </c>
      <c r="B518" s="200">
        <v>-84202</v>
      </c>
      <c r="C518" s="200">
        <v>0</v>
      </c>
      <c r="D518" s="201" t="s">
        <v>546</v>
      </c>
      <c r="E518" s="201" t="s">
        <v>317</v>
      </c>
      <c r="F518" s="200" t="s">
        <v>395</v>
      </c>
      <c r="G518" s="200" t="s">
        <v>435</v>
      </c>
    </row>
    <row r="519" spans="1:7" hidden="1">
      <c r="A519" s="199" t="s">
        <v>585</v>
      </c>
      <c r="B519" s="200">
        <v>-167140</v>
      </c>
      <c r="C519" s="200">
        <v>0</v>
      </c>
      <c r="D519" s="201" t="s">
        <v>475</v>
      </c>
      <c r="E519" s="201" t="s">
        <v>317</v>
      </c>
      <c r="F519" s="200" t="s">
        <v>395</v>
      </c>
      <c r="G519" s="200" t="s">
        <v>435</v>
      </c>
    </row>
    <row r="520" spans="1:7" hidden="1">
      <c r="A520" s="199" t="s">
        <v>586</v>
      </c>
      <c r="B520" s="200">
        <v>459000</v>
      </c>
      <c r="C520" s="200">
        <v>0</v>
      </c>
      <c r="D520" s="201" t="s">
        <v>441</v>
      </c>
      <c r="E520" s="201" t="s">
        <v>317</v>
      </c>
      <c r="F520" s="200" t="s">
        <v>395</v>
      </c>
      <c r="G520" s="200" t="s">
        <v>435</v>
      </c>
    </row>
    <row r="521" spans="1:7" hidden="1">
      <c r="A521" s="199" t="s">
        <v>586</v>
      </c>
      <c r="B521" s="200">
        <v>-177023</v>
      </c>
      <c r="C521" s="200">
        <v>0</v>
      </c>
      <c r="D521" s="201" t="s">
        <v>441</v>
      </c>
      <c r="E521" s="201" t="s">
        <v>317</v>
      </c>
      <c r="F521" s="200" t="s">
        <v>408</v>
      </c>
      <c r="G521" s="200" t="s">
        <v>435</v>
      </c>
    </row>
    <row r="522" spans="1:7" hidden="1">
      <c r="A522" s="199" t="s">
        <v>586</v>
      </c>
      <c r="B522" s="200">
        <v>-459000</v>
      </c>
      <c r="C522" s="200">
        <v>0</v>
      </c>
      <c r="D522" s="201" t="s">
        <v>441</v>
      </c>
      <c r="E522" s="201" t="s">
        <v>317</v>
      </c>
      <c r="F522" s="200" t="s">
        <v>403</v>
      </c>
      <c r="G522" s="200" t="s">
        <v>435</v>
      </c>
    </row>
    <row r="523" spans="1:7" hidden="1">
      <c r="A523" s="199" t="s">
        <v>586</v>
      </c>
      <c r="B523" s="200">
        <v>-6960</v>
      </c>
      <c r="C523" s="200">
        <v>0</v>
      </c>
      <c r="D523" s="201" t="s">
        <v>546</v>
      </c>
      <c r="E523" s="201" t="s">
        <v>317</v>
      </c>
      <c r="F523" s="200" t="s">
        <v>395</v>
      </c>
      <c r="G523" s="200" t="s">
        <v>435</v>
      </c>
    </row>
    <row r="524" spans="1:7" hidden="1">
      <c r="A524" s="199" t="s">
        <v>586</v>
      </c>
      <c r="B524" s="200">
        <v>-26949</v>
      </c>
      <c r="C524" s="200">
        <v>0</v>
      </c>
      <c r="D524" s="201" t="s">
        <v>546</v>
      </c>
      <c r="E524" s="201" t="s">
        <v>317</v>
      </c>
      <c r="F524" s="200" t="s">
        <v>408</v>
      </c>
      <c r="G524" s="200" t="s">
        <v>435</v>
      </c>
    </row>
    <row r="525" spans="1:7" hidden="1">
      <c r="A525" s="199" t="s">
        <v>587</v>
      </c>
      <c r="B525" s="200">
        <v>-15000</v>
      </c>
      <c r="C525" s="200">
        <v>0</v>
      </c>
      <c r="D525" s="201" t="s">
        <v>588</v>
      </c>
      <c r="E525" s="201" t="s">
        <v>39</v>
      </c>
      <c r="F525" s="200" t="s">
        <v>395</v>
      </c>
      <c r="G525" s="200" t="s">
        <v>435</v>
      </c>
    </row>
    <row r="526" spans="1:7" hidden="1">
      <c r="A526" s="199" t="s">
        <v>587</v>
      </c>
      <c r="B526" s="200">
        <v>15000</v>
      </c>
      <c r="C526" s="200">
        <v>0</v>
      </c>
      <c r="D526" s="201" t="s">
        <v>588</v>
      </c>
      <c r="E526" s="201" t="s">
        <v>39</v>
      </c>
      <c r="F526" s="200" t="s">
        <v>442</v>
      </c>
      <c r="G526" s="200" t="s">
        <v>435</v>
      </c>
    </row>
    <row r="527" spans="1:7" hidden="1">
      <c r="A527" s="199" t="s">
        <v>587</v>
      </c>
      <c r="B527" s="200">
        <v>-568564</v>
      </c>
      <c r="C527" s="200">
        <v>0</v>
      </c>
      <c r="D527" s="201" t="s">
        <v>441</v>
      </c>
      <c r="E527" s="201" t="s">
        <v>39</v>
      </c>
      <c r="F527" s="200" t="s">
        <v>395</v>
      </c>
      <c r="G527" s="200" t="s">
        <v>435</v>
      </c>
    </row>
    <row r="528" spans="1:7" hidden="1">
      <c r="A528" s="199" t="s">
        <v>587</v>
      </c>
      <c r="B528" s="200">
        <v>-73844</v>
      </c>
      <c r="C528" s="200">
        <v>0</v>
      </c>
      <c r="D528" s="201" t="s">
        <v>443</v>
      </c>
      <c r="E528" s="201" t="s">
        <v>39</v>
      </c>
      <c r="F528" s="200" t="s">
        <v>395</v>
      </c>
      <c r="G528" s="200" t="s">
        <v>435</v>
      </c>
    </row>
    <row r="529" spans="1:7" hidden="1">
      <c r="A529" s="199" t="s">
        <v>589</v>
      </c>
      <c r="B529" s="200">
        <v>180000</v>
      </c>
      <c r="C529" s="200">
        <v>0</v>
      </c>
      <c r="D529" s="201" t="s">
        <v>441</v>
      </c>
      <c r="E529" s="201" t="s">
        <v>39</v>
      </c>
      <c r="F529" s="200" t="s">
        <v>395</v>
      </c>
      <c r="G529" s="200" t="s">
        <v>435</v>
      </c>
    </row>
    <row r="530" spans="1:7" hidden="1">
      <c r="A530" s="199" t="s">
        <v>589</v>
      </c>
      <c r="B530" s="200">
        <v>-180000</v>
      </c>
      <c r="C530" s="200">
        <v>0</v>
      </c>
      <c r="D530" s="201" t="s">
        <v>441</v>
      </c>
      <c r="E530" s="201" t="s">
        <v>39</v>
      </c>
      <c r="F530" s="200" t="s">
        <v>403</v>
      </c>
      <c r="G530" s="200" t="s">
        <v>435</v>
      </c>
    </row>
    <row r="531" spans="1:7" hidden="1">
      <c r="A531" s="199" t="s">
        <v>590</v>
      </c>
      <c r="B531" s="200">
        <v>-371</v>
      </c>
      <c r="C531" s="200">
        <v>0</v>
      </c>
      <c r="D531" s="201" t="s">
        <v>443</v>
      </c>
      <c r="E531" s="201" t="s">
        <v>39</v>
      </c>
      <c r="F531" s="200" t="s">
        <v>395</v>
      </c>
      <c r="G531" s="200" t="s">
        <v>435</v>
      </c>
    </row>
    <row r="532" spans="1:7" hidden="1">
      <c r="A532" s="199" t="s">
        <v>590</v>
      </c>
      <c r="B532" s="200">
        <v>371</v>
      </c>
      <c r="C532" s="200">
        <v>0</v>
      </c>
      <c r="D532" s="201" t="s">
        <v>443</v>
      </c>
      <c r="E532" s="201" t="s">
        <v>39</v>
      </c>
      <c r="F532" s="200" t="s">
        <v>403</v>
      </c>
      <c r="G532" s="200" t="s">
        <v>435</v>
      </c>
    </row>
    <row r="533" spans="1:7" hidden="1">
      <c r="A533" s="199" t="s">
        <v>591</v>
      </c>
      <c r="B533" s="200">
        <v>-25000000</v>
      </c>
      <c r="C533" s="200">
        <v>0</v>
      </c>
      <c r="D533" s="201" t="s">
        <v>464</v>
      </c>
      <c r="E533" s="201" t="s">
        <v>478</v>
      </c>
      <c r="F533" s="200" t="s">
        <v>395</v>
      </c>
      <c r="G533" s="200" t="s">
        <v>435</v>
      </c>
    </row>
    <row r="534" spans="1:7" hidden="1">
      <c r="A534" s="199" t="s">
        <v>591</v>
      </c>
      <c r="B534" s="200">
        <v>25000000</v>
      </c>
      <c r="C534" s="200">
        <v>0</v>
      </c>
      <c r="D534" s="201" t="s">
        <v>464</v>
      </c>
      <c r="E534" s="201" t="s">
        <v>478</v>
      </c>
      <c r="F534" s="200" t="s">
        <v>592</v>
      </c>
      <c r="G534" s="200" t="s">
        <v>435</v>
      </c>
    </row>
    <row r="535" spans="1:7" hidden="1">
      <c r="A535" s="199" t="s">
        <v>593</v>
      </c>
      <c r="B535" s="200">
        <v>10000000</v>
      </c>
      <c r="C535" s="200">
        <v>0</v>
      </c>
      <c r="D535" s="201" t="s">
        <v>464</v>
      </c>
      <c r="E535" s="201" t="s">
        <v>478</v>
      </c>
      <c r="F535" s="200" t="s">
        <v>395</v>
      </c>
      <c r="G535" s="200" t="s">
        <v>435</v>
      </c>
    </row>
    <row r="536" spans="1:7" hidden="1">
      <c r="A536" s="199" t="s">
        <v>594</v>
      </c>
      <c r="B536" s="200">
        <v>-473</v>
      </c>
      <c r="C536" s="200">
        <v>0</v>
      </c>
      <c r="D536" s="201" t="s">
        <v>438</v>
      </c>
      <c r="E536" s="201" t="s">
        <v>595</v>
      </c>
      <c r="F536" s="200" t="s">
        <v>395</v>
      </c>
      <c r="G536" s="200" t="s">
        <v>435</v>
      </c>
    </row>
    <row r="537" spans="1:7" hidden="1">
      <c r="A537" s="199" t="s">
        <v>594</v>
      </c>
      <c r="B537" s="200">
        <v>473</v>
      </c>
      <c r="C537" s="200">
        <v>0</v>
      </c>
      <c r="D537" s="201" t="s">
        <v>438</v>
      </c>
      <c r="E537" s="201" t="s">
        <v>595</v>
      </c>
      <c r="F537" s="200" t="s">
        <v>410</v>
      </c>
      <c r="G537" s="200" t="s">
        <v>435</v>
      </c>
    </row>
    <row r="538" spans="1:7" hidden="1">
      <c r="A538" s="199" t="s">
        <v>596</v>
      </c>
      <c r="B538" s="200">
        <v>473</v>
      </c>
      <c r="C538" s="200">
        <v>0</v>
      </c>
      <c r="D538" s="201" t="s">
        <v>438</v>
      </c>
      <c r="E538" s="201" t="s">
        <v>595</v>
      </c>
      <c r="F538" s="200" t="s">
        <v>395</v>
      </c>
      <c r="G538" s="200" t="s">
        <v>435</v>
      </c>
    </row>
    <row r="539" spans="1:7" hidden="1">
      <c r="A539" s="199" t="s">
        <v>596</v>
      </c>
      <c r="B539" s="200">
        <v>-473</v>
      </c>
      <c r="C539" s="200">
        <v>0</v>
      </c>
      <c r="D539" s="201" t="s">
        <v>438</v>
      </c>
      <c r="E539" s="201" t="s">
        <v>595</v>
      </c>
      <c r="F539" s="200" t="s">
        <v>410</v>
      </c>
      <c r="G539" s="200" t="s">
        <v>435</v>
      </c>
    </row>
    <row r="540" spans="1:7" hidden="1">
      <c r="A540" s="199" t="s">
        <v>597</v>
      </c>
      <c r="B540" s="200">
        <v>2311</v>
      </c>
      <c r="C540" s="200">
        <v>0</v>
      </c>
      <c r="D540" s="201" t="s">
        <v>443</v>
      </c>
      <c r="E540" s="201" t="s">
        <v>598</v>
      </c>
      <c r="F540" s="200" t="s">
        <v>395</v>
      </c>
      <c r="G540" s="200" t="s">
        <v>435</v>
      </c>
    </row>
    <row r="541" spans="1:7" hidden="1">
      <c r="A541" s="199" t="s">
        <v>599</v>
      </c>
      <c r="B541" s="200">
        <v>-11840</v>
      </c>
      <c r="C541" s="200">
        <v>0</v>
      </c>
      <c r="D541" s="201" t="s">
        <v>441</v>
      </c>
      <c r="E541" s="201" t="s">
        <v>317</v>
      </c>
      <c r="F541" s="200" t="s">
        <v>395</v>
      </c>
      <c r="G541" s="200" t="s">
        <v>435</v>
      </c>
    </row>
    <row r="542" spans="1:7" hidden="1">
      <c r="A542" s="199" t="s">
        <v>599</v>
      </c>
      <c r="B542" s="200">
        <v>-7980</v>
      </c>
      <c r="C542" s="200">
        <v>0</v>
      </c>
      <c r="D542" s="201" t="s">
        <v>443</v>
      </c>
      <c r="E542" s="201" t="s">
        <v>317</v>
      </c>
      <c r="F542" s="200" t="s">
        <v>395</v>
      </c>
      <c r="G542" s="200" t="s">
        <v>435</v>
      </c>
    </row>
    <row r="543" spans="1:7">
      <c r="A543" s="199" t="s">
        <v>600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395</v>
      </c>
      <c r="G543" s="200" t="s">
        <v>435</v>
      </c>
    </row>
    <row r="544" spans="1:7">
      <c r="A544" s="199" t="s">
        <v>600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394</v>
      </c>
      <c r="G544" s="200" t="s">
        <v>435</v>
      </c>
    </row>
    <row r="545" spans="1:7">
      <c r="A545" s="199" t="s">
        <v>600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404</v>
      </c>
      <c r="G545" s="200" t="s">
        <v>435</v>
      </c>
    </row>
    <row r="546" spans="1:7">
      <c r="A546" s="199" t="s">
        <v>601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409</v>
      </c>
      <c r="G546" s="200" t="s">
        <v>435</v>
      </c>
    </row>
    <row r="547" spans="1:7">
      <c r="A547" s="199" t="s">
        <v>601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394</v>
      </c>
      <c r="G547" s="200" t="s">
        <v>435</v>
      </c>
    </row>
    <row r="548" spans="1:7">
      <c r="A548" s="199" t="s">
        <v>602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409</v>
      </c>
      <c r="G548" s="200" t="s">
        <v>435</v>
      </c>
    </row>
    <row r="549" spans="1:7">
      <c r="A549" s="199" t="s">
        <v>602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394</v>
      </c>
      <c r="G549" s="200" t="s">
        <v>435</v>
      </c>
    </row>
    <row r="550" spans="1:7">
      <c r="A550" s="199" t="s">
        <v>603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395</v>
      </c>
      <c r="G550" s="200" t="s">
        <v>435</v>
      </c>
    </row>
    <row r="551" spans="1:7">
      <c r="A551" s="199" t="s">
        <v>603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394</v>
      </c>
      <c r="G551" s="200" t="s">
        <v>435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395</v>
      </c>
      <c r="G552" s="200" t="s">
        <v>435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394</v>
      </c>
      <c r="G553" s="200" t="s">
        <v>435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395</v>
      </c>
      <c r="G554" s="200" t="s">
        <v>435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446</v>
      </c>
      <c r="G555" s="200" t="s">
        <v>435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394</v>
      </c>
      <c r="G556" s="200" t="s">
        <v>435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414</v>
      </c>
      <c r="G557" s="200" t="s">
        <v>435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404</v>
      </c>
      <c r="G558" s="200" t="s">
        <v>435</v>
      </c>
    </row>
    <row r="559" spans="1:7" hidden="1">
      <c r="A559" s="199" t="s">
        <v>604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395</v>
      </c>
      <c r="G559" s="200" t="s">
        <v>435</v>
      </c>
    </row>
    <row r="560" spans="1:7">
      <c r="A560" s="199" t="s">
        <v>604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395</v>
      </c>
      <c r="G560" s="200" t="s">
        <v>435</v>
      </c>
    </row>
    <row r="561" spans="1:7">
      <c r="A561" s="199" t="s">
        <v>604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409</v>
      </c>
      <c r="G561" s="200" t="s">
        <v>435</v>
      </c>
    </row>
    <row r="562" spans="1:7" hidden="1">
      <c r="A562" s="199" t="s">
        <v>605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395</v>
      </c>
      <c r="G562" s="200" t="s">
        <v>435</v>
      </c>
    </row>
    <row r="563" spans="1:7">
      <c r="A563" s="199" t="s">
        <v>605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395</v>
      </c>
      <c r="G563" s="200" t="s">
        <v>435</v>
      </c>
    </row>
    <row r="564" spans="1:7">
      <c r="A564" s="199" t="s">
        <v>606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409</v>
      </c>
      <c r="G564" s="200" t="s">
        <v>435</v>
      </c>
    </row>
    <row r="565" spans="1:7">
      <c r="A565" s="199" t="s">
        <v>606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394</v>
      </c>
      <c r="G565" s="200" t="s">
        <v>435</v>
      </c>
    </row>
    <row r="566" spans="1:7">
      <c r="A566" s="199" t="s">
        <v>607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409</v>
      </c>
      <c r="G566" s="200" t="s">
        <v>435</v>
      </c>
    </row>
    <row r="567" spans="1:7">
      <c r="A567" s="199" t="s">
        <v>607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394</v>
      </c>
      <c r="G567" s="200" t="s">
        <v>435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395</v>
      </c>
      <c r="G568" s="200" t="s">
        <v>435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414</v>
      </c>
      <c r="G569" s="200" t="s">
        <v>435</v>
      </c>
    </row>
    <row r="570" spans="1:7">
      <c r="A570" s="199" t="s">
        <v>608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446</v>
      </c>
      <c r="G570" s="200" t="s">
        <v>435</v>
      </c>
    </row>
    <row r="571" spans="1:7">
      <c r="A571" s="199" t="s">
        <v>608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394</v>
      </c>
      <c r="G571" s="200" t="s">
        <v>435</v>
      </c>
    </row>
    <row r="572" spans="1:7" hidden="1">
      <c r="A572" s="199" t="s">
        <v>609</v>
      </c>
      <c r="B572" s="200">
        <v>-216444</v>
      </c>
      <c r="C572" s="200">
        <v>0</v>
      </c>
      <c r="D572" s="201" t="s">
        <v>441</v>
      </c>
      <c r="E572" s="201" t="s">
        <v>610</v>
      </c>
      <c r="F572" s="200" t="s">
        <v>395</v>
      </c>
      <c r="G572" s="200" t="s">
        <v>435</v>
      </c>
    </row>
    <row r="573" spans="1:7" hidden="1">
      <c r="A573" s="199" t="s">
        <v>611</v>
      </c>
      <c r="B573" s="200">
        <v>191729</v>
      </c>
      <c r="C573" s="200">
        <v>0</v>
      </c>
      <c r="D573" s="201" t="s">
        <v>441</v>
      </c>
      <c r="E573" s="201" t="s">
        <v>39</v>
      </c>
      <c r="F573" s="200" t="s">
        <v>395</v>
      </c>
      <c r="G573" s="200" t="s">
        <v>435</v>
      </c>
    </row>
    <row r="574" spans="1:7" hidden="1">
      <c r="A574" s="199" t="s">
        <v>611</v>
      </c>
      <c r="B574" s="200">
        <v>-26430</v>
      </c>
      <c r="C574" s="200">
        <v>0</v>
      </c>
      <c r="D574" s="201" t="s">
        <v>441</v>
      </c>
      <c r="E574" s="201" t="s">
        <v>39</v>
      </c>
      <c r="F574" s="200" t="s">
        <v>408</v>
      </c>
      <c r="G574" s="200" t="s">
        <v>435</v>
      </c>
    </row>
    <row r="575" spans="1:7" hidden="1">
      <c r="A575" s="199" t="s">
        <v>611</v>
      </c>
      <c r="B575" s="200">
        <v>-165299</v>
      </c>
      <c r="C575" s="200">
        <v>0</v>
      </c>
      <c r="D575" s="201" t="s">
        <v>441</v>
      </c>
      <c r="E575" s="201" t="s">
        <v>39</v>
      </c>
      <c r="F575" s="200" t="s">
        <v>403</v>
      </c>
      <c r="G575" s="200" t="s">
        <v>435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441</v>
      </c>
      <c r="E576" s="201" t="s">
        <v>320</v>
      </c>
      <c r="F576" s="200" t="s">
        <v>395</v>
      </c>
      <c r="G576" s="200" t="s">
        <v>435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441</v>
      </c>
      <c r="E577" s="201" t="s">
        <v>320</v>
      </c>
      <c r="F577" s="200" t="s">
        <v>442</v>
      </c>
      <c r="G577" s="200" t="s">
        <v>435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438</v>
      </c>
      <c r="E578" s="201" t="s">
        <v>320</v>
      </c>
      <c r="F578" s="200" t="s">
        <v>395</v>
      </c>
      <c r="G578" s="200" t="s">
        <v>435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438</v>
      </c>
      <c r="E579" s="201" t="s">
        <v>320</v>
      </c>
      <c r="F579" s="200" t="s">
        <v>442</v>
      </c>
      <c r="G579" s="200" t="s">
        <v>435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395</v>
      </c>
      <c r="G580" s="200" t="s">
        <v>435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446</v>
      </c>
      <c r="G581" s="200" t="s">
        <v>435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394</v>
      </c>
      <c r="G582" s="200" t="s">
        <v>435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404</v>
      </c>
      <c r="G583" s="200" t="s">
        <v>435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442</v>
      </c>
      <c r="G584" s="200" t="s">
        <v>435</v>
      </c>
    </row>
    <row r="585" spans="1:7" hidden="1">
      <c r="A585" s="199" t="s">
        <v>612</v>
      </c>
      <c r="B585" s="200">
        <v>-7</v>
      </c>
      <c r="C585" s="200">
        <v>0</v>
      </c>
      <c r="D585" s="201" t="s">
        <v>443</v>
      </c>
      <c r="E585" s="201" t="s">
        <v>613</v>
      </c>
      <c r="F585" s="200" t="s">
        <v>395</v>
      </c>
      <c r="G585" s="200" t="s">
        <v>435</v>
      </c>
    </row>
    <row r="586" spans="1:7" hidden="1">
      <c r="A586" s="199" t="s">
        <v>614</v>
      </c>
      <c r="B586" s="200">
        <v>-19</v>
      </c>
      <c r="C586" s="200">
        <v>0</v>
      </c>
      <c r="D586" s="201" t="s">
        <v>438</v>
      </c>
      <c r="E586" s="201" t="s">
        <v>615</v>
      </c>
      <c r="F586" s="200" t="s">
        <v>395</v>
      </c>
      <c r="G586" s="200" t="s">
        <v>435</v>
      </c>
    </row>
    <row r="587" spans="1:7" hidden="1">
      <c r="A587" s="199" t="s">
        <v>614</v>
      </c>
      <c r="B587" s="200">
        <v>19</v>
      </c>
      <c r="C587" s="200">
        <v>0</v>
      </c>
      <c r="D587" s="201" t="s">
        <v>438</v>
      </c>
      <c r="E587" s="201" t="s">
        <v>615</v>
      </c>
      <c r="F587" s="200" t="s">
        <v>410</v>
      </c>
      <c r="G587" s="200" t="s">
        <v>435</v>
      </c>
    </row>
    <row r="588" spans="1:7" hidden="1">
      <c r="A588" s="199" t="s">
        <v>616</v>
      </c>
      <c r="B588" s="200">
        <v>332</v>
      </c>
      <c r="C588" s="200">
        <v>0</v>
      </c>
      <c r="D588" s="201" t="s">
        <v>464</v>
      </c>
      <c r="E588" s="201" t="s">
        <v>617</v>
      </c>
      <c r="F588" s="200" t="s">
        <v>618</v>
      </c>
      <c r="G588" s="200" t="s">
        <v>435</v>
      </c>
    </row>
    <row r="589" spans="1:7" hidden="1">
      <c r="A589" s="199" t="s">
        <v>619</v>
      </c>
      <c r="B589" s="200">
        <v>1700</v>
      </c>
      <c r="C589" s="200">
        <v>0</v>
      </c>
      <c r="D589" s="201" t="s">
        <v>464</v>
      </c>
      <c r="E589" s="201" t="s">
        <v>620</v>
      </c>
      <c r="F589" s="200" t="s">
        <v>395</v>
      </c>
      <c r="G589" s="200" t="s">
        <v>435</v>
      </c>
    </row>
    <row r="590" spans="1:7" hidden="1">
      <c r="A590" s="199" t="s">
        <v>621</v>
      </c>
      <c r="B590" s="200">
        <v>-413</v>
      </c>
      <c r="C590" s="200">
        <v>0</v>
      </c>
      <c r="D590" s="201" t="s">
        <v>441</v>
      </c>
      <c r="E590" s="201" t="s">
        <v>617</v>
      </c>
      <c r="F590" s="200" t="s">
        <v>395</v>
      </c>
      <c r="G590" s="200" t="s">
        <v>435</v>
      </c>
    </row>
    <row r="591" spans="1:7" hidden="1">
      <c r="A591" s="199" t="s">
        <v>621</v>
      </c>
      <c r="B591" s="200">
        <v>413</v>
      </c>
      <c r="C591" s="200">
        <v>0</v>
      </c>
      <c r="D591" s="201" t="s">
        <v>441</v>
      </c>
      <c r="E591" s="201" t="s">
        <v>617</v>
      </c>
      <c r="F591" s="200" t="s">
        <v>618</v>
      </c>
      <c r="G591" s="200" t="s">
        <v>435</v>
      </c>
    </row>
    <row r="592" spans="1:7" hidden="1">
      <c r="A592" s="199" t="s">
        <v>622</v>
      </c>
      <c r="B592" s="200">
        <v>6526058.9964455003</v>
      </c>
      <c r="C592" s="200">
        <v>0</v>
      </c>
      <c r="D592" s="201" t="s">
        <v>441</v>
      </c>
      <c r="E592" s="201" t="s">
        <v>623</v>
      </c>
      <c r="F592" s="200" t="s">
        <v>395</v>
      </c>
      <c r="G592" s="200" t="s">
        <v>435</v>
      </c>
    </row>
    <row r="593" spans="1:7" hidden="1">
      <c r="A593" s="199" t="s">
        <v>622</v>
      </c>
      <c r="B593" s="200">
        <v>-153499.73406459999</v>
      </c>
      <c r="C593" s="200">
        <v>0</v>
      </c>
      <c r="D593" s="201" t="s">
        <v>441</v>
      </c>
      <c r="E593" s="201" t="s">
        <v>623</v>
      </c>
      <c r="F593" s="200" t="s">
        <v>442</v>
      </c>
      <c r="G593" s="200" t="s">
        <v>435</v>
      </c>
    </row>
    <row r="594" spans="1:7" hidden="1">
      <c r="A594" s="199" t="s">
        <v>622</v>
      </c>
      <c r="B594" s="200">
        <v>179099.99619703999</v>
      </c>
      <c r="C594" s="200">
        <v>0</v>
      </c>
      <c r="D594" s="201" t="s">
        <v>443</v>
      </c>
      <c r="E594" s="201" t="s">
        <v>623</v>
      </c>
      <c r="F594" s="200" t="s">
        <v>395</v>
      </c>
      <c r="G594" s="200" t="s">
        <v>435</v>
      </c>
    </row>
    <row r="595" spans="1:7" hidden="1">
      <c r="A595" s="199" t="s">
        <v>622</v>
      </c>
      <c r="B595" s="200">
        <v>153499.73406459999</v>
      </c>
      <c r="C595" s="200">
        <v>0</v>
      </c>
      <c r="D595" s="201" t="s">
        <v>443</v>
      </c>
      <c r="E595" s="201" t="s">
        <v>623</v>
      </c>
      <c r="F595" s="200" t="s">
        <v>442</v>
      </c>
      <c r="G595" s="200" t="s">
        <v>435</v>
      </c>
    </row>
    <row r="596" spans="1:7" hidden="1">
      <c r="A596" s="199" t="s">
        <v>393</v>
      </c>
      <c r="B596" s="200">
        <v>2542</v>
      </c>
      <c r="C596" s="200">
        <v>0</v>
      </c>
      <c r="D596" s="201" t="s">
        <v>283</v>
      </c>
      <c r="E596" s="201" t="s">
        <v>518</v>
      </c>
      <c r="F596" s="200" t="s">
        <v>395</v>
      </c>
      <c r="G596" s="200" t="s">
        <v>435</v>
      </c>
    </row>
    <row r="597" spans="1:7">
      <c r="A597" s="199" t="s">
        <v>393</v>
      </c>
      <c r="B597" s="200">
        <v>1875</v>
      </c>
      <c r="C597" s="200">
        <v>0</v>
      </c>
      <c r="D597" s="201" t="s">
        <v>282</v>
      </c>
      <c r="E597" s="201" t="s">
        <v>518</v>
      </c>
      <c r="F597" s="200" t="s">
        <v>395</v>
      </c>
      <c r="G597" s="200" t="s">
        <v>435</v>
      </c>
    </row>
    <row r="598" spans="1:7">
      <c r="A598" s="199" t="s">
        <v>393</v>
      </c>
      <c r="B598" s="200">
        <v>666</v>
      </c>
      <c r="C598" s="200">
        <v>0</v>
      </c>
      <c r="D598" s="201" t="s">
        <v>282</v>
      </c>
      <c r="E598" s="201" t="s">
        <v>518</v>
      </c>
      <c r="F598" s="200" t="s">
        <v>394</v>
      </c>
      <c r="G598" s="200" t="s">
        <v>435</v>
      </c>
    </row>
    <row r="599" spans="1:7" hidden="1">
      <c r="A599" s="199" t="s">
        <v>624</v>
      </c>
      <c r="B599" s="200">
        <v>22665000</v>
      </c>
      <c r="C599" s="200">
        <v>0</v>
      </c>
      <c r="D599" s="201" t="s">
        <v>464</v>
      </c>
      <c r="E599" s="201" t="s">
        <v>465</v>
      </c>
      <c r="F599" s="200" t="s">
        <v>395</v>
      </c>
      <c r="G599" s="200" t="s">
        <v>435</v>
      </c>
    </row>
    <row r="600" spans="1:7" hidden="1">
      <c r="A600" s="199" t="s">
        <v>624</v>
      </c>
      <c r="B600" s="200">
        <v>-22665000</v>
      </c>
      <c r="C600" s="200">
        <v>0</v>
      </c>
      <c r="D600" s="201" t="s">
        <v>464</v>
      </c>
      <c r="E600" s="201" t="s">
        <v>465</v>
      </c>
      <c r="F600" s="200" t="s">
        <v>469</v>
      </c>
      <c r="G600" s="200" t="s">
        <v>435</v>
      </c>
    </row>
    <row r="601" spans="1:7">
      <c r="A601" s="199" t="s">
        <v>625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395</v>
      </c>
      <c r="G601" s="200" t="s">
        <v>435</v>
      </c>
    </row>
    <row r="602" spans="1:7">
      <c r="A602" s="199" t="s">
        <v>625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446</v>
      </c>
      <c r="G602" s="200" t="s">
        <v>435</v>
      </c>
    </row>
    <row r="603" spans="1:7">
      <c r="A603" s="199" t="s">
        <v>625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394</v>
      </c>
      <c r="G603" s="200" t="s">
        <v>435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395</v>
      </c>
      <c r="G604" s="200" t="s">
        <v>435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394</v>
      </c>
      <c r="G605" s="200" t="s">
        <v>435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404</v>
      </c>
      <c r="G606" s="200" t="s">
        <v>435</v>
      </c>
    </row>
    <row r="607" spans="1:7" hidden="1">
      <c r="A607" s="199" t="s">
        <v>626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395</v>
      </c>
      <c r="G607" s="200" t="s">
        <v>435</v>
      </c>
    </row>
    <row r="608" spans="1:7">
      <c r="A608" s="199" t="s">
        <v>626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395</v>
      </c>
      <c r="G608" s="200" t="s">
        <v>435</v>
      </c>
    </row>
    <row r="609" spans="1:7">
      <c r="A609" s="199" t="s">
        <v>626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409</v>
      </c>
      <c r="G609" s="200" t="s">
        <v>435</v>
      </c>
    </row>
    <row r="610" spans="1:7" hidden="1">
      <c r="A610" s="199" t="s">
        <v>627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395</v>
      </c>
      <c r="G610" s="200" t="s">
        <v>435</v>
      </c>
    </row>
    <row r="611" spans="1:7">
      <c r="A611" s="199" t="s">
        <v>627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395</v>
      </c>
      <c r="G611" s="200" t="s">
        <v>435</v>
      </c>
    </row>
    <row r="612" spans="1:7">
      <c r="A612" s="199" t="s">
        <v>627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409</v>
      </c>
      <c r="G612" s="200" t="s">
        <v>435</v>
      </c>
    </row>
    <row r="613" spans="1:7">
      <c r="A613" s="199" t="s">
        <v>628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395</v>
      </c>
      <c r="G613" s="200" t="s">
        <v>435</v>
      </c>
    </row>
    <row r="614" spans="1:7">
      <c r="A614" s="199" t="s">
        <v>628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394</v>
      </c>
      <c r="G614" s="200" t="s">
        <v>435</v>
      </c>
    </row>
    <row r="615" spans="1:7" hidden="1">
      <c r="A615" s="199" t="s">
        <v>629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395</v>
      </c>
      <c r="G615" s="200" t="s">
        <v>435</v>
      </c>
    </row>
    <row r="616" spans="1:7" hidden="1">
      <c r="A616" s="199" t="s">
        <v>629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442</v>
      </c>
      <c r="G616" s="200" t="s">
        <v>435</v>
      </c>
    </row>
    <row r="617" spans="1:7">
      <c r="A617" s="199" t="s">
        <v>629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395</v>
      </c>
      <c r="G617" s="200" t="s">
        <v>435</v>
      </c>
    </row>
    <row r="618" spans="1:7">
      <c r="A618" s="199" t="s">
        <v>629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442</v>
      </c>
      <c r="G618" s="200" t="s">
        <v>435</v>
      </c>
    </row>
    <row r="619" spans="1:7" hidden="1">
      <c r="A619" s="199" t="s">
        <v>630</v>
      </c>
      <c r="B619" s="200">
        <v>321</v>
      </c>
      <c r="C619" s="200">
        <v>0</v>
      </c>
      <c r="D619" s="201" t="s">
        <v>283</v>
      </c>
      <c r="E619" s="201" t="s">
        <v>631</v>
      </c>
      <c r="F619" s="200" t="s">
        <v>397</v>
      </c>
      <c r="G619" s="200" t="s">
        <v>435</v>
      </c>
    </row>
    <row r="620" spans="1:7" hidden="1">
      <c r="A620" s="199" t="s">
        <v>630</v>
      </c>
      <c r="B620" s="200">
        <v>2393</v>
      </c>
      <c r="C620" s="200">
        <v>0</v>
      </c>
      <c r="D620" s="201" t="s">
        <v>438</v>
      </c>
      <c r="E620" s="201" t="s">
        <v>631</v>
      </c>
      <c r="F620" s="200" t="s">
        <v>397</v>
      </c>
      <c r="G620" s="200" t="s">
        <v>435</v>
      </c>
    </row>
    <row r="621" spans="1:7">
      <c r="A621" s="199" t="s">
        <v>630</v>
      </c>
      <c r="B621" s="200">
        <v>321</v>
      </c>
      <c r="C621" s="200">
        <v>0</v>
      </c>
      <c r="D621" s="201" t="s">
        <v>282</v>
      </c>
      <c r="E621" s="201" t="s">
        <v>631</v>
      </c>
      <c r="F621" s="200" t="s">
        <v>397</v>
      </c>
      <c r="G621" s="200" t="s">
        <v>435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441</v>
      </c>
      <c r="E622" s="201" t="s">
        <v>320</v>
      </c>
      <c r="F622" s="200" t="s">
        <v>395</v>
      </c>
      <c r="G622" s="200" t="s">
        <v>435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441</v>
      </c>
      <c r="E623" s="201" t="s">
        <v>320</v>
      </c>
      <c r="F623" s="200" t="s">
        <v>442</v>
      </c>
      <c r="G623" s="200" t="s">
        <v>435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395</v>
      </c>
      <c r="G624" s="200" t="s">
        <v>435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438</v>
      </c>
      <c r="E625" s="201" t="s">
        <v>320</v>
      </c>
      <c r="F625" s="200" t="s">
        <v>395</v>
      </c>
      <c r="G625" s="200" t="s">
        <v>435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438</v>
      </c>
      <c r="E626" s="201" t="s">
        <v>320</v>
      </c>
      <c r="F626" s="200" t="s">
        <v>442</v>
      </c>
      <c r="G626" s="200" t="s">
        <v>435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438</v>
      </c>
      <c r="E627" s="201" t="s">
        <v>320</v>
      </c>
      <c r="F627" s="200" t="s">
        <v>407</v>
      </c>
      <c r="G627" s="200" t="s">
        <v>435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395</v>
      </c>
      <c r="G628" s="200" t="s">
        <v>435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394</v>
      </c>
      <c r="G629" s="200" t="s">
        <v>435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412</v>
      </c>
      <c r="G630" s="200" t="s">
        <v>435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443</v>
      </c>
      <c r="E631" s="201" t="s">
        <v>320</v>
      </c>
      <c r="F631" s="200" t="s">
        <v>395</v>
      </c>
      <c r="G631" s="200" t="s">
        <v>435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475</v>
      </c>
      <c r="E632" s="201" t="s">
        <v>320</v>
      </c>
      <c r="F632" s="200" t="s">
        <v>395</v>
      </c>
      <c r="G632" s="200" t="s">
        <v>435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475</v>
      </c>
      <c r="E633" s="201" t="s">
        <v>320</v>
      </c>
      <c r="F633" s="200" t="s">
        <v>403</v>
      </c>
      <c r="G633" s="200" t="s">
        <v>435</v>
      </c>
    </row>
    <row r="634" spans="1:7" hidden="1">
      <c r="A634" s="199" t="s">
        <v>632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395</v>
      </c>
      <c r="G634" s="200" t="s">
        <v>435</v>
      </c>
    </row>
    <row r="635" spans="1:7">
      <c r="A635" s="199" t="s">
        <v>632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395</v>
      </c>
      <c r="G635" s="200" t="s">
        <v>435</v>
      </c>
    </row>
    <row r="636" spans="1:7">
      <c r="A636" s="199" t="s">
        <v>632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409</v>
      </c>
      <c r="G636" s="200" t="s">
        <v>435</v>
      </c>
    </row>
    <row r="637" spans="1:7">
      <c r="A637" s="199" t="s">
        <v>632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394</v>
      </c>
      <c r="G637" s="200" t="s">
        <v>435</v>
      </c>
    </row>
    <row r="638" spans="1:7" hidden="1">
      <c r="A638" s="199" t="s">
        <v>633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395</v>
      </c>
      <c r="G638" s="200" t="s">
        <v>435</v>
      </c>
    </row>
    <row r="639" spans="1:7">
      <c r="A639" s="199" t="s">
        <v>633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395</v>
      </c>
      <c r="G639" s="200" t="s">
        <v>435</v>
      </c>
    </row>
    <row r="640" spans="1:7">
      <c r="A640" s="199" t="s">
        <v>633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409</v>
      </c>
      <c r="G640" s="200" t="s">
        <v>435</v>
      </c>
    </row>
    <row r="641" spans="1:7">
      <c r="A641" s="199" t="s">
        <v>633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394</v>
      </c>
      <c r="G641" s="200" t="s">
        <v>435</v>
      </c>
    </row>
    <row r="642" spans="1:7" hidden="1">
      <c r="A642" s="199" t="s">
        <v>634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395</v>
      </c>
      <c r="G642" s="200" t="s">
        <v>435</v>
      </c>
    </row>
    <row r="643" spans="1:7">
      <c r="A643" s="199" t="s">
        <v>634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395</v>
      </c>
      <c r="G643" s="200" t="s">
        <v>435</v>
      </c>
    </row>
    <row r="644" spans="1:7">
      <c r="A644" s="199" t="s">
        <v>634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409</v>
      </c>
      <c r="G644" s="200" t="s">
        <v>435</v>
      </c>
    </row>
    <row r="645" spans="1:7">
      <c r="A645" s="199" t="s">
        <v>634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394</v>
      </c>
      <c r="G645" s="200" t="s">
        <v>435</v>
      </c>
    </row>
    <row r="646" spans="1:7" hidden="1">
      <c r="A646" s="199" t="s">
        <v>635</v>
      </c>
      <c r="B646" s="200">
        <v>-77400</v>
      </c>
      <c r="C646" s="200">
        <v>0</v>
      </c>
      <c r="D646" s="201" t="s">
        <v>441</v>
      </c>
      <c r="E646" s="201" t="s">
        <v>440</v>
      </c>
      <c r="F646" s="200" t="s">
        <v>395</v>
      </c>
      <c r="G646" s="200" t="s">
        <v>435</v>
      </c>
    </row>
    <row r="647" spans="1:7" hidden="1">
      <c r="A647" s="199" t="s">
        <v>636</v>
      </c>
      <c r="B647" s="200">
        <v>1121145</v>
      </c>
      <c r="C647" s="200">
        <v>0</v>
      </c>
      <c r="D647" s="201" t="s">
        <v>441</v>
      </c>
      <c r="E647" s="201" t="s">
        <v>317</v>
      </c>
      <c r="F647" s="200" t="s">
        <v>395</v>
      </c>
      <c r="G647" s="200" t="s">
        <v>435</v>
      </c>
    </row>
    <row r="648" spans="1:7" hidden="1">
      <c r="A648" s="199" t="s">
        <v>636</v>
      </c>
      <c r="B648" s="200">
        <v>-105000</v>
      </c>
      <c r="C648" s="200">
        <v>0</v>
      </c>
      <c r="D648" s="201" t="s">
        <v>441</v>
      </c>
      <c r="E648" s="201" t="s">
        <v>317</v>
      </c>
      <c r="F648" s="200" t="s">
        <v>411</v>
      </c>
      <c r="G648" s="200" t="s">
        <v>435</v>
      </c>
    </row>
    <row r="649" spans="1:7" hidden="1">
      <c r="A649" s="199" t="s">
        <v>636</v>
      </c>
      <c r="B649" s="200">
        <v>-48215</v>
      </c>
      <c r="C649" s="200">
        <v>0</v>
      </c>
      <c r="D649" s="201" t="s">
        <v>441</v>
      </c>
      <c r="E649" s="201" t="s">
        <v>317</v>
      </c>
      <c r="F649" s="200" t="s">
        <v>408</v>
      </c>
      <c r="G649" s="200" t="s">
        <v>435</v>
      </c>
    </row>
    <row r="650" spans="1:7" hidden="1">
      <c r="A650" s="199" t="s">
        <v>636</v>
      </c>
      <c r="B650" s="200">
        <v>-459011</v>
      </c>
      <c r="C650" s="200">
        <v>0</v>
      </c>
      <c r="D650" s="201" t="s">
        <v>441</v>
      </c>
      <c r="E650" s="201" t="s">
        <v>317</v>
      </c>
      <c r="F650" s="200" t="s">
        <v>442</v>
      </c>
      <c r="G650" s="200" t="s">
        <v>435</v>
      </c>
    </row>
    <row r="651" spans="1:7" hidden="1">
      <c r="A651" s="199" t="s">
        <v>636</v>
      </c>
      <c r="B651" s="200">
        <v>255006</v>
      </c>
      <c r="C651" s="200">
        <v>0</v>
      </c>
      <c r="D651" s="201" t="s">
        <v>441</v>
      </c>
      <c r="E651" s="201" t="s">
        <v>317</v>
      </c>
      <c r="F651" s="200" t="s">
        <v>403</v>
      </c>
      <c r="G651" s="200" t="s">
        <v>435</v>
      </c>
    </row>
    <row r="652" spans="1:7" hidden="1">
      <c r="A652" s="199" t="s">
        <v>636</v>
      </c>
      <c r="B652" s="200">
        <v>-47392</v>
      </c>
      <c r="C652" s="200">
        <v>0</v>
      </c>
      <c r="D652" s="201" t="s">
        <v>438</v>
      </c>
      <c r="E652" s="201" t="s">
        <v>317</v>
      </c>
      <c r="F652" s="200" t="s">
        <v>395</v>
      </c>
      <c r="G652" s="200" t="s">
        <v>435</v>
      </c>
    </row>
    <row r="653" spans="1:7" hidden="1">
      <c r="A653" s="199" t="s">
        <v>636</v>
      </c>
      <c r="B653" s="200">
        <v>-311619</v>
      </c>
      <c r="C653" s="200">
        <v>0</v>
      </c>
      <c r="D653" s="201" t="s">
        <v>438</v>
      </c>
      <c r="E653" s="201" t="s">
        <v>317</v>
      </c>
      <c r="F653" s="200" t="s">
        <v>408</v>
      </c>
      <c r="G653" s="200" t="s">
        <v>435</v>
      </c>
    </row>
    <row r="654" spans="1:7" hidden="1">
      <c r="A654" s="199" t="s">
        <v>636</v>
      </c>
      <c r="B654" s="200">
        <v>459011</v>
      </c>
      <c r="C654" s="200">
        <v>0</v>
      </c>
      <c r="D654" s="201" t="s">
        <v>438</v>
      </c>
      <c r="E654" s="201" t="s">
        <v>317</v>
      </c>
      <c r="F654" s="200" t="s">
        <v>442</v>
      </c>
      <c r="G654" s="200" t="s">
        <v>435</v>
      </c>
    </row>
    <row r="655" spans="1:7" hidden="1">
      <c r="A655" s="199" t="s">
        <v>636</v>
      </c>
      <c r="B655" s="200">
        <v>-100000</v>
      </c>
      <c r="C655" s="200">
        <v>0</v>
      </c>
      <c r="D655" s="201" t="s">
        <v>438</v>
      </c>
      <c r="E655" s="201" t="s">
        <v>317</v>
      </c>
      <c r="F655" s="200" t="s">
        <v>403</v>
      </c>
      <c r="G655" s="200" t="s">
        <v>435</v>
      </c>
    </row>
    <row r="656" spans="1:7" hidden="1">
      <c r="A656" s="199" t="s">
        <v>636</v>
      </c>
      <c r="B656" s="200">
        <v>209832</v>
      </c>
      <c r="C656" s="200">
        <v>0</v>
      </c>
      <c r="D656" s="201" t="s">
        <v>443</v>
      </c>
      <c r="E656" s="201" t="s">
        <v>317</v>
      </c>
      <c r="F656" s="200" t="s">
        <v>395</v>
      </c>
      <c r="G656" s="200" t="s">
        <v>435</v>
      </c>
    </row>
    <row r="657" spans="1:7" hidden="1">
      <c r="A657" s="199" t="s">
        <v>636</v>
      </c>
      <c r="B657" s="200">
        <v>-33000</v>
      </c>
      <c r="C657" s="200">
        <v>0</v>
      </c>
      <c r="D657" s="201" t="s">
        <v>443</v>
      </c>
      <c r="E657" s="201" t="s">
        <v>317</v>
      </c>
      <c r="F657" s="200" t="s">
        <v>411</v>
      </c>
      <c r="G657" s="200" t="s">
        <v>435</v>
      </c>
    </row>
    <row r="658" spans="1:7" hidden="1">
      <c r="A658" s="199" t="s">
        <v>636</v>
      </c>
      <c r="B658" s="200">
        <v>-66101</v>
      </c>
      <c r="C658" s="200">
        <v>0</v>
      </c>
      <c r="D658" s="201" t="s">
        <v>443</v>
      </c>
      <c r="E658" s="201" t="s">
        <v>317</v>
      </c>
      <c r="F658" s="200" t="s">
        <v>408</v>
      </c>
      <c r="G658" s="200" t="s">
        <v>435</v>
      </c>
    </row>
    <row r="659" spans="1:7" hidden="1">
      <c r="A659" s="199" t="s">
        <v>636</v>
      </c>
      <c r="B659" s="200">
        <v>87930</v>
      </c>
      <c r="C659" s="200">
        <v>0</v>
      </c>
      <c r="D659" s="201" t="s">
        <v>546</v>
      </c>
      <c r="E659" s="201" t="s">
        <v>317</v>
      </c>
      <c r="F659" s="200" t="s">
        <v>395</v>
      </c>
      <c r="G659" s="200" t="s">
        <v>435</v>
      </c>
    </row>
    <row r="660" spans="1:7" hidden="1">
      <c r="A660" s="199" t="s">
        <v>636</v>
      </c>
      <c r="B660" s="200">
        <v>134518</v>
      </c>
      <c r="C660" s="200">
        <v>0</v>
      </c>
      <c r="D660" s="201" t="s">
        <v>475</v>
      </c>
      <c r="E660" s="201" t="s">
        <v>317</v>
      </c>
      <c r="F660" s="200" t="s">
        <v>395</v>
      </c>
      <c r="G660" s="200" t="s">
        <v>435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395</v>
      </c>
      <c r="G661" s="200" t="s">
        <v>435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442</v>
      </c>
      <c r="G662" s="200" t="s">
        <v>435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395</v>
      </c>
      <c r="G663" s="200" t="s">
        <v>435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446</v>
      </c>
      <c r="G664" s="200" t="s">
        <v>435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394</v>
      </c>
      <c r="G665" s="200" t="s">
        <v>435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414</v>
      </c>
      <c r="G666" s="200" t="s">
        <v>435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442</v>
      </c>
      <c r="G667" s="200" t="s">
        <v>435</v>
      </c>
    </row>
    <row r="668" spans="1:7" hidden="1">
      <c r="A668" s="199" t="s">
        <v>637</v>
      </c>
      <c r="B668" s="200">
        <v>155800</v>
      </c>
      <c r="C668" s="200">
        <v>0</v>
      </c>
      <c r="D668" s="201" t="s">
        <v>441</v>
      </c>
      <c r="E668" s="201" t="s">
        <v>39</v>
      </c>
      <c r="F668" s="200" t="s">
        <v>395</v>
      </c>
      <c r="G668" s="200" t="s">
        <v>435</v>
      </c>
    </row>
    <row r="669" spans="1:7" hidden="1">
      <c r="A669" s="199" t="s">
        <v>637</v>
      </c>
      <c r="B669" s="200">
        <v>-155800</v>
      </c>
      <c r="C669" s="200">
        <v>0</v>
      </c>
      <c r="D669" s="201" t="s">
        <v>441</v>
      </c>
      <c r="E669" s="201" t="s">
        <v>39</v>
      </c>
      <c r="F669" s="200" t="s">
        <v>403</v>
      </c>
      <c r="G669" s="200" t="s">
        <v>435</v>
      </c>
    </row>
    <row r="670" spans="1:7" hidden="1">
      <c r="A670" s="199" t="s">
        <v>638</v>
      </c>
      <c r="B670" s="200">
        <v>-1401012</v>
      </c>
      <c r="C670" s="200">
        <v>0</v>
      </c>
      <c r="D670" s="201" t="s">
        <v>441</v>
      </c>
      <c r="E670" s="201" t="s">
        <v>639</v>
      </c>
      <c r="F670" s="200" t="s">
        <v>394</v>
      </c>
      <c r="G670" s="200" t="s">
        <v>435</v>
      </c>
    </row>
    <row r="671" spans="1:7" hidden="1">
      <c r="A671" s="199" t="s">
        <v>377</v>
      </c>
      <c r="B671" s="200">
        <v>7120</v>
      </c>
      <c r="C671" s="200">
        <v>0</v>
      </c>
      <c r="D671" s="201" t="s">
        <v>283</v>
      </c>
      <c r="E671" s="201" t="s">
        <v>640</v>
      </c>
      <c r="F671" s="200" t="s">
        <v>394</v>
      </c>
      <c r="G671" s="200" t="s">
        <v>435</v>
      </c>
    </row>
    <row r="672" spans="1:7">
      <c r="A672" s="199" t="s">
        <v>377</v>
      </c>
      <c r="B672" s="200">
        <v>7120</v>
      </c>
      <c r="C672" s="200">
        <v>0</v>
      </c>
      <c r="D672" s="201" t="s">
        <v>282</v>
      </c>
      <c r="E672" s="201" t="s">
        <v>640</v>
      </c>
      <c r="F672" s="200" t="s">
        <v>394</v>
      </c>
      <c r="G672" s="200" t="s">
        <v>435</v>
      </c>
    </row>
    <row r="673" spans="1:7" hidden="1">
      <c r="A673" s="199" t="s">
        <v>641</v>
      </c>
      <c r="B673" s="200">
        <v>2379</v>
      </c>
      <c r="C673" s="200">
        <v>0</v>
      </c>
      <c r="D673" s="201" t="s">
        <v>443</v>
      </c>
      <c r="E673" s="201" t="s">
        <v>640</v>
      </c>
      <c r="F673" s="200" t="s">
        <v>394</v>
      </c>
      <c r="G673" s="200" t="s">
        <v>435</v>
      </c>
    </row>
    <row r="674" spans="1:7" hidden="1">
      <c r="A674" s="199" t="s">
        <v>642</v>
      </c>
      <c r="B674" s="200">
        <v>-1797</v>
      </c>
      <c r="C674" s="200">
        <v>0</v>
      </c>
      <c r="D674" s="201" t="s">
        <v>443</v>
      </c>
      <c r="E674" s="201" t="s">
        <v>640</v>
      </c>
      <c r="F674" s="200" t="s">
        <v>394</v>
      </c>
      <c r="G674" s="200" t="s">
        <v>435</v>
      </c>
    </row>
    <row r="675" spans="1:7" hidden="1">
      <c r="A675" s="199" t="s">
        <v>643</v>
      </c>
      <c r="B675" s="200">
        <v>-1728</v>
      </c>
      <c r="C675" s="200">
        <v>0</v>
      </c>
      <c r="D675" s="201" t="s">
        <v>443</v>
      </c>
      <c r="E675" s="201" t="s">
        <v>640</v>
      </c>
      <c r="F675" s="200" t="s">
        <v>394</v>
      </c>
      <c r="G675" s="200" t="s">
        <v>435</v>
      </c>
    </row>
    <row r="676" spans="1:7" hidden="1">
      <c r="A676" s="199" t="s">
        <v>644</v>
      </c>
      <c r="B676" s="200">
        <v>-27024</v>
      </c>
      <c r="C676" s="200">
        <v>0</v>
      </c>
      <c r="D676" s="201" t="s">
        <v>441</v>
      </c>
      <c r="E676" s="201" t="s">
        <v>640</v>
      </c>
      <c r="F676" s="200" t="s">
        <v>394</v>
      </c>
      <c r="G676" s="200" t="s">
        <v>435</v>
      </c>
    </row>
    <row r="677" spans="1:7" hidden="1">
      <c r="A677" s="199" t="s">
        <v>378</v>
      </c>
      <c r="B677" s="200">
        <v>1390</v>
      </c>
      <c r="C677" s="200">
        <v>0</v>
      </c>
      <c r="D677" s="201" t="s">
        <v>283</v>
      </c>
      <c r="E677" s="201" t="s">
        <v>640</v>
      </c>
      <c r="F677" s="200" t="s">
        <v>394</v>
      </c>
      <c r="G677" s="200" t="s">
        <v>435</v>
      </c>
    </row>
    <row r="678" spans="1:7">
      <c r="A678" s="199" t="s">
        <v>378</v>
      </c>
      <c r="B678" s="200">
        <v>1390</v>
      </c>
      <c r="C678" s="200">
        <v>0</v>
      </c>
      <c r="D678" s="201" t="s">
        <v>282</v>
      </c>
      <c r="E678" s="201" t="s">
        <v>640</v>
      </c>
      <c r="F678" s="200" t="s">
        <v>394</v>
      </c>
      <c r="G678" s="200" t="s">
        <v>435</v>
      </c>
    </row>
    <row r="679" spans="1:7" hidden="1">
      <c r="A679" s="199" t="s">
        <v>380</v>
      </c>
      <c r="B679" s="200">
        <v>5561</v>
      </c>
      <c r="C679" s="200">
        <v>0</v>
      </c>
      <c r="D679" s="201" t="s">
        <v>283</v>
      </c>
      <c r="E679" s="201" t="s">
        <v>640</v>
      </c>
      <c r="F679" s="200" t="s">
        <v>394</v>
      </c>
      <c r="G679" s="200" t="s">
        <v>435</v>
      </c>
    </row>
    <row r="680" spans="1:7">
      <c r="A680" s="199" t="s">
        <v>380</v>
      </c>
      <c r="B680" s="200">
        <v>5561</v>
      </c>
      <c r="C680" s="200">
        <v>0</v>
      </c>
      <c r="D680" s="201" t="s">
        <v>282</v>
      </c>
      <c r="E680" s="201" t="s">
        <v>640</v>
      </c>
      <c r="F680" s="200" t="s">
        <v>394</v>
      </c>
      <c r="G680" s="200" t="s">
        <v>435</v>
      </c>
    </row>
    <row r="681" spans="1:7" hidden="1">
      <c r="A681" s="199" t="s">
        <v>381</v>
      </c>
      <c r="B681" s="200">
        <v>5800</v>
      </c>
      <c r="C681" s="200">
        <v>0</v>
      </c>
      <c r="D681" s="201" t="s">
        <v>283</v>
      </c>
      <c r="E681" s="201" t="s">
        <v>640</v>
      </c>
      <c r="F681" s="200" t="s">
        <v>394</v>
      </c>
      <c r="G681" s="200" t="s">
        <v>435</v>
      </c>
    </row>
    <row r="682" spans="1:7">
      <c r="A682" s="199" t="s">
        <v>381</v>
      </c>
      <c r="B682" s="200">
        <v>5800</v>
      </c>
      <c r="C682" s="200">
        <v>0</v>
      </c>
      <c r="D682" s="201" t="s">
        <v>282</v>
      </c>
      <c r="E682" s="201" t="s">
        <v>640</v>
      </c>
      <c r="F682" s="200" t="s">
        <v>394</v>
      </c>
      <c r="G682" s="200" t="s">
        <v>435</v>
      </c>
    </row>
    <row r="683" spans="1:7" hidden="1">
      <c r="A683" s="199" t="s">
        <v>645</v>
      </c>
      <c r="B683" s="200">
        <v>-1500</v>
      </c>
      <c r="C683" s="200">
        <v>0</v>
      </c>
      <c r="D683" s="201" t="s">
        <v>441</v>
      </c>
      <c r="E683" s="201" t="s">
        <v>639</v>
      </c>
      <c r="F683" s="200" t="s">
        <v>410</v>
      </c>
      <c r="G683" s="200" t="s">
        <v>435</v>
      </c>
    </row>
    <row r="684" spans="1:7" hidden="1">
      <c r="A684" s="199" t="s">
        <v>646</v>
      </c>
      <c r="B684" s="200">
        <v>-508</v>
      </c>
      <c r="C684" s="200">
        <v>0</v>
      </c>
      <c r="D684" s="201" t="s">
        <v>475</v>
      </c>
      <c r="E684" s="201" t="s">
        <v>639</v>
      </c>
      <c r="F684" s="200" t="s">
        <v>410</v>
      </c>
      <c r="G684" s="200" t="s">
        <v>435</v>
      </c>
    </row>
    <row r="685" spans="1:7" hidden="1">
      <c r="A685" s="199" t="s">
        <v>647</v>
      </c>
      <c r="B685" s="200">
        <v>-7289</v>
      </c>
      <c r="C685" s="200">
        <v>0</v>
      </c>
      <c r="D685" s="201" t="s">
        <v>441</v>
      </c>
      <c r="E685" s="201" t="s">
        <v>639</v>
      </c>
      <c r="F685" s="200" t="s">
        <v>410</v>
      </c>
      <c r="G685" s="200" t="s">
        <v>435</v>
      </c>
    </row>
    <row r="686" spans="1:7" hidden="1">
      <c r="A686" s="199" t="s">
        <v>647</v>
      </c>
      <c r="B686" s="200">
        <v>-443</v>
      </c>
      <c r="C686" s="200">
        <v>0</v>
      </c>
      <c r="D686" s="201" t="s">
        <v>475</v>
      </c>
      <c r="E686" s="201" t="s">
        <v>639</v>
      </c>
      <c r="F686" s="200" t="s">
        <v>410</v>
      </c>
      <c r="G686" s="200" t="s">
        <v>435</v>
      </c>
    </row>
    <row r="687" spans="1:7" hidden="1">
      <c r="A687" s="199" t="s">
        <v>648</v>
      </c>
      <c r="B687" s="200">
        <v>-1985</v>
      </c>
      <c r="C687" s="200">
        <v>0</v>
      </c>
      <c r="D687" s="201" t="s">
        <v>441</v>
      </c>
      <c r="E687" s="201" t="s">
        <v>639</v>
      </c>
      <c r="F687" s="200" t="s">
        <v>410</v>
      </c>
      <c r="G687" s="200" t="s">
        <v>435</v>
      </c>
    </row>
    <row r="688" spans="1:7" hidden="1">
      <c r="A688" s="199" t="s">
        <v>649</v>
      </c>
      <c r="B688" s="200">
        <v>-2021</v>
      </c>
      <c r="C688" s="200">
        <v>0</v>
      </c>
      <c r="D688" s="201" t="s">
        <v>441</v>
      </c>
      <c r="E688" s="201" t="s">
        <v>639</v>
      </c>
      <c r="F688" s="200" t="s">
        <v>410</v>
      </c>
      <c r="G688" s="200" t="s">
        <v>435</v>
      </c>
    </row>
    <row r="689" spans="1:7" hidden="1">
      <c r="A689" s="199" t="s">
        <v>650</v>
      </c>
      <c r="B689" s="200">
        <v>-2019</v>
      </c>
      <c r="C689" s="200">
        <v>0</v>
      </c>
      <c r="D689" s="201" t="s">
        <v>441</v>
      </c>
      <c r="E689" s="201" t="s">
        <v>639</v>
      </c>
      <c r="F689" s="200" t="s">
        <v>410</v>
      </c>
      <c r="G689" s="200" t="s">
        <v>435</v>
      </c>
    </row>
    <row r="690" spans="1:7" hidden="1">
      <c r="A690" s="199" t="s">
        <v>651</v>
      </c>
      <c r="B690" s="200">
        <v>-2991</v>
      </c>
      <c r="C690" s="200">
        <v>0</v>
      </c>
      <c r="D690" s="201" t="s">
        <v>441</v>
      </c>
      <c r="E690" s="201" t="s">
        <v>639</v>
      </c>
      <c r="F690" s="200" t="s">
        <v>410</v>
      </c>
      <c r="G690" s="200" t="s">
        <v>435</v>
      </c>
    </row>
    <row r="691" spans="1:7" hidden="1">
      <c r="A691" s="199" t="s">
        <v>652</v>
      </c>
      <c r="B691" s="200">
        <v>-1957</v>
      </c>
      <c r="C691" s="200">
        <v>0</v>
      </c>
      <c r="D691" s="201" t="s">
        <v>441</v>
      </c>
      <c r="E691" s="201" t="s">
        <v>639</v>
      </c>
      <c r="F691" s="200" t="s">
        <v>410</v>
      </c>
      <c r="G691" s="200" t="s">
        <v>435</v>
      </c>
    </row>
    <row r="692" spans="1:7" hidden="1">
      <c r="A692" s="199" t="s">
        <v>371</v>
      </c>
      <c r="B692" s="200">
        <v>98</v>
      </c>
      <c r="C692" s="200">
        <v>0</v>
      </c>
      <c r="D692" s="201" t="s">
        <v>283</v>
      </c>
      <c r="E692" s="201" t="s">
        <v>640</v>
      </c>
      <c r="F692" s="200" t="s">
        <v>653</v>
      </c>
      <c r="G692" s="200" t="s">
        <v>435</v>
      </c>
    </row>
    <row r="693" spans="1:7">
      <c r="A693" s="199" t="s">
        <v>371</v>
      </c>
      <c r="B693" s="200">
        <v>98</v>
      </c>
      <c r="C693" s="200">
        <v>0</v>
      </c>
      <c r="D693" s="201" t="s">
        <v>282</v>
      </c>
      <c r="E693" s="201" t="s">
        <v>640</v>
      </c>
      <c r="F693" s="200" t="s">
        <v>653</v>
      </c>
      <c r="G693" s="200" t="s">
        <v>435</v>
      </c>
    </row>
    <row r="694" spans="1:7" hidden="1">
      <c r="A694" s="199" t="s">
        <v>375</v>
      </c>
      <c r="B694" s="200">
        <v>192</v>
      </c>
      <c r="C694" s="200">
        <v>0</v>
      </c>
      <c r="D694" s="201" t="s">
        <v>283</v>
      </c>
      <c r="E694" s="201" t="s">
        <v>640</v>
      </c>
      <c r="F694" s="200" t="s">
        <v>653</v>
      </c>
      <c r="G694" s="200" t="s">
        <v>435</v>
      </c>
    </row>
    <row r="695" spans="1:7">
      <c r="A695" s="199" t="s">
        <v>375</v>
      </c>
      <c r="B695" s="200">
        <v>192</v>
      </c>
      <c r="C695" s="200">
        <v>0</v>
      </c>
      <c r="D695" s="201" t="s">
        <v>282</v>
      </c>
      <c r="E695" s="201" t="s">
        <v>640</v>
      </c>
      <c r="F695" s="200" t="s">
        <v>653</v>
      </c>
      <c r="G695" s="200" t="s">
        <v>435</v>
      </c>
    </row>
    <row r="696" spans="1:7" hidden="1">
      <c r="A696" s="199" t="s">
        <v>373</v>
      </c>
      <c r="B696" s="200">
        <v>2418</v>
      </c>
      <c r="C696" s="200">
        <v>0</v>
      </c>
      <c r="D696" s="201" t="s">
        <v>283</v>
      </c>
      <c r="E696" s="201" t="s">
        <v>640</v>
      </c>
      <c r="F696" s="200" t="s">
        <v>653</v>
      </c>
      <c r="G696" s="200" t="s">
        <v>435</v>
      </c>
    </row>
    <row r="697" spans="1:7">
      <c r="A697" s="199" t="s">
        <v>373</v>
      </c>
      <c r="B697" s="200">
        <v>2418</v>
      </c>
      <c r="C697" s="200">
        <v>0</v>
      </c>
      <c r="D697" s="201" t="s">
        <v>282</v>
      </c>
      <c r="E697" s="201" t="s">
        <v>640</v>
      </c>
      <c r="F697" s="200" t="s">
        <v>653</v>
      </c>
      <c r="G697" s="200" t="s">
        <v>435</v>
      </c>
    </row>
    <row r="698" spans="1:7" hidden="1">
      <c r="A698" s="199" t="s">
        <v>376</v>
      </c>
      <c r="B698" s="200">
        <v>1185</v>
      </c>
      <c r="C698" s="200">
        <v>0</v>
      </c>
      <c r="D698" s="201" t="s">
        <v>283</v>
      </c>
      <c r="E698" s="201" t="s">
        <v>640</v>
      </c>
      <c r="F698" s="200" t="s">
        <v>653</v>
      </c>
      <c r="G698" s="200" t="s">
        <v>435</v>
      </c>
    </row>
    <row r="699" spans="1:7">
      <c r="A699" s="199" t="s">
        <v>376</v>
      </c>
      <c r="B699" s="200">
        <v>1186</v>
      </c>
      <c r="C699" s="200">
        <v>0</v>
      </c>
      <c r="D699" s="201" t="s">
        <v>282</v>
      </c>
      <c r="E699" s="201" t="s">
        <v>640</v>
      </c>
      <c r="F699" s="200" t="s">
        <v>653</v>
      </c>
      <c r="G699" s="200" t="s">
        <v>435</v>
      </c>
    </row>
    <row r="700" spans="1:7" hidden="1">
      <c r="A700" s="199" t="s">
        <v>654</v>
      </c>
      <c r="B700" s="200">
        <v>-8863</v>
      </c>
      <c r="C700" s="200">
        <v>0</v>
      </c>
      <c r="D700" s="201" t="s">
        <v>443</v>
      </c>
      <c r="E700" s="201" t="s">
        <v>639</v>
      </c>
      <c r="F700" s="200" t="s">
        <v>653</v>
      </c>
      <c r="G700" s="200" t="s">
        <v>435</v>
      </c>
    </row>
    <row r="701" spans="1:7" hidden="1">
      <c r="A701" s="199" t="s">
        <v>655</v>
      </c>
      <c r="B701" s="200">
        <v>-675998</v>
      </c>
      <c r="C701" s="200">
        <v>0</v>
      </c>
      <c r="D701" s="201" t="s">
        <v>443</v>
      </c>
      <c r="E701" s="201" t="s">
        <v>639</v>
      </c>
      <c r="F701" s="200" t="s">
        <v>653</v>
      </c>
      <c r="G701" s="200" t="s">
        <v>435</v>
      </c>
    </row>
    <row r="702" spans="1:7" hidden="1">
      <c r="A702" s="199" t="s">
        <v>656</v>
      </c>
      <c r="B702" s="200">
        <v>-3158</v>
      </c>
      <c r="C702" s="200">
        <v>0</v>
      </c>
      <c r="D702" s="201" t="s">
        <v>441</v>
      </c>
      <c r="E702" s="201" t="s">
        <v>640</v>
      </c>
      <c r="F702" s="200" t="s">
        <v>394</v>
      </c>
      <c r="G702" s="200" t="s">
        <v>435</v>
      </c>
    </row>
    <row r="703" spans="1:7" hidden="1">
      <c r="A703" s="199" t="s">
        <v>657</v>
      </c>
      <c r="B703" s="200">
        <v>-6018</v>
      </c>
      <c r="C703" s="200">
        <v>0</v>
      </c>
      <c r="D703" s="201" t="s">
        <v>441</v>
      </c>
      <c r="E703" s="201" t="s">
        <v>640</v>
      </c>
      <c r="F703" s="200" t="s">
        <v>394</v>
      </c>
      <c r="G703" s="200" t="s">
        <v>435</v>
      </c>
    </row>
    <row r="704" spans="1:7" hidden="1">
      <c r="A704" s="199" t="s">
        <v>658</v>
      </c>
      <c r="B704" s="200">
        <v>-27197</v>
      </c>
      <c r="C704" s="200">
        <v>0</v>
      </c>
      <c r="D704" s="201" t="s">
        <v>441</v>
      </c>
      <c r="E704" s="201" t="s">
        <v>440</v>
      </c>
      <c r="F704" s="200" t="s">
        <v>395</v>
      </c>
      <c r="G704" s="200" t="s">
        <v>435</v>
      </c>
    </row>
    <row r="705" spans="1:7" hidden="1">
      <c r="A705" s="199" t="s">
        <v>659</v>
      </c>
      <c r="B705" s="200">
        <v>54530</v>
      </c>
      <c r="C705" s="200">
        <v>0</v>
      </c>
      <c r="D705" s="201" t="s">
        <v>441</v>
      </c>
      <c r="E705" s="201" t="s">
        <v>317</v>
      </c>
      <c r="F705" s="200" t="s">
        <v>395</v>
      </c>
      <c r="G705" s="200" t="s">
        <v>435</v>
      </c>
    </row>
    <row r="706" spans="1:7" hidden="1">
      <c r="A706" s="199" t="s">
        <v>659</v>
      </c>
      <c r="B706" s="200">
        <v>-54530</v>
      </c>
      <c r="C706" s="200">
        <v>0</v>
      </c>
      <c r="D706" s="201" t="s">
        <v>441</v>
      </c>
      <c r="E706" s="201" t="s">
        <v>317</v>
      </c>
      <c r="F706" s="200" t="s">
        <v>442</v>
      </c>
      <c r="G706" s="200" t="s">
        <v>435</v>
      </c>
    </row>
    <row r="707" spans="1:7">
      <c r="A707" s="199" t="s">
        <v>659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395</v>
      </c>
      <c r="G707" s="200" t="s">
        <v>435</v>
      </c>
    </row>
    <row r="708" spans="1:7">
      <c r="A708" s="199" t="s">
        <v>659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394</v>
      </c>
      <c r="G708" s="200" t="s">
        <v>435</v>
      </c>
    </row>
    <row r="709" spans="1:7">
      <c r="A709" s="199" t="s">
        <v>659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442</v>
      </c>
      <c r="G709" s="200" t="s">
        <v>435</v>
      </c>
    </row>
    <row r="710" spans="1:7" hidden="1">
      <c r="A710" s="199" t="s">
        <v>660</v>
      </c>
      <c r="B710" s="200">
        <v>-7500000</v>
      </c>
      <c r="C710" s="200">
        <v>0</v>
      </c>
      <c r="D710" s="201" t="s">
        <v>438</v>
      </c>
      <c r="E710" s="201" t="s">
        <v>661</v>
      </c>
      <c r="F710" s="200" t="s">
        <v>395</v>
      </c>
      <c r="G710" s="200" t="s">
        <v>435</v>
      </c>
    </row>
    <row r="711" spans="1:7" hidden="1">
      <c r="A711" s="199" t="s">
        <v>660</v>
      </c>
      <c r="B711" s="200">
        <v>7500000</v>
      </c>
      <c r="C711" s="200">
        <v>0</v>
      </c>
      <c r="D711" s="201" t="s">
        <v>438</v>
      </c>
      <c r="E711" s="201" t="s">
        <v>661</v>
      </c>
      <c r="F711" s="200" t="s">
        <v>394</v>
      </c>
      <c r="G711" s="200" t="s">
        <v>435</v>
      </c>
    </row>
    <row r="712" spans="1:7">
      <c r="A712" s="199" t="s">
        <v>662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395</v>
      </c>
      <c r="G712" s="200" t="s">
        <v>435</v>
      </c>
    </row>
    <row r="713" spans="1:7">
      <c r="A713" s="199" t="s">
        <v>662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414</v>
      </c>
      <c r="G713" s="200" t="s">
        <v>435</v>
      </c>
    </row>
    <row r="714" spans="1:7">
      <c r="A714" s="199" t="s">
        <v>663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395</v>
      </c>
      <c r="G714" s="200" t="s">
        <v>435</v>
      </c>
    </row>
    <row r="715" spans="1:7">
      <c r="A715" s="199" t="s">
        <v>663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446</v>
      </c>
      <c r="G715" s="200" t="s">
        <v>435</v>
      </c>
    </row>
    <row r="716" spans="1:7">
      <c r="A716" s="199" t="s">
        <v>663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405</v>
      </c>
      <c r="G716" s="200" t="s">
        <v>435</v>
      </c>
    </row>
    <row r="717" spans="1:7">
      <c r="A717" s="199" t="s">
        <v>663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394</v>
      </c>
      <c r="G717" s="200" t="s">
        <v>435</v>
      </c>
    </row>
    <row r="718" spans="1:7">
      <c r="A718" s="199" t="s">
        <v>663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403</v>
      </c>
      <c r="G718" s="200" t="s">
        <v>435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395</v>
      </c>
      <c r="G719" s="200" t="s">
        <v>435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446</v>
      </c>
      <c r="G720" s="200" t="s">
        <v>435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394</v>
      </c>
      <c r="G721" s="200" t="s">
        <v>435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408</v>
      </c>
      <c r="G722" s="200" t="s">
        <v>435</v>
      </c>
    </row>
    <row r="723" spans="1:7" hidden="1">
      <c r="A723" s="199" t="s">
        <v>664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395</v>
      </c>
      <c r="G723" s="200" t="s">
        <v>435</v>
      </c>
    </row>
    <row r="724" spans="1:7" hidden="1">
      <c r="A724" s="199" t="s">
        <v>664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442</v>
      </c>
      <c r="G724" s="200" t="s">
        <v>435</v>
      </c>
    </row>
    <row r="725" spans="1:7">
      <c r="A725" s="199" t="s">
        <v>664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395</v>
      </c>
      <c r="G725" s="200" t="s">
        <v>435</v>
      </c>
    </row>
    <row r="726" spans="1:7">
      <c r="A726" s="199" t="s">
        <v>664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442</v>
      </c>
      <c r="G726" s="200" t="s">
        <v>435</v>
      </c>
    </row>
    <row r="727" spans="1:7" hidden="1">
      <c r="A727" s="199" t="s">
        <v>665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395</v>
      </c>
      <c r="G727" s="200" t="s">
        <v>435</v>
      </c>
    </row>
    <row r="728" spans="1:7" hidden="1">
      <c r="A728" s="199" t="s">
        <v>665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442</v>
      </c>
      <c r="G728" s="200" t="s">
        <v>435</v>
      </c>
    </row>
    <row r="729" spans="1:7">
      <c r="A729" s="199" t="s">
        <v>665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395</v>
      </c>
      <c r="G729" s="200" t="s">
        <v>435</v>
      </c>
    </row>
    <row r="730" spans="1:7">
      <c r="A730" s="199" t="s">
        <v>665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442</v>
      </c>
      <c r="G730" s="200" t="s">
        <v>435</v>
      </c>
    </row>
    <row r="731" spans="1:7" hidden="1">
      <c r="A731" s="199" t="s">
        <v>666</v>
      </c>
      <c r="B731" s="200">
        <v>-5568</v>
      </c>
      <c r="C731" s="200">
        <v>0</v>
      </c>
      <c r="D731" s="201" t="s">
        <v>443</v>
      </c>
      <c r="E731" s="201" t="s">
        <v>317</v>
      </c>
      <c r="F731" s="200" t="s">
        <v>395</v>
      </c>
      <c r="G731" s="200" t="s">
        <v>435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395</v>
      </c>
      <c r="G732" s="200" t="s">
        <v>435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442</v>
      </c>
      <c r="G733" s="200" t="s">
        <v>435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395</v>
      </c>
      <c r="G734" s="200" t="s">
        <v>435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394</v>
      </c>
      <c r="G735" s="200" t="s">
        <v>435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414</v>
      </c>
      <c r="G736" s="200" t="s">
        <v>435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404</v>
      </c>
      <c r="G737" s="200" t="s">
        <v>435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442</v>
      </c>
      <c r="G738" s="200" t="s">
        <v>435</v>
      </c>
    </row>
    <row r="739" spans="1:7" hidden="1">
      <c r="A739" s="199" t="s">
        <v>667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395</v>
      </c>
      <c r="G739" s="200" t="s">
        <v>435</v>
      </c>
    </row>
    <row r="740" spans="1:7">
      <c r="A740" s="199" t="s">
        <v>667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395</v>
      </c>
      <c r="G740" s="200" t="s">
        <v>435</v>
      </c>
    </row>
    <row r="741" spans="1:7">
      <c r="A741" s="199" t="s">
        <v>667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409</v>
      </c>
      <c r="G741" s="200" t="s">
        <v>435</v>
      </c>
    </row>
    <row r="742" spans="1:7" hidden="1">
      <c r="A742" s="199" t="s">
        <v>668</v>
      </c>
      <c r="B742" s="200">
        <v>-8</v>
      </c>
      <c r="C742" s="200">
        <v>0</v>
      </c>
      <c r="D742" s="201" t="s">
        <v>464</v>
      </c>
      <c r="E742" s="201" t="s">
        <v>669</v>
      </c>
      <c r="F742" s="200" t="s">
        <v>395</v>
      </c>
      <c r="G742" s="200" t="s">
        <v>435</v>
      </c>
    </row>
    <row r="743" spans="1:7">
      <c r="A743" s="199" t="s">
        <v>670</v>
      </c>
      <c r="B743" s="200">
        <v>-2</v>
      </c>
      <c r="C743" s="200">
        <v>0</v>
      </c>
      <c r="D743" s="201" t="s">
        <v>282</v>
      </c>
      <c r="E743" s="201" t="s">
        <v>518</v>
      </c>
      <c r="F743" s="200" t="s">
        <v>395</v>
      </c>
      <c r="G743" s="200" t="s">
        <v>435</v>
      </c>
    </row>
    <row r="744" spans="1:7">
      <c r="A744" s="199" t="s">
        <v>670</v>
      </c>
      <c r="B744" s="200">
        <v>2</v>
      </c>
      <c r="C744" s="200">
        <v>0</v>
      </c>
      <c r="D744" s="201" t="s">
        <v>282</v>
      </c>
      <c r="E744" s="201" t="s">
        <v>518</v>
      </c>
      <c r="F744" s="200" t="s">
        <v>394</v>
      </c>
      <c r="G744" s="200" t="s">
        <v>435</v>
      </c>
    </row>
    <row r="745" spans="1:7" hidden="1">
      <c r="A745" s="199" t="s">
        <v>671</v>
      </c>
      <c r="B745" s="200">
        <v>-31150</v>
      </c>
      <c r="C745" s="200">
        <v>0</v>
      </c>
      <c r="D745" s="201" t="s">
        <v>441</v>
      </c>
      <c r="E745" s="201" t="s">
        <v>440</v>
      </c>
      <c r="F745" s="200" t="s">
        <v>395</v>
      </c>
      <c r="G745" s="200" t="s">
        <v>435</v>
      </c>
    </row>
    <row r="746" spans="1:7" hidden="1">
      <c r="A746" s="199" t="s">
        <v>672</v>
      </c>
      <c r="B746" s="200">
        <v>93000000</v>
      </c>
      <c r="C746" s="200">
        <v>0</v>
      </c>
      <c r="D746" s="201" t="s">
        <v>438</v>
      </c>
      <c r="E746" s="201" t="s">
        <v>673</v>
      </c>
      <c r="F746" s="200" t="s">
        <v>674</v>
      </c>
      <c r="G746" s="200" t="s">
        <v>435</v>
      </c>
    </row>
    <row r="747" spans="1:7" hidden="1">
      <c r="A747" s="199" t="s">
        <v>675</v>
      </c>
      <c r="B747" s="200">
        <v>130200000</v>
      </c>
      <c r="C747" s="200">
        <v>0</v>
      </c>
      <c r="D747" s="201" t="s">
        <v>438</v>
      </c>
      <c r="E747" s="201" t="s">
        <v>673</v>
      </c>
      <c r="F747" s="200" t="s">
        <v>674</v>
      </c>
      <c r="G747" s="200" t="s">
        <v>435</v>
      </c>
    </row>
    <row r="748" spans="1:7" hidden="1">
      <c r="A748" s="199" t="s">
        <v>676</v>
      </c>
      <c r="B748" s="200">
        <v>-93000000</v>
      </c>
      <c r="C748" s="200">
        <v>0</v>
      </c>
      <c r="D748" s="201" t="s">
        <v>438</v>
      </c>
      <c r="E748" s="201" t="s">
        <v>673</v>
      </c>
      <c r="F748" s="200" t="s">
        <v>674</v>
      </c>
      <c r="G748" s="200" t="s">
        <v>435</v>
      </c>
    </row>
    <row r="749" spans="1:7" hidden="1">
      <c r="A749" s="199" t="s">
        <v>677</v>
      </c>
      <c r="B749" s="200">
        <v>-130200000</v>
      </c>
      <c r="C749" s="200">
        <v>0</v>
      </c>
      <c r="D749" s="201" t="s">
        <v>438</v>
      </c>
      <c r="E749" s="201" t="s">
        <v>673</v>
      </c>
      <c r="F749" s="200" t="s">
        <v>674</v>
      </c>
      <c r="G749" s="200" t="s">
        <v>435</v>
      </c>
    </row>
    <row r="750" spans="1:7">
      <c r="A750" s="199" t="s">
        <v>365</v>
      </c>
      <c r="B750" s="200">
        <v>25735</v>
      </c>
      <c r="C750" s="200">
        <v>0</v>
      </c>
      <c r="D750" s="201" t="s">
        <v>282</v>
      </c>
      <c r="E750" s="201" t="s">
        <v>448</v>
      </c>
      <c r="F750" s="200" t="s">
        <v>395</v>
      </c>
      <c r="G750" s="200" t="s">
        <v>435</v>
      </c>
    </row>
    <row r="751" spans="1:7">
      <c r="A751" s="199" t="s">
        <v>365</v>
      </c>
      <c r="B751" s="200">
        <v>-19191</v>
      </c>
      <c r="C751" s="200">
        <v>0</v>
      </c>
      <c r="D751" s="201" t="s">
        <v>282</v>
      </c>
      <c r="E751" s="201" t="s">
        <v>448</v>
      </c>
      <c r="F751" s="200" t="s">
        <v>398</v>
      </c>
      <c r="G751" s="200" t="s">
        <v>435</v>
      </c>
    </row>
    <row r="752" spans="1:7">
      <c r="A752" s="199" t="s">
        <v>365</v>
      </c>
      <c r="B752" s="200">
        <v>-6544</v>
      </c>
      <c r="C752" s="200">
        <v>0</v>
      </c>
      <c r="D752" s="201" t="s">
        <v>282</v>
      </c>
      <c r="E752" s="201" t="s">
        <v>448</v>
      </c>
      <c r="F752" s="200" t="s">
        <v>394</v>
      </c>
      <c r="G752" s="200" t="s">
        <v>435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395</v>
      </c>
      <c r="G753" s="200" t="s">
        <v>435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442</v>
      </c>
      <c r="G754" s="200" t="s">
        <v>435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395</v>
      </c>
      <c r="G755" s="200" t="s">
        <v>435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394</v>
      </c>
      <c r="G756" s="200" t="s">
        <v>435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414</v>
      </c>
      <c r="G757" s="200" t="s">
        <v>435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404</v>
      </c>
      <c r="G758" s="200" t="s">
        <v>435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442</v>
      </c>
      <c r="G759" s="200" t="s">
        <v>435</v>
      </c>
    </row>
    <row r="760" spans="1:7" hidden="1">
      <c r="A760" s="199" t="s">
        <v>678</v>
      </c>
      <c r="B760" s="200">
        <v>1298800</v>
      </c>
      <c r="C760" s="200">
        <v>0</v>
      </c>
      <c r="D760" s="201" t="s">
        <v>441</v>
      </c>
      <c r="E760" s="201" t="s">
        <v>39</v>
      </c>
      <c r="F760" s="200" t="s">
        <v>395</v>
      </c>
      <c r="G760" s="200" t="s">
        <v>435</v>
      </c>
    </row>
    <row r="761" spans="1:7" hidden="1">
      <c r="A761" s="199" t="s">
        <v>678</v>
      </c>
      <c r="B761" s="200">
        <v>-109565</v>
      </c>
      <c r="C761" s="200">
        <v>0</v>
      </c>
      <c r="D761" s="201" t="s">
        <v>441</v>
      </c>
      <c r="E761" s="201" t="s">
        <v>39</v>
      </c>
      <c r="F761" s="200" t="s">
        <v>398</v>
      </c>
      <c r="G761" s="200" t="s">
        <v>435</v>
      </c>
    </row>
    <row r="762" spans="1:7" hidden="1">
      <c r="A762" s="199" t="s">
        <v>678</v>
      </c>
      <c r="B762" s="200">
        <v>121000</v>
      </c>
      <c r="C762" s="200">
        <v>0</v>
      </c>
      <c r="D762" s="201" t="s">
        <v>441</v>
      </c>
      <c r="E762" s="201" t="s">
        <v>39</v>
      </c>
      <c r="F762" s="200" t="s">
        <v>442</v>
      </c>
      <c r="G762" s="200" t="s">
        <v>435</v>
      </c>
    </row>
    <row r="763" spans="1:7" hidden="1">
      <c r="A763" s="199" t="s">
        <v>678</v>
      </c>
      <c r="B763" s="200">
        <v>-121000</v>
      </c>
      <c r="C763" s="200">
        <v>0</v>
      </c>
      <c r="D763" s="201" t="s">
        <v>438</v>
      </c>
      <c r="E763" s="201" t="s">
        <v>39</v>
      </c>
      <c r="F763" s="200" t="s">
        <v>442</v>
      </c>
      <c r="G763" s="200" t="s">
        <v>435</v>
      </c>
    </row>
    <row r="764" spans="1:7" hidden="1">
      <c r="A764" s="199" t="s">
        <v>678</v>
      </c>
      <c r="B764" s="200">
        <v>121000</v>
      </c>
      <c r="C764" s="200">
        <v>0</v>
      </c>
      <c r="D764" s="201" t="s">
        <v>438</v>
      </c>
      <c r="E764" s="201" t="s">
        <v>39</v>
      </c>
      <c r="F764" s="200" t="s">
        <v>403</v>
      </c>
      <c r="G764" s="200" t="s">
        <v>435</v>
      </c>
    </row>
    <row r="765" spans="1:7">
      <c r="A765" s="199" t="s">
        <v>679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446</v>
      </c>
      <c r="G765" s="200" t="s">
        <v>435</v>
      </c>
    </row>
    <row r="766" spans="1:7">
      <c r="A766" s="199" t="s">
        <v>679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394</v>
      </c>
      <c r="G766" s="200" t="s">
        <v>435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395</v>
      </c>
      <c r="G767" s="200" t="s">
        <v>435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412</v>
      </c>
      <c r="G768" s="200" t="s">
        <v>435</v>
      </c>
    </row>
    <row r="769" spans="1:7" hidden="1">
      <c r="A769" s="199" t="s">
        <v>680</v>
      </c>
      <c r="B769" s="200">
        <v>-26784</v>
      </c>
      <c r="C769" s="200">
        <v>0</v>
      </c>
      <c r="D769" s="201" t="s">
        <v>438</v>
      </c>
      <c r="E769" s="201" t="s">
        <v>320</v>
      </c>
      <c r="F769" s="200" t="s">
        <v>395</v>
      </c>
      <c r="G769" s="200" t="s">
        <v>435</v>
      </c>
    </row>
    <row r="770" spans="1:7" hidden="1">
      <c r="A770" s="199" t="s">
        <v>680</v>
      </c>
      <c r="B770" s="200">
        <v>26784</v>
      </c>
      <c r="C770" s="200">
        <v>0</v>
      </c>
      <c r="D770" s="201" t="s">
        <v>438</v>
      </c>
      <c r="E770" s="201" t="s">
        <v>320</v>
      </c>
      <c r="F770" s="200" t="s">
        <v>403</v>
      </c>
      <c r="G770" s="200" t="s">
        <v>435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395</v>
      </c>
      <c r="G771" s="200" t="s">
        <v>435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442</v>
      </c>
      <c r="G772" s="200" t="s">
        <v>435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395</v>
      </c>
      <c r="G773" s="200" t="s">
        <v>435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446</v>
      </c>
      <c r="G774" s="200" t="s">
        <v>435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409</v>
      </c>
      <c r="G775" s="200" t="s">
        <v>435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394</v>
      </c>
      <c r="G776" s="200" t="s">
        <v>435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404</v>
      </c>
      <c r="G777" s="200" t="s">
        <v>435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442</v>
      </c>
      <c r="G778" s="200" t="s">
        <v>435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412</v>
      </c>
      <c r="G779" s="200" t="s">
        <v>435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443</v>
      </c>
      <c r="E780" s="201" t="s">
        <v>320</v>
      </c>
      <c r="F780" s="200" t="s">
        <v>395</v>
      </c>
      <c r="G780" s="200" t="s">
        <v>435</v>
      </c>
    </row>
    <row r="781" spans="1:7">
      <c r="A781" s="199" t="s">
        <v>681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409</v>
      </c>
      <c r="G781" s="200" t="s">
        <v>435</v>
      </c>
    </row>
    <row r="782" spans="1:7">
      <c r="A782" s="199" t="s">
        <v>681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394</v>
      </c>
      <c r="G782" s="200" t="s">
        <v>435</v>
      </c>
    </row>
    <row r="783" spans="1:7" hidden="1">
      <c r="A783" s="199" t="s">
        <v>682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395</v>
      </c>
      <c r="G783" s="200" t="s">
        <v>435</v>
      </c>
    </row>
    <row r="784" spans="1:7" hidden="1">
      <c r="A784" s="199" t="s">
        <v>682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442</v>
      </c>
      <c r="G784" s="200" t="s">
        <v>435</v>
      </c>
    </row>
    <row r="785" spans="1:7">
      <c r="A785" s="199" t="s">
        <v>682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395</v>
      </c>
      <c r="G785" s="200" t="s">
        <v>435</v>
      </c>
    </row>
    <row r="786" spans="1:7">
      <c r="A786" s="199" t="s">
        <v>682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409</v>
      </c>
      <c r="G786" s="200" t="s">
        <v>435</v>
      </c>
    </row>
    <row r="787" spans="1:7">
      <c r="A787" s="199" t="s">
        <v>682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394</v>
      </c>
      <c r="G787" s="200" t="s">
        <v>435</v>
      </c>
    </row>
    <row r="788" spans="1:7">
      <c r="A788" s="199" t="s">
        <v>682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442</v>
      </c>
      <c r="G788" s="200" t="s">
        <v>435</v>
      </c>
    </row>
    <row r="789" spans="1:7" hidden="1">
      <c r="A789" s="199" t="s">
        <v>683</v>
      </c>
      <c r="B789" s="200">
        <v>1390</v>
      </c>
      <c r="C789" s="200">
        <v>0</v>
      </c>
      <c r="D789" s="201" t="s">
        <v>438</v>
      </c>
      <c r="E789" s="201" t="s">
        <v>324</v>
      </c>
      <c r="F789" s="200" t="s">
        <v>395</v>
      </c>
      <c r="G789" s="200" t="s">
        <v>435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438</v>
      </c>
      <c r="E790" s="201" t="s">
        <v>320</v>
      </c>
      <c r="F790" s="200" t="s">
        <v>395</v>
      </c>
      <c r="G790" s="200" t="s">
        <v>435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438</v>
      </c>
      <c r="E791" s="201" t="s">
        <v>320</v>
      </c>
      <c r="F791" s="200" t="s">
        <v>403</v>
      </c>
      <c r="G791" s="200" t="s">
        <v>435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443</v>
      </c>
      <c r="E792" s="201" t="s">
        <v>320</v>
      </c>
      <c r="F792" s="200" t="s">
        <v>395</v>
      </c>
      <c r="G792" s="200" t="s">
        <v>435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395</v>
      </c>
      <c r="G793" s="200" t="s">
        <v>435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442</v>
      </c>
      <c r="G794" s="200" t="s">
        <v>435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395</v>
      </c>
      <c r="G795" s="200" t="s">
        <v>435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394</v>
      </c>
      <c r="G796" s="200" t="s">
        <v>435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404</v>
      </c>
      <c r="G797" s="200" t="s">
        <v>435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442</v>
      </c>
      <c r="G798" s="200" t="s">
        <v>435</v>
      </c>
    </row>
    <row r="799" spans="1:7" hidden="1">
      <c r="A799" s="199" t="s">
        <v>684</v>
      </c>
      <c r="B799" s="200">
        <v>-21251</v>
      </c>
      <c r="C799" s="200">
        <v>0</v>
      </c>
      <c r="D799" s="201" t="s">
        <v>441</v>
      </c>
      <c r="E799" s="201" t="s">
        <v>320</v>
      </c>
      <c r="F799" s="200" t="s">
        <v>395</v>
      </c>
      <c r="G799" s="200" t="s">
        <v>435</v>
      </c>
    </row>
    <row r="800" spans="1:7" hidden="1">
      <c r="A800" s="199" t="s">
        <v>684</v>
      </c>
      <c r="B800" s="200">
        <v>15000</v>
      </c>
      <c r="C800" s="200">
        <v>0</v>
      </c>
      <c r="D800" s="201" t="s">
        <v>441</v>
      </c>
      <c r="E800" s="201" t="s">
        <v>320</v>
      </c>
      <c r="F800" s="200" t="s">
        <v>442</v>
      </c>
      <c r="G800" s="200" t="s">
        <v>435</v>
      </c>
    </row>
    <row r="801" spans="1:7" hidden="1">
      <c r="A801" s="199" t="s">
        <v>684</v>
      </c>
      <c r="B801" s="200">
        <v>15000</v>
      </c>
      <c r="C801" s="200">
        <v>0</v>
      </c>
      <c r="D801" s="201" t="s">
        <v>438</v>
      </c>
      <c r="E801" s="201" t="s">
        <v>320</v>
      </c>
      <c r="F801" s="200" t="s">
        <v>395</v>
      </c>
      <c r="G801" s="200" t="s">
        <v>435</v>
      </c>
    </row>
    <row r="802" spans="1:7" hidden="1">
      <c r="A802" s="199" t="s">
        <v>684</v>
      </c>
      <c r="B802" s="200">
        <v>-15000</v>
      </c>
      <c r="C802" s="200">
        <v>0</v>
      </c>
      <c r="D802" s="201" t="s">
        <v>438</v>
      </c>
      <c r="E802" s="201" t="s">
        <v>320</v>
      </c>
      <c r="F802" s="200" t="s">
        <v>442</v>
      </c>
      <c r="G802" s="200" t="s">
        <v>435</v>
      </c>
    </row>
    <row r="803" spans="1:7" hidden="1">
      <c r="A803" s="199" t="s">
        <v>684</v>
      </c>
      <c r="B803" s="200">
        <v>-5177</v>
      </c>
      <c r="C803" s="200">
        <v>0</v>
      </c>
      <c r="D803" s="201" t="s">
        <v>443</v>
      </c>
      <c r="E803" s="201" t="s">
        <v>320</v>
      </c>
      <c r="F803" s="200" t="s">
        <v>395</v>
      </c>
      <c r="G803" s="200" t="s">
        <v>435</v>
      </c>
    </row>
    <row r="804" spans="1:7" hidden="1">
      <c r="A804" s="199" t="s">
        <v>684</v>
      </c>
      <c r="B804" s="200">
        <v>-4731</v>
      </c>
      <c r="C804" s="200">
        <v>0</v>
      </c>
      <c r="D804" s="201" t="s">
        <v>546</v>
      </c>
      <c r="E804" s="201" t="s">
        <v>320</v>
      </c>
      <c r="F804" s="200" t="s">
        <v>395</v>
      </c>
      <c r="G804" s="200" t="s">
        <v>435</v>
      </c>
    </row>
    <row r="805" spans="1:7" hidden="1">
      <c r="A805" s="199" t="s">
        <v>685</v>
      </c>
      <c r="B805" s="200">
        <v>-627</v>
      </c>
      <c r="C805" s="200">
        <v>0</v>
      </c>
      <c r="D805" s="201" t="s">
        <v>441</v>
      </c>
      <c r="E805" s="201" t="s">
        <v>324</v>
      </c>
      <c r="F805" s="200" t="s">
        <v>395</v>
      </c>
      <c r="G805" s="200" t="s">
        <v>435</v>
      </c>
    </row>
    <row r="806" spans="1:7" hidden="1">
      <c r="A806" s="199" t="s">
        <v>686</v>
      </c>
      <c r="B806" s="200">
        <v>627</v>
      </c>
      <c r="C806" s="200">
        <v>0</v>
      </c>
      <c r="D806" s="201" t="s">
        <v>441</v>
      </c>
      <c r="E806" s="201" t="s">
        <v>324</v>
      </c>
      <c r="F806" s="200" t="s">
        <v>395</v>
      </c>
      <c r="G806" s="200" t="s">
        <v>435</v>
      </c>
    </row>
    <row r="807" spans="1:7" hidden="1">
      <c r="A807" s="199" t="s">
        <v>687</v>
      </c>
      <c r="B807" s="200">
        <v>627</v>
      </c>
      <c r="C807" s="200">
        <v>0</v>
      </c>
      <c r="D807" s="201" t="s">
        <v>441</v>
      </c>
      <c r="E807" s="201" t="s">
        <v>324</v>
      </c>
      <c r="F807" s="200" t="s">
        <v>395</v>
      </c>
      <c r="G807" s="200" t="s">
        <v>435</v>
      </c>
    </row>
    <row r="808" spans="1:7" hidden="1">
      <c r="A808" s="199" t="s">
        <v>403</v>
      </c>
      <c r="B808" s="200">
        <v>408683</v>
      </c>
      <c r="C808" s="200">
        <v>0</v>
      </c>
      <c r="D808" s="201" t="s">
        <v>441</v>
      </c>
      <c r="E808" s="201" t="s">
        <v>317</v>
      </c>
      <c r="F808" s="200" t="s">
        <v>395</v>
      </c>
      <c r="G808" s="200" t="s">
        <v>435</v>
      </c>
    </row>
    <row r="809" spans="1:7" hidden="1">
      <c r="A809" s="199" t="s">
        <v>403</v>
      </c>
      <c r="B809" s="200">
        <v>-94370</v>
      </c>
      <c r="C809" s="200">
        <v>0</v>
      </c>
      <c r="D809" s="201" t="s">
        <v>441</v>
      </c>
      <c r="E809" s="201" t="s">
        <v>317</v>
      </c>
      <c r="F809" s="200" t="s">
        <v>674</v>
      </c>
      <c r="G809" s="200" t="s">
        <v>435</v>
      </c>
    </row>
    <row r="810" spans="1:7" hidden="1">
      <c r="A810" s="199" t="s">
        <v>403</v>
      </c>
      <c r="B810" s="200">
        <v>-126440</v>
      </c>
      <c r="C810" s="200">
        <v>0</v>
      </c>
      <c r="D810" s="201" t="s">
        <v>441</v>
      </c>
      <c r="E810" s="201" t="s">
        <v>317</v>
      </c>
      <c r="F810" s="200" t="s">
        <v>398</v>
      </c>
      <c r="G810" s="200" t="s">
        <v>435</v>
      </c>
    </row>
    <row r="811" spans="1:7" hidden="1">
      <c r="A811" s="199" t="s">
        <v>403</v>
      </c>
      <c r="B811" s="200">
        <v>-48418</v>
      </c>
      <c r="C811" s="200">
        <v>0</v>
      </c>
      <c r="D811" s="201" t="s">
        <v>441</v>
      </c>
      <c r="E811" s="201" t="s">
        <v>317</v>
      </c>
      <c r="F811" s="200" t="s">
        <v>394</v>
      </c>
      <c r="G811" s="200" t="s">
        <v>435</v>
      </c>
    </row>
    <row r="812" spans="1:7" hidden="1">
      <c r="A812" s="199" t="s">
        <v>403</v>
      </c>
      <c r="B812" s="200">
        <v>-94260</v>
      </c>
      <c r="C812" s="200">
        <v>0</v>
      </c>
      <c r="D812" s="201" t="s">
        <v>441</v>
      </c>
      <c r="E812" s="201" t="s">
        <v>317</v>
      </c>
      <c r="F812" s="200" t="s">
        <v>411</v>
      </c>
      <c r="G812" s="200" t="s">
        <v>435</v>
      </c>
    </row>
    <row r="813" spans="1:7" hidden="1">
      <c r="A813" s="199" t="s">
        <v>403</v>
      </c>
      <c r="B813" s="200">
        <v>78422</v>
      </c>
      <c r="C813" s="200">
        <v>0</v>
      </c>
      <c r="D813" s="201" t="s">
        <v>441</v>
      </c>
      <c r="E813" s="201" t="s">
        <v>317</v>
      </c>
      <c r="F813" s="200" t="s">
        <v>408</v>
      </c>
      <c r="G813" s="200" t="s">
        <v>435</v>
      </c>
    </row>
    <row r="814" spans="1:7" hidden="1">
      <c r="A814" s="199" t="s">
        <v>403</v>
      </c>
      <c r="B814" s="200">
        <v>-194600</v>
      </c>
      <c r="C814" s="200">
        <v>0</v>
      </c>
      <c r="D814" s="201" t="s">
        <v>441</v>
      </c>
      <c r="E814" s="201" t="s">
        <v>317</v>
      </c>
      <c r="F814" s="200" t="s">
        <v>442</v>
      </c>
      <c r="G814" s="200" t="s">
        <v>435</v>
      </c>
    </row>
    <row r="815" spans="1:7" hidden="1">
      <c r="A815" s="199" t="s">
        <v>403</v>
      </c>
      <c r="B815" s="200">
        <v>-110224</v>
      </c>
      <c r="C815" s="200">
        <v>0</v>
      </c>
      <c r="D815" s="201" t="s">
        <v>441</v>
      </c>
      <c r="E815" s="201" t="s">
        <v>317</v>
      </c>
      <c r="F815" s="200" t="s">
        <v>412</v>
      </c>
      <c r="G815" s="200" t="s">
        <v>435</v>
      </c>
    </row>
    <row r="816" spans="1:7" hidden="1">
      <c r="A816" s="199" t="s">
        <v>403</v>
      </c>
      <c r="B816" s="200">
        <v>459400</v>
      </c>
      <c r="C816" s="200">
        <v>0</v>
      </c>
      <c r="D816" s="201" t="s">
        <v>441</v>
      </c>
      <c r="E816" s="201" t="s">
        <v>317</v>
      </c>
      <c r="F816" s="200" t="s">
        <v>403</v>
      </c>
      <c r="G816" s="200" t="s">
        <v>435</v>
      </c>
    </row>
    <row r="817" spans="1:7" hidden="1">
      <c r="A817" s="199" t="s">
        <v>403</v>
      </c>
      <c r="B817" s="200">
        <v>-96600</v>
      </c>
      <c r="C817" s="200">
        <v>0</v>
      </c>
      <c r="D817" s="201" t="s">
        <v>438</v>
      </c>
      <c r="E817" s="201" t="s">
        <v>317</v>
      </c>
      <c r="F817" s="200" t="s">
        <v>395</v>
      </c>
      <c r="G817" s="200" t="s">
        <v>435</v>
      </c>
    </row>
    <row r="818" spans="1:7" hidden="1">
      <c r="A818" s="199" t="s">
        <v>403</v>
      </c>
      <c r="B818" s="200">
        <v>96600</v>
      </c>
      <c r="C818" s="200">
        <v>0</v>
      </c>
      <c r="D818" s="201" t="s">
        <v>438</v>
      </c>
      <c r="E818" s="201" t="s">
        <v>317</v>
      </c>
      <c r="F818" s="200" t="s">
        <v>442</v>
      </c>
      <c r="G818" s="200" t="s">
        <v>435</v>
      </c>
    </row>
    <row r="819" spans="1:7" hidden="1">
      <c r="A819" s="199" t="s">
        <v>403</v>
      </c>
      <c r="B819" s="200">
        <v>-31562</v>
      </c>
      <c r="C819" s="200">
        <v>0</v>
      </c>
      <c r="D819" s="201" t="s">
        <v>443</v>
      </c>
      <c r="E819" s="201" t="s">
        <v>317</v>
      </c>
      <c r="F819" s="200" t="s">
        <v>395</v>
      </c>
      <c r="G819" s="200" t="s">
        <v>435</v>
      </c>
    </row>
    <row r="820" spans="1:7" hidden="1">
      <c r="A820" s="199" t="s">
        <v>403</v>
      </c>
      <c r="B820" s="200">
        <v>-34008</v>
      </c>
      <c r="C820" s="200">
        <v>0</v>
      </c>
      <c r="D820" s="201" t="s">
        <v>443</v>
      </c>
      <c r="E820" s="201" t="s">
        <v>317</v>
      </c>
      <c r="F820" s="200" t="s">
        <v>398</v>
      </c>
      <c r="G820" s="200" t="s">
        <v>435</v>
      </c>
    </row>
    <row r="821" spans="1:7" hidden="1">
      <c r="A821" s="199" t="s">
        <v>403</v>
      </c>
      <c r="B821" s="200">
        <v>98000</v>
      </c>
      <c r="C821" s="200">
        <v>0</v>
      </c>
      <c r="D821" s="201" t="s">
        <v>443</v>
      </c>
      <c r="E821" s="201" t="s">
        <v>317</v>
      </c>
      <c r="F821" s="200" t="s">
        <v>442</v>
      </c>
      <c r="G821" s="200" t="s">
        <v>435</v>
      </c>
    </row>
    <row r="822" spans="1:7" hidden="1">
      <c r="A822" s="199" t="s">
        <v>403</v>
      </c>
      <c r="B822" s="200">
        <v>38525</v>
      </c>
      <c r="C822" s="200">
        <v>0</v>
      </c>
      <c r="D822" s="201" t="s">
        <v>546</v>
      </c>
      <c r="E822" s="201" t="s">
        <v>317</v>
      </c>
      <c r="F822" s="200" t="s">
        <v>395</v>
      </c>
      <c r="G822" s="200" t="s">
        <v>435</v>
      </c>
    </row>
    <row r="823" spans="1:7" hidden="1">
      <c r="A823" s="199" t="s">
        <v>403</v>
      </c>
      <c r="B823" s="200">
        <v>-985</v>
      </c>
      <c r="C823" s="200">
        <v>0</v>
      </c>
      <c r="D823" s="201" t="s">
        <v>546</v>
      </c>
      <c r="E823" s="201" t="s">
        <v>317</v>
      </c>
      <c r="F823" s="200" t="s">
        <v>398</v>
      </c>
      <c r="G823" s="200" t="s">
        <v>435</v>
      </c>
    </row>
    <row r="824" spans="1:7" hidden="1">
      <c r="A824" s="199" t="s">
        <v>403</v>
      </c>
      <c r="B824" s="200">
        <v>-37540</v>
      </c>
      <c r="C824" s="200">
        <v>0</v>
      </c>
      <c r="D824" s="201" t="s">
        <v>546</v>
      </c>
      <c r="E824" s="201" t="s">
        <v>317</v>
      </c>
      <c r="F824" s="200" t="s">
        <v>412</v>
      </c>
      <c r="G824" s="200" t="s">
        <v>435</v>
      </c>
    </row>
    <row r="825" spans="1:7" hidden="1">
      <c r="A825" s="199" t="s">
        <v>403</v>
      </c>
      <c r="B825" s="200">
        <v>-186800</v>
      </c>
      <c r="C825" s="200">
        <v>0</v>
      </c>
      <c r="D825" s="201" t="s">
        <v>475</v>
      </c>
      <c r="E825" s="201" t="s">
        <v>317</v>
      </c>
      <c r="F825" s="200" t="s">
        <v>395</v>
      </c>
      <c r="G825" s="200" t="s">
        <v>435</v>
      </c>
    </row>
    <row r="826" spans="1:7" hidden="1">
      <c r="A826" s="199" t="s">
        <v>402</v>
      </c>
      <c r="B826" s="200">
        <v>-11942</v>
      </c>
      <c r="C826" s="200">
        <v>0</v>
      </c>
      <c r="D826" s="201" t="s">
        <v>443</v>
      </c>
      <c r="E826" s="201" t="s">
        <v>320</v>
      </c>
      <c r="F826" s="200" t="s">
        <v>395</v>
      </c>
      <c r="G826" s="200" t="s">
        <v>435</v>
      </c>
    </row>
    <row r="827" spans="1:7">
      <c r="A827" s="199" t="s">
        <v>366</v>
      </c>
      <c r="B827" s="200">
        <v>91590</v>
      </c>
      <c r="C827" s="200">
        <v>0</v>
      </c>
      <c r="D827" s="201" t="s">
        <v>282</v>
      </c>
      <c r="E827" s="201" t="s">
        <v>688</v>
      </c>
      <c r="F827" s="200" t="s">
        <v>395</v>
      </c>
      <c r="G827" s="200" t="s">
        <v>435</v>
      </c>
    </row>
    <row r="828" spans="1:7">
      <c r="A828" s="199" t="s">
        <v>366</v>
      </c>
      <c r="B828" s="200">
        <v>-91590</v>
      </c>
      <c r="C828" s="200">
        <v>0</v>
      </c>
      <c r="D828" s="201" t="s">
        <v>282</v>
      </c>
      <c r="E828" s="201" t="s">
        <v>688</v>
      </c>
      <c r="F828" s="200" t="s">
        <v>394</v>
      </c>
      <c r="G828" s="200" t="s">
        <v>435</v>
      </c>
    </row>
    <row r="829" spans="1:7" hidden="1">
      <c r="A829" s="199" t="s">
        <v>434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395</v>
      </c>
      <c r="G829" s="200" t="s">
        <v>689</v>
      </c>
    </row>
    <row r="830" spans="1:7">
      <c r="A830" s="199" t="s">
        <v>434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395</v>
      </c>
      <c r="G830" s="200" t="s">
        <v>689</v>
      </c>
    </row>
    <row r="831" spans="1:7" hidden="1">
      <c r="A831" s="199" t="s">
        <v>690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395</v>
      </c>
      <c r="G831" s="200" t="s">
        <v>689</v>
      </c>
    </row>
    <row r="832" spans="1:7">
      <c r="A832" s="199" t="s">
        <v>690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395</v>
      </c>
      <c r="G832" s="200" t="s">
        <v>689</v>
      </c>
    </row>
    <row r="833" spans="1:7" hidden="1">
      <c r="A833" s="199" t="s">
        <v>439</v>
      </c>
      <c r="B833" s="200">
        <v>180</v>
      </c>
      <c r="C833" s="200">
        <v>0</v>
      </c>
      <c r="D833" s="201" t="s">
        <v>283</v>
      </c>
      <c r="E833" s="201" t="s">
        <v>440</v>
      </c>
      <c r="F833" s="200" t="s">
        <v>395</v>
      </c>
      <c r="G833" s="200" t="s">
        <v>689</v>
      </c>
    </row>
    <row r="834" spans="1:7">
      <c r="A834" s="199" t="s">
        <v>439</v>
      </c>
      <c r="B834" s="200">
        <v>-180</v>
      </c>
      <c r="C834" s="200">
        <v>0</v>
      </c>
      <c r="D834" s="201" t="s">
        <v>282</v>
      </c>
      <c r="E834" s="201" t="s">
        <v>440</v>
      </c>
      <c r="F834" s="200" t="s">
        <v>395</v>
      </c>
      <c r="G834" s="200" t="s">
        <v>689</v>
      </c>
    </row>
    <row r="835" spans="1:7">
      <c r="A835" s="199" t="s">
        <v>439</v>
      </c>
      <c r="B835" s="200">
        <v>359</v>
      </c>
      <c r="C835" s="200">
        <v>0</v>
      </c>
      <c r="D835" s="201" t="s">
        <v>282</v>
      </c>
      <c r="E835" s="201" t="s">
        <v>440</v>
      </c>
      <c r="F835" s="200" t="s">
        <v>394</v>
      </c>
      <c r="G835" s="200" t="s">
        <v>689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441</v>
      </c>
      <c r="E836" s="201" t="s">
        <v>317</v>
      </c>
      <c r="F836" s="200" t="s">
        <v>395</v>
      </c>
      <c r="G836" s="200" t="s">
        <v>689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441</v>
      </c>
      <c r="E837" s="201" t="s">
        <v>317</v>
      </c>
      <c r="F837" s="200" t="s">
        <v>442</v>
      </c>
      <c r="G837" s="200" t="s">
        <v>689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395</v>
      </c>
      <c r="G838" s="200" t="s">
        <v>689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414</v>
      </c>
      <c r="G839" s="200" t="s">
        <v>689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442</v>
      </c>
      <c r="G840" s="200" t="s">
        <v>689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438</v>
      </c>
      <c r="E841" s="201" t="s">
        <v>317</v>
      </c>
      <c r="F841" s="200" t="s">
        <v>395</v>
      </c>
      <c r="G841" s="200" t="s">
        <v>689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438</v>
      </c>
      <c r="E842" s="201" t="s">
        <v>317</v>
      </c>
      <c r="F842" s="200" t="s">
        <v>442</v>
      </c>
      <c r="G842" s="200" t="s">
        <v>689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395</v>
      </c>
      <c r="G843" s="200" t="s">
        <v>689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394</v>
      </c>
      <c r="G844" s="200" t="s">
        <v>689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414</v>
      </c>
      <c r="G845" s="200" t="s">
        <v>689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404</v>
      </c>
      <c r="G846" s="200" t="s">
        <v>689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442</v>
      </c>
      <c r="G847" s="200" t="s">
        <v>689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412</v>
      </c>
      <c r="G848" s="200" t="s">
        <v>689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443</v>
      </c>
      <c r="E849" s="201" t="s">
        <v>317</v>
      </c>
      <c r="F849" s="200" t="s">
        <v>395</v>
      </c>
      <c r="G849" s="200" t="s">
        <v>689</v>
      </c>
    </row>
    <row r="850" spans="1:7" hidden="1">
      <c r="A850" s="199" t="s">
        <v>444</v>
      </c>
      <c r="B850" s="200">
        <v>333986</v>
      </c>
      <c r="C850" s="200">
        <v>0</v>
      </c>
      <c r="D850" s="201" t="s">
        <v>441</v>
      </c>
      <c r="E850" s="201" t="s">
        <v>39</v>
      </c>
      <c r="F850" s="200" t="s">
        <v>395</v>
      </c>
      <c r="G850" s="200" t="s">
        <v>689</v>
      </c>
    </row>
    <row r="851" spans="1:7">
      <c r="A851" s="199" t="s">
        <v>445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395</v>
      </c>
      <c r="G851" s="200" t="s">
        <v>689</v>
      </c>
    </row>
    <row r="852" spans="1:7">
      <c r="A852" s="199" t="s">
        <v>445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446</v>
      </c>
      <c r="G852" s="200" t="s">
        <v>689</v>
      </c>
    </row>
    <row r="853" spans="1:7">
      <c r="A853" s="199" t="s">
        <v>445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394</v>
      </c>
      <c r="G853" s="200" t="s">
        <v>689</v>
      </c>
    </row>
    <row r="854" spans="1:7">
      <c r="A854" s="199" t="s">
        <v>447</v>
      </c>
      <c r="B854" s="200">
        <v>-8460</v>
      </c>
      <c r="C854" s="200">
        <v>0</v>
      </c>
      <c r="D854" s="201" t="s">
        <v>282</v>
      </c>
      <c r="E854" s="201" t="s">
        <v>448</v>
      </c>
      <c r="F854" s="200" t="s">
        <v>395</v>
      </c>
      <c r="G854" s="200" t="s">
        <v>689</v>
      </c>
    </row>
    <row r="855" spans="1:7">
      <c r="A855" s="199" t="s">
        <v>447</v>
      </c>
      <c r="B855" s="200">
        <v>8460</v>
      </c>
      <c r="C855" s="200">
        <v>0</v>
      </c>
      <c r="D855" s="201" t="s">
        <v>282</v>
      </c>
      <c r="E855" s="201" t="s">
        <v>448</v>
      </c>
      <c r="F855" s="200" t="s">
        <v>398</v>
      </c>
      <c r="G855" s="200" t="s">
        <v>689</v>
      </c>
    </row>
    <row r="856" spans="1:7">
      <c r="A856" s="199" t="s">
        <v>449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395</v>
      </c>
      <c r="G856" s="200" t="s">
        <v>689</v>
      </c>
    </row>
    <row r="857" spans="1:7">
      <c r="A857" s="199" t="s">
        <v>449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450</v>
      </c>
      <c r="G857" s="200" t="s">
        <v>689</v>
      </c>
    </row>
    <row r="858" spans="1:7" hidden="1">
      <c r="A858" s="199" t="s">
        <v>400</v>
      </c>
      <c r="B858" s="200">
        <v>1615</v>
      </c>
      <c r="C858" s="200">
        <v>0</v>
      </c>
      <c r="D858" s="201" t="s">
        <v>438</v>
      </c>
      <c r="E858" s="201" t="s">
        <v>317</v>
      </c>
      <c r="F858" s="200" t="s">
        <v>395</v>
      </c>
      <c r="G858" s="200" t="s">
        <v>689</v>
      </c>
    </row>
    <row r="859" spans="1:7" hidden="1">
      <c r="A859" s="199" t="s">
        <v>400</v>
      </c>
      <c r="B859" s="200">
        <v>-1615</v>
      </c>
      <c r="C859" s="200">
        <v>0</v>
      </c>
      <c r="D859" s="201" t="s">
        <v>438</v>
      </c>
      <c r="E859" s="201" t="s">
        <v>317</v>
      </c>
      <c r="F859" s="200" t="s">
        <v>442</v>
      </c>
      <c r="G859" s="200" t="s">
        <v>689</v>
      </c>
    </row>
    <row r="860" spans="1:7">
      <c r="A860" s="199" t="s">
        <v>400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395</v>
      </c>
      <c r="G860" s="200" t="s">
        <v>689</v>
      </c>
    </row>
    <row r="861" spans="1:7">
      <c r="A861" s="199" t="s">
        <v>400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409</v>
      </c>
      <c r="G861" s="200" t="s">
        <v>689</v>
      </c>
    </row>
    <row r="862" spans="1:7">
      <c r="A862" s="199" t="s">
        <v>400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394</v>
      </c>
      <c r="G862" s="200" t="s">
        <v>689</v>
      </c>
    </row>
    <row r="863" spans="1:7">
      <c r="A863" s="199" t="s">
        <v>400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414</v>
      </c>
      <c r="G863" s="200" t="s">
        <v>689</v>
      </c>
    </row>
    <row r="864" spans="1:7">
      <c r="A864" s="199" t="s">
        <v>400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442</v>
      </c>
      <c r="G864" s="200" t="s">
        <v>689</v>
      </c>
    </row>
    <row r="865" spans="1:7">
      <c r="A865" s="199" t="s">
        <v>400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450</v>
      </c>
      <c r="G865" s="200" t="s">
        <v>689</v>
      </c>
    </row>
    <row r="866" spans="1:7" hidden="1">
      <c r="A866" s="199" t="s">
        <v>400</v>
      </c>
      <c r="B866" s="200">
        <v>154</v>
      </c>
      <c r="C866" s="200">
        <v>0</v>
      </c>
      <c r="D866" s="201" t="s">
        <v>443</v>
      </c>
      <c r="E866" s="201" t="s">
        <v>317</v>
      </c>
      <c r="F866" s="200" t="s">
        <v>395</v>
      </c>
      <c r="G866" s="200" t="s">
        <v>689</v>
      </c>
    </row>
    <row r="867" spans="1:7">
      <c r="A867" s="199" t="s">
        <v>451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409</v>
      </c>
      <c r="G867" s="200" t="s">
        <v>689</v>
      </c>
    </row>
    <row r="868" spans="1:7">
      <c r="A868" s="199" t="s">
        <v>451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394</v>
      </c>
      <c r="G868" s="200" t="s">
        <v>689</v>
      </c>
    </row>
    <row r="869" spans="1:7">
      <c r="A869" s="199" t="s">
        <v>452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409</v>
      </c>
      <c r="G869" s="200" t="s">
        <v>689</v>
      </c>
    </row>
    <row r="870" spans="1:7">
      <c r="A870" s="199" t="s">
        <v>452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394</v>
      </c>
      <c r="G870" s="200" t="s">
        <v>689</v>
      </c>
    </row>
    <row r="871" spans="1:7" hidden="1">
      <c r="A871" s="199" t="s">
        <v>453</v>
      </c>
      <c r="B871" s="200">
        <v>2552</v>
      </c>
      <c r="C871" s="200">
        <v>0</v>
      </c>
      <c r="D871" s="201" t="s">
        <v>443</v>
      </c>
      <c r="E871" s="201" t="s">
        <v>317</v>
      </c>
      <c r="F871" s="200" t="s">
        <v>395</v>
      </c>
      <c r="G871" s="200" t="s">
        <v>689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395</v>
      </c>
      <c r="G872" s="200" t="s">
        <v>689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409</v>
      </c>
      <c r="G873" s="200" t="s">
        <v>689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395</v>
      </c>
      <c r="G874" s="200" t="s">
        <v>689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409</v>
      </c>
      <c r="G875" s="200" t="s">
        <v>689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443</v>
      </c>
      <c r="E876" s="201" t="s">
        <v>320</v>
      </c>
      <c r="F876" s="200" t="s">
        <v>395</v>
      </c>
      <c r="G876" s="200" t="s">
        <v>689</v>
      </c>
    </row>
    <row r="877" spans="1:7" hidden="1">
      <c r="A877" s="199" t="s">
        <v>454</v>
      </c>
      <c r="B877" s="200">
        <v>643</v>
      </c>
      <c r="C877" s="200">
        <v>0</v>
      </c>
      <c r="D877" s="201" t="s">
        <v>438</v>
      </c>
      <c r="E877" s="201" t="s">
        <v>324</v>
      </c>
      <c r="F877" s="200" t="s">
        <v>395</v>
      </c>
      <c r="G877" s="200" t="s">
        <v>689</v>
      </c>
    </row>
    <row r="878" spans="1:7" hidden="1">
      <c r="A878" s="199" t="s">
        <v>455</v>
      </c>
      <c r="B878" s="200">
        <v>-643</v>
      </c>
      <c r="C878" s="200">
        <v>0</v>
      </c>
      <c r="D878" s="201" t="s">
        <v>438</v>
      </c>
      <c r="E878" s="201" t="s">
        <v>324</v>
      </c>
      <c r="F878" s="200" t="s">
        <v>395</v>
      </c>
      <c r="G878" s="200" t="s">
        <v>689</v>
      </c>
    </row>
    <row r="879" spans="1:7" hidden="1">
      <c r="A879" s="199" t="s">
        <v>456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395</v>
      </c>
      <c r="G879" s="200" t="s">
        <v>689</v>
      </c>
    </row>
    <row r="880" spans="1:7" hidden="1">
      <c r="A880" s="199" t="s">
        <v>456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409</v>
      </c>
      <c r="G880" s="200" t="s">
        <v>689</v>
      </c>
    </row>
    <row r="881" spans="1:7">
      <c r="A881" s="199" t="s">
        <v>456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395</v>
      </c>
      <c r="G881" s="200" t="s">
        <v>689</v>
      </c>
    </row>
    <row r="882" spans="1:7">
      <c r="A882" s="199" t="s">
        <v>456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409</v>
      </c>
      <c r="G882" s="200" t="s">
        <v>689</v>
      </c>
    </row>
    <row r="883" spans="1:7" hidden="1">
      <c r="A883" s="199" t="s">
        <v>457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395</v>
      </c>
      <c r="G883" s="200" t="s">
        <v>689</v>
      </c>
    </row>
    <row r="884" spans="1:7" hidden="1">
      <c r="A884" s="199" t="s">
        <v>457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409</v>
      </c>
      <c r="G884" s="200" t="s">
        <v>689</v>
      </c>
    </row>
    <row r="885" spans="1:7">
      <c r="A885" s="199" t="s">
        <v>457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395</v>
      </c>
      <c r="G885" s="200" t="s">
        <v>689</v>
      </c>
    </row>
    <row r="886" spans="1:7">
      <c r="A886" s="199" t="s">
        <v>457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409</v>
      </c>
      <c r="G886" s="200" t="s">
        <v>689</v>
      </c>
    </row>
    <row r="887" spans="1:7">
      <c r="A887" s="199" t="s">
        <v>458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395</v>
      </c>
      <c r="G887" s="200" t="s">
        <v>689</v>
      </c>
    </row>
    <row r="888" spans="1:7">
      <c r="A888" s="199" t="s">
        <v>458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394</v>
      </c>
      <c r="G888" s="200" t="s">
        <v>689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395</v>
      </c>
      <c r="G889" s="200" t="s">
        <v>689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398</v>
      </c>
      <c r="G890" s="200" t="s">
        <v>689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414</v>
      </c>
      <c r="G891" s="200" t="s">
        <v>689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442</v>
      </c>
      <c r="G892" s="200" t="s">
        <v>689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395</v>
      </c>
      <c r="G893" s="200" t="s">
        <v>689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446</v>
      </c>
      <c r="G894" s="200" t="s">
        <v>689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409</v>
      </c>
      <c r="G895" s="200" t="s">
        <v>689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394</v>
      </c>
      <c r="G896" s="200" t="s">
        <v>689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414</v>
      </c>
      <c r="G897" s="200" t="s">
        <v>689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404</v>
      </c>
      <c r="G898" s="200" t="s">
        <v>689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442</v>
      </c>
      <c r="G899" s="200" t="s">
        <v>689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450</v>
      </c>
      <c r="G900" s="200" t="s">
        <v>689</v>
      </c>
    </row>
    <row r="901" spans="1:7">
      <c r="A901" s="199" t="s">
        <v>459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395</v>
      </c>
      <c r="G901" s="200" t="s">
        <v>689</v>
      </c>
    </row>
    <row r="902" spans="1:7">
      <c r="A902" s="199" t="s">
        <v>459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409</v>
      </c>
      <c r="G902" s="200" t="s">
        <v>689</v>
      </c>
    </row>
    <row r="903" spans="1:7">
      <c r="A903" s="199" t="s">
        <v>460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395</v>
      </c>
      <c r="G903" s="200" t="s">
        <v>689</v>
      </c>
    </row>
    <row r="904" spans="1:7">
      <c r="A904" s="199" t="s">
        <v>460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409</v>
      </c>
      <c r="G904" s="200" t="s">
        <v>689</v>
      </c>
    </row>
    <row r="905" spans="1:7">
      <c r="A905" s="199" t="s">
        <v>461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395</v>
      </c>
      <c r="G905" s="200" t="s">
        <v>689</v>
      </c>
    </row>
    <row r="906" spans="1:7">
      <c r="A906" s="199" t="s">
        <v>461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446</v>
      </c>
      <c r="G906" s="200" t="s">
        <v>689</v>
      </c>
    </row>
    <row r="907" spans="1:7">
      <c r="A907" s="199" t="s">
        <v>461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398</v>
      </c>
      <c r="G907" s="200" t="s">
        <v>689</v>
      </c>
    </row>
    <row r="908" spans="1:7">
      <c r="A908" s="199" t="s">
        <v>461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394</v>
      </c>
      <c r="G908" s="200" t="s">
        <v>689</v>
      </c>
    </row>
    <row r="909" spans="1:7">
      <c r="A909" s="199" t="s">
        <v>462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395</v>
      </c>
      <c r="G909" s="200" t="s">
        <v>689</v>
      </c>
    </row>
    <row r="910" spans="1:7">
      <c r="A910" s="199" t="s">
        <v>462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446</v>
      </c>
      <c r="G910" s="200" t="s">
        <v>689</v>
      </c>
    </row>
    <row r="911" spans="1:7">
      <c r="A911" s="199" t="s">
        <v>462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394</v>
      </c>
      <c r="G911" s="200" t="s">
        <v>689</v>
      </c>
    </row>
    <row r="912" spans="1:7">
      <c r="A912" s="199" t="s">
        <v>466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395</v>
      </c>
      <c r="G912" s="200" t="s">
        <v>689</v>
      </c>
    </row>
    <row r="913" spans="1:7">
      <c r="A913" s="199" t="s">
        <v>466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446</v>
      </c>
      <c r="G913" s="200" t="s">
        <v>689</v>
      </c>
    </row>
    <row r="914" spans="1:7">
      <c r="A914" s="199" t="s">
        <v>466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394</v>
      </c>
      <c r="G914" s="200" t="s">
        <v>689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395</v>
      </c>
      <c r="G915" s="200" t="s">
        <v>689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394</v>
      </c>
      <c r="G916" s="200" t="s">
        <v>689</v>
      </c>
    </row>
    <row r="917" spans="1:7" hidden="1">
      <c r="A917" s="199" t="s">
        <v>472</v>
      </c>
      <c r="B917" s="200">
        <v>20000</v>
      </c>
      <c r="C917" s="200">
        <v>0</v>
      </c>
      <c r="D917" s="201" t="s">
        <v>464</v>
      </c>
      <c r="E917" s="201" t="s">
        <v>465</v>
      </c>
      <c r="F917" s="200" t="s">
        <v>469</v>
      </c>
      <c r="G917" s="200" t="s">
        <v>689</v>
      </c>
    </row>
    <row r="918" spans="1:7" hidden="1">
      <c r="A918" s="199" t="s">
        <v>472</v>
      </c>
      <c r="B918" s="200">
        <v>-90000</v>
      </c>
      <c r="C918" s="200">
        <v>0</v>
      </c>
      <c r="D918" s="201" t="s">
        <v>464</v>
      </c>
      <c r="E918" s="201" t="s">
        <v>465</v>
      </c>
      <c r="F918" s="200" t="s">
        <v>398</v>
      </c>
      <c r="G918" s="200" t="s">
        <v>689</v>
      </c>
    </row>
    <row r="919" spans="1:7" hidden="1">
      <c r="A919" s="199" t="s">
        <v>472</v>
      </c>
      <c r="B919" s="200">
        <v>70000</v>
      </c>
      <c r="C919" s="200">
        <v>0</v>
      </c>
      <c r="D919" s="201" t="s">
        <v>464</v>
      </c>
      <c r="E919" s="201" t="s">
        <v>465</v>
      </c>
      <c r="F919" s="200" t="s">
        <v>470</v>
      </c>
      <c r="G919" s="200" t="s">
        <v>689</v>
      </c>
    </row>
    <row r="920" spans="1:7" hidden="1">
      <c r="A920" s="199" t="s">
        <v>473</v>
      </c>
      <c r="B920" s="200">
        <v>-1100000</v>
      </c>
      <c r="C920" s="200">
        <v>0</v>
      </c>
      <c r="D920" s="201" t="s">
        <v>464</v>
      </c>
      <c r="E920" s="201" t="s">
        <v>465</v>
      </c>
      <c r="F920" s="200" t="s">
        <v>398</v>
      </c>
      <c r="G920" s="200" t="s">
        <v>689</v>
      </c>
    </row>
    <row r="921" spans="1:7" hidden="1">
      <c r="A921" s="199" t="s">
        <v>473</v>
      </c>
      <c r="B921" s="200">
        <v>950000</v>
      </c>
      <c r="C921" s="200">
        <v>0</v>
      </c>
      <c r="D921" s="201" t="s">
        <v>464</v>
      </c>
      <c r="E921" s="201" t="s">
        <v>465</v>
      </c>
      <c r="F921" s="200" t="s">
        <v>414</v>
      </c>
      <c r="G921" s="200" t="s">
        <v>689</v>
      </c>
    </row>
    <row r="922" spans="1:7" hidden="1">
      <c r="A922" s="199" t="s">
        <v>473</v>
      </c>
      <c r="B922" s="200">
        <v>150000</v>
      </c>
      <c r="C922" s="200">
        <v>0</v>
      </c>
      <c r="D922" s="201" t="s">
        <v>464</v>
      </c>
      <c r="E922" s="201" t="s">
        <v>465</v>
      </c>
      <c r="F922" s="200" t="s">
        <v>470</v>
      </c>
      <c r="G922" s="200" t="s">
        <v>689</v>
      </c>
    </row>
    <row r="923" spans="1:7" hidden="1">
      <c r="A923" s="199" t="s">
        <v>474</v>
      </c>
      <c r="B923" s="200">
        <v>-428</v>
      </c>
      <c r="C923" s="200">
        <v>0</v>
      </c>
      <c r="D923" s="201" t="s">
        <v>443</v>
      </c>
      <c r="E923" s="201" t="s">
        <v>39</v>
      </c>
      <c r="F923" s="200" t="s">
        <v>395</v>
      </c>
      <c r="G923" s="200" t="s">
        <v>689</v>
      </c>
    </row>
    <row r="924" spans="1:7" hidden="1">
      <c r="A924" s="199" t="s">
        <v>474</v>
      </c>
      <c r="B924" s="200">
        <v>3283</v>
      </c>
      <c r="C924" s="200">
        <v>0</v>
      </c>
      <c r="D924" s="201" t="s">
        <v>475</v>
      </c>
      <c r="E924" s="201" t="s">
        <v>39</v>
      </c>
      <c r="F924" s="200" t="s">
        <v>395</v>
      </c>
      <c r="G924" s="200" t="s">
        <v>689</v>
      </c>
    </row>
    <row r="925" spans="1:7" hidden="1">
      <c r="A925" s="199" t="s">
        <v>474</v>
      </c>
      <c r="B925" s="200">
        <v>-3283</v>
      </c>
      <c r="C925" s="200">
        <v>0</v>
      </c>
      <c r="D925" s="201" t="s">
        <v>475</v>
      </c>
      <c r="E925" s="201" t="s">
        <v>39</v>
      </c>
      <c r="F925" s="200" t="s">
        <v>403</v>
      </c>
      <c r="G925" s="200" t="s">
        <v>689</v>
      </c>
    </row>
    <row r="926" spans="1:7">
      <c r="A926" s="199" t="s">
        <v>476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395</v>
      </c>
      <c r="G926" s="200" t="s">
        <v>689</v>
      </c>
    </row>
    <row r="927" spans="1:7">
      <c r="A927" s="199" t="s">
        <v>476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446</v>
      </c>
      <c r="G927" s="200" t="s">
        <v>689</v>
      </c>
    </row>
    <row r="928" spans="1:7">
      <c r="A928" s="199" t="s">
        <v>476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394</v>
      </c>
      <c r="G928" s="200" t="s">
        <v>689</v>
      </c>
    </row>
    <row r="929" spans="1:7">
      <c r="A929" s="199" t="s">
        <v>691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395</v>
      </c>
      <c r="G929" s="200" t="s">
        <v>689</v>
      </c>
    </row>
    <row r="930" spans="1:7">
      <c r="A930" s="199" t="s">
        <v>691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450</v>
      </c>
      <c r="G930" s="200" t="s">
        <v>689</v>
      </c>
    </row>
    <row r="931" spans="1:7" hidden="1">
      <c r="A931" s="199" t="s">
        <v>480</v>
      </c>
      <c r="B931" s="200">
        <v>-825000</v>
      </c>
      <c r="C931" s="200">
        <v>0</v>
      </c>
      <c r="D931" s="201" t="s">
        <v>481</v>
      </c>
      <c r="E931" s="201" t="s">
        <v>478</v>
      </c>
      <c r="F931" s="200" t="s">
        <v>395</v>
      </c>
      <c r="G931" s="200" t="s">
        <v>689</v>
      </c>
    </row>
    <row r="932" spans="1:7" hidden="1">
      <c r="A932" s="199" t="s">
        <v>480</v>
      </c>
      <c r="B932" s="200">
        <v>825000</v>
      </c>
      <c r="C932" s="200">
        <v>0</v>
      </c>
      <c r="D932" s="201" t="s">
        <v>481</v>
      </c>
      <c r="E932" s="201" t="s">
        <v>478</v>
      </c>
      <c r="F932" s="200" t="s">
        <v>482</v>
      </c>
      <c r="G932" s="200" t="s">
        <v>689</v>
      </c>
    </row>
    <row r="933" spans="1:7">
      <c r="A933" s="199" t="s">
        <v>480</v>
      </c>
      <c r="B933" s="200">
        <v>-425000</v>
      </c>
      <c r="C933" s="200">
        <v>0</v>
      </c>
      <c r="D933" s="201" t="s">
        <v>282</v>
      </c>
      <c r="E933" s="201" t="s">
        <v>478</v>
      </c>
      <c r="F933" s="200" t="s">
        <v>395</v>
      </c>
      <c r="G933" s="200" t="s">
        <v>689</v>
      </c>
    </row>
    <row r="934" spans="1:7">
      <c r="A934" s="199" t="s">
        <v>480</v>
      </c>
      <c r="B934" s="200">
        <v>425000</v>
      </c>
      <c r="C934" s="200">
        <v>0</v>
      </c>
      <c r="D934" s="201" t="s">
        <v>282</v>
      </c>
      <c r="E934" s="201" t="s">
        <v>478</v>
      </c>
      <c r="F934" s="200" t="s">
        <v>482</v>
      </c>
      <c r="G934" s="200" t="s">
        <v>689</v>
      </c>
    </row>
    <row r="935" spans="1:7" hidden="1">
      <c r="A935" s="199" t="s">
        <v>483</v>
      </c>
      <c r="B935" s="200">
        <v>1818750</v>
      </c>
      <c r="C935" s="200">
        <v>0</v>
      </c>
      <c r="D935" s="201" t="s">
        <v>481</v>
      </c>
      <c r="E935" s="201" t="s">
        <v>478</v>
      </c>
      <c r="F935" s="200" t="s">
        <v>395</v>
      </c>
      <c r="G935" s="200" t="s">
        <v>689</v>
      </c>
    </row>
    <row r="936" spans="1:7">
      <c r="A936" s="199" t="s">
        <v>483</v>
      </c>
      <c r="B936" s="200">
        <v>681250</v>
      </c>
      <c r="C936" s="200">
        <v>0</v>
      </c>
      <c r="D936" s="201" t="s">
        <v>282</v>
      </c>
      <c r="E936" s="201" t="s">
        <v>478</v>
      </c>
      <c r="F936" s="200" t="s">
        <v>395</v>
      </c>
      <c r="G936" s="200" t="s">
        <v>689</v>
      </c>
    </row>
    <row r="937" spans="1:7">
      <c r="A937" s="199" t="s">
        <v>484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395</v>
      </c>
      <c r="G937" s="200" t="s">
        <v>689</v>
      </c>
    </row>
    <row r="938" spans="1:7">
      <c r="A938" s="199" t="s">
        <v>484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394</v>
      </c>
      <c r="G938" s="200" t="s">
        <v>689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395</v>
      </c>
      <c r="G939" s="200" t="s">
        <v>689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394</v>
      </c>
      <c r="G940" s="200" t="s">
        <v>689</v>
      </c>
    </row>
    <row r="941" spans="1:7">
      <c r="A941" s="199" t="s">
        <v>485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395</v>
      </c>
      <c r="G941" s="200" t="s">
        <v>689</v>
      </c>
    </row>
    <row r="942" spans="1:7">
      <c r="A942" s="199" t="s">
        <v>485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446</v>
      </c>
      <c r="G942" s="200" t="s">
        <v>689</v>
      </c>
    </row>
    <row r="943" spans="1:7">
      <c r="A943" s="199" t="s">
        <v>485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394</v>
      </c>
      <c r="G943" s="200" t="s">
        <v>689</v>
      </c>
    </row>
    <row r="944" spans="1:7" hidden="1">
      <c r="A944" s="199" t="s">
        <v>486</v>
      </c>
      <c r="B944" s="200">
        <v>29</v>
      </c>
      <c r="C944" s="200">
        <v>0</v>
      </c>
      <c r="D944" s="201" t="s">
        <v>441</v>
      </c>
      <c r="E944" s="201" t="s">
        <v>487</v>
      </c>
      <c r="F944" s="200" t="s">
        <v>395</v>
      </c>
      <c r="G944" s="200" t="s">
        <v>689</v>
      </c>
    </row>
    <row r="945" spans="1:7" hidden="1">
      <c r="A945" s="199" t="s">
        <v>486</v>
      </c>
      <c r="B945" s="200">
        <v>6</v>
      </c>
      <c r="C945" s="200">
        <v>0</v>
      </c>
      <c r="D945" s="201" t="s">
        <v>438</v>
      </c>
      <c r="E945" s="201" t="s">
        <v>487</v>
      </c>
      <c r="F945" s="200" t="s">
        <v>395</v>
      </c>
      <c r="G945" s="200" t="s">
        <v>689</v>
      </c>
    </row>
    <row r="946" spans="1:7" hidden="1">
      <c r="A946" s="199" t="s">
        <v>486</v>
      </c>
      <c r="B946" s="200">
        <v>-2</v>
      </c>
      <c r="C946" s="200">
        <v>0</v>
      </c>
      <c r="D946" s="201" t="s">
        <v>438</v>
      </c>
      <c r="E946" s="201" t="s">
        <v>487</v>
      </c>
      <c r="F946" s="200" t="s">
        <v>397</v>
      </c>
      <c r="G946" s="200" t="s">
        <v>689</v>
      </c>
    </row>
    <row r="947" spans="1:7" hidden="1">
      <c r="A947" s="199" t="s">
        <v>486</v>
      </c>
      <c r="B947" s="200">
        <v>-1</v>
      </c>
      <c r="C947" s="200">
        <v>0</v>
      </c>
      <c r="D947" s="201" t="s">
        <v>443</v>
      </c>
      <c r="E947" s="201" t="s">
        <v>487</v>
      </c>
      <c r="F947" s="200" t="s">
        <v>395</v>
      </c>
      <c r="G947" s="200" t="s">
        <v>689</v>
      </c>
    </row>
    <row r="948" spans="1:7" hidden="1">
      <c r="A948" s="199" t="s">
        <v>488</v>
      </c>
      <c r="B948" s="200">
        <v>70</v>
      </c>
      <c r="C948" s="200">
        <v>0</v>
      </c>
      <c r="D948" s="201" t="s">
        <v>441</v>
      </c>
      <c r="E948" s="201" t="s">
        <v>489</v>
      </c>
      <c r="F948" s="200" t="s">
        <v>395</v>
      </c>
      <c r="G948" s="200" t="s">
        <v>689</v>
      </c>
    </row>
    <row r="949" spans="1:7" hidden="1">
      <c r="A949" s="199" t="s">
        <v>490</v>
      </c>
      <c r="B949" s="200">
        <v>-70</v>
      </c>
      <c r="C949" s="200">
        <v>0</v>
      </c>
      <c r="D949" s="201" t="s">
        <v>441</v>
      </c>
      <c r="E949" s="201" t="s">
        <v>489</v>
      </c>
      <c r="F949" s="200" t="s">
        <v>395</v>
      </c>
      <c r="G949" s="200" t="s">
        <v>689</v>
      </c>
    </row>
    <row r="950" spans="1:7" hidden="1">
      <c r="A950" s="199" t="s">
        <v>491</v>
      </c>
      <c r="B950" s="200">
        <v>70</v>
      </c>
      <c r="C950" s="200">
        <v>0</v>
      </c>
      <c r="D950" s="201" t="s">
        <v>441</v>
      </c>
      <c r="E950" s="201" t="s">
        <v>489</v>
      </c>
      <c r="F950" s="200" t="s">
        <v>395</v>
      </c>
      <c r="G950" s="200" t="s">
        <v>689</v>
      </c>
    </row>
    <row r="951" spans="1:7" hidden="1">
      <c r="A951" s="199" t="s">
        <v>492</v>
      </c>
      <c r="B951" s="200">
        <v>-44</v>
      </c>
      <c r="C951" s="200">
        <v>0</v>
      </c>
      <c r="D951" s="201" t="s">
        <v>441</v>
      </c>
      <c r="E951" s="201" t="s">
        <v>487</v>
      </c>
      <c r="F951" s="200" t="s">
        <v>395</v>
      </c>
      <c r="G951" s="200" t="s">
        <v>689</v>
      </c>
    </row>
    <row r="952" spans="1:7" hidden="1">
      <c r="A952" s="199" t="s">
        <v>492</v>
      </c>
      <c r="B952" s="200">
        <v>3</v>
      </c>
      <c r="C952" s="200">
        <v>0</v>
      </c>
      <c r="D952" s="201" t="s">
        <v>441</v>
      </c>
      <c r="E952" s="201" t="s">
        <v>487</v>
      </c>
      <c r="F952" s="200" t="s">
        <v>410</v>
      </c>
      <c r="G952" s="200" t="s">
        <v>689</v>
      </c>
    </row>
    <row r="953" spans="1:7" hidden="1">
      <c r="A953" s="199" t="s">
        <v>492</v>
      </c>
      <c r="B953" s="200">
        <v>1</v>
      </c>
      <c r="C953" s="200">
        <v>0</v>
      </c>
      <c r="D953" s="201" t="s">
        <v>441</v>
      </c>
      <c r="E953" s="201" t="s">
        <v>487</v>
      </c>
      <c r="F953" s="200" t="s">
        <v>403</v>
      </c>
      <c r="G953" s="200" t="s">
        <v>689</v>
      </c>
    </row>
    <row r="954" spans="1:7" hidden="1">
      <c r="A954" s="199" t="s">
        <v>493</v>
      </c>
      <c r="B954" s="200">
        <v>288</v>
      </c>
      <c r="C954" s="200">
        <v>0</v>
      </c>
      <c r="D954" s="201" t="s">
        <v>443</v>
      </c>
      <c r="E954" s="201" t="s">
        <v>317</v>
      </c>
      <c r="F954" s="200" t="s">
        <v>395</v>
      </c>
      <c r="G954" s="200" t="s">
        <v>689</v>
      </c>
    </row>
    <row r="955" spans="1:7" hidden="1">
      <c r="A955" s="199" t="s">
        <v>692</v>
      </c>
      <c r="B955" s="200">
        <v>347600</v>
      </c>
      <c r="C955" s="200">
        <v>0</v>
      </c>
      <c r="D955" s="201" t="s">
        <v>441</v>
      </c>
      <c r="E955" s="201" t="s">
        <v>693</v>
      </c>
      <c r="F955" s="200" t="s">
        <v>410</v>
      </c>
      <c r="G955" s="200" t="s">
        <v>689</v>
      </c>
    </row>
    <row r="956" spans="1:7" hidden="1">
      <c r="A956" s="199" t="s">
        <v>694</v>
      </c>
      <c r="B956" s="200">
        <v>-347600</v>
      </c>
      <c r="C956" s="200">
        <v>0</v>
      </c>
      <c r="D956" s="201" t="s">
        <v>441</v>
      </c>
      <c r="E956" s="201" t="s">
        <v>693</v>
      </c>
      <c r="F956" s="200" t="s">
        <v>410</v>
      </c>
      <c r="G956" s="200" t="s">
        <v>689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395</v>
      </c>
      <c r="G957" s="200" t="s">
        <v>689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442</v>
      </c>
      <c r="G958" s="200" t="s">
        <v>689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395</v>
      </c>
      <c r="G959" s="200" t="s">
        <v>689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409</v>
      </c>
      <c r="G960" s="200" t="s">
        <v>689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394</v>
      </c>
      <c r="G961" s="200" t="s">
        <v>689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414</v>
      </c>
      <c r="G962" s="200" t="s">
        <v>689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404</v>
      </c>
      <c r="G963" s="200" t="s">
        <v>689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442</v>
      </c>
      <c r="G964" s="200" t="s">
        <v>689</v>
      </c>
    </row>
    <row r="965" spans="1:7">
      <c r="A965" s="199" t="s">
        <v>494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409</v>
      </c>
      <c r="G965" s="200" t="s">
        <v>689</v>
      </c>
    </row>
    <row r="966" spans="1:7">
      <c r="A966" s="199" t="s">
        <v>494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394</v>
      </c>
      <c r="G966" s="200" t="s">
        <v>689</v>
      </c>
    </row>
    <row r="967" spans="1:7">
      <c r="A967" s="199" t="s">
        <v>495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395</v>
      </c>
      <c r="G967" s="200" t="s">
        <v>689</v>
      </c>
    </row>
    <row r="968" spans="1:7">
      <c r="A968" s="199" t="s">
        <v>495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409</v>
      </c>
      <c r="G968" s="200" t="s">
        <v>689</v>
      </c>
    </row>
    <row r="969" spans="1:7">
      <c r="A969" s="199" t="s">
        <v>495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394</v>
      </c>
      <c r="G969" s="200" t="s">
        <v>689</v>
      </c>
    </row>
    <row r="970" spans="1:7">
      <c r="A970" s="199" t="s">
        <v>496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409</v>
      </c>
      <c r="G970" s="200" t="s">
        <v>689</v>
      </c>
    </row>
    <row r="971" spans="1:7">
      <c r="A971" s="199" t="s">
        <v>496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394</v>
      </c>
      <c r="G971" s="200" t="s">
        <v>689</v>
      </c>
    </row>
    <row r="972" spans="1:7">
      <c r="A972" s="199" t="s">
        <v>497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395</v>
      </c>
      <c r="G972" s="200" t="s">
        <v>689</v>
      </c>
    </row>
    <row r="973" spans="1:7">
      <c r="A973" s="199" t="s">
        <v>497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409</v>
      </c>
      <c r="G973" s="200" t="s">
        <v>689</v>
      </c>
    </row>
    <row r="974" spans="1:7">
      <c r="A974" s="199" t="s">
        <v>498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395</v>
      </c>
      <c r="G974" s="200" t="s">
        <v>689</v>
      </c>
    </row>
    <row r="975" spans="1:7">
      <c r="A975" s="199" t="s">
        <v>498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409</v>
      </c>
      <c r="G975" s="200" t="s">
        <v>689</v>
      </c>
    </row>
    <row r="976" spans="1:7">
      <c r="A976" s="199" t="s">
        <v>498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394</v>
      </c>
      <c r="G976" s="200" t="s">
        <v>689</v>
      </c>
    </row>
    <row r="977" spans="1:7">
      <c r="A977" s="199" t="s">
        <v>499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395</v>
      </c>
      <c r="G977" s="200" t="s">
        <v>689</v>
      </c>
    </row>
    <row r="978" spans="1:7">
      <c r="A978" s="199" t="s">
        <v>499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409</v>
      </c>
      <c r="G978" s="200" t="s">
        <v>689</v>
      </c>
    </row>
    <row r="979" spans="1:7">
      <c r="A979" s="199" t="s">
        <v>500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395</v>
      </c>
      <c r="G979" s="200" t="s">
        <v>689</v>
      </c>
    </row>
    <row r="980" spans="1:7">
      <c r="A980" s="199" t="s">
        <v>500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446</v>
      </c>
      <c r="G980" s="200" t="s">
        <v>689</v>
      </c>
    </row>
    <row r="981" spans="1:7">
      <c r="A981" s="199" t="s">
        <v>500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398</v>
      </c>
      <c r="G981" s="200" t="s">
        <v>689</v>
      </c>
    </row>
    <row r="982" spans="1:7">
      <c r="A982" s="199" t="s">
        <v>500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394</v>
      </c>
      <c r="G982" s="200" t="s">
        <v>689</v>
      </c>
    </row>
    <row r="983" spans="1:7">
      <c r="A983" s="199" t="s">
        <v>501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446</v>
      </c>
      <c r="G983" s="200" t="s">
        <v>689</v>
      </c>
    </row>
    <row r="984" spans="1:7">
      <c r="A984" s="199" t="s">
        <v>501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394</v>
      </c>
      <c r="G984" s="200" t="s">
        <v>689</v>
      </c>
    </row>
    <row r="985" spans="1:7">
      <c r="A985" s="199" t="s">
        <v>502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395</v>
      </c>
      <c r="G985" s="200" t="s">
        <v>689</v>
      </c>
    </row>
    <row r="986" spans="1:7">
      <c r="A986" s="199" t="s">
        <v>502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394</v>
      </c>
      <c r="G986" s="200" t="s">
        <v>689</v>
      </c>
    </row>
    <row r="987" spans="1:7">
      <c r="A987" s="199" t="s">
        <v>502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404</v>
      </c>
      <c r="G987" s="200" t="s">
        <v>689</v>
      </c>
    </row>
    <row r="988" spans="1:7" hidden="1">
      <c r="A988" s="199" t="s">
        <v>503</v>
      </c>
      <c r="B988" s="200">
        <v>1230</v>
      </c>
      <c r="C988" s="200">
        <v>0</v>
      </c>
      <c r="D988" s="201" t="s">
        <v>443</v>
      </c>
      <c r="E988" s="201" t="s">
        <v>320</v>
      </c>
      <c r="F988" s="200" t="s">
        <v>395</v>
      </c>
      <c r="G988" s="200" t="s">
        <v>689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395</v>
      </c>
      <c r="G989" s="200" t="s">
        <v>689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414</v>
      </c>
      <c r="G990" s="200" t="s">
        <v>689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442</v>
      </c>
      <c r="G991" s="200" t="s">
        <v>689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395</v>
      </c>
      <c r="G992" s="200" t="s">
        <v>689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414</v>
      </c>
      <c r="G993" s="200" t="s">
        <v>689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442</v>
      </c>
      <c r="G994" s="200" t="s">
        <v>689</v>
      </c>
    </row>
    <row r="995" spans="1:7" hidden="1">
      <c r="A995" s="199" t="s">
        <v>695</v>
      </c>
      <c r="B995" s="200">
        <v>-98400</v>
      </c>
      <c r="C995" s="200">
        <v>0</v>
      </c>
      <c r="D995" s="201" t="s">
        <v>441</v>
      </c>
      <c r="E995" s="201" t="s">
        <v>693</v>
      </c>
      <c r="F995" s="200" t="s">
        <v>410</v>
      </c>
      <c r="G995" s="200" t="s">
        <v>689</v>
      </c>
    </row>
    <row r="996" spans="1:7" hidden="1">
      <c r="A996" s="199" t="s">
        <v>696</v>
      </c>
      <c r="B996" s="200">
        <v>98400</v>
      </c>
      <c r="C996" s="200">
        <v>0</v>
      </c>
      <c r="D996" s="201" t="s">
        <v>441</v>
      </c>
      <c r="E996" s="201" t="s">
        <v>693</v>
      </c>
      <c r="F996" s="200" t="s">
        <v>410</v>
      </c>
      <c r="G996" s="200" t="s">
        <v>689</v>
      </c>
    </row>
    <row r="997" spans="1:7" hidden="1">
      <c r="A997" s="199" t="s">
        <v>504</v>
      </c>
      <c r="B997" s="200">
        <v>434</v>
      </c>
      <c r="C997" s="200">
        <v>0</v>
      </c>
      <c r="D997" s="201" t="s">
        <v>443</v>
      </c>
      <c r="E997" s="201" t="s">
        <v>320</v>
      </c>
      <c r="F997" s="200" t="s">
        <v>395</v>
      </c>
      <c r="G997" s="200" t="s">
        <v>689</v>
      </c>
    </row>
    <row r="998" spans="1:7" hidden="1">
      <c r="A998" s="199" t="s">
        <v>504</v>
      </c>
      <c r="B998" s="200">
        <v>-371</v>
      </c>
      <c r="C998" s="200">
        <v>0</v>
      </c>
      <c r="D998" s="201" t="s">
        <v>443</v>
      </c>
      <c r="E998" s="201" t="s">
        <v>320</v>
      </c>
      <c r="F998" s="200" t="s">
        <v>410</v>
      </c>
      <c r="G998" s="200" t="s">
        <v>689</v>
      </c>
    </row>
    <row r="999" spans="1:7" hidden="1">
      <c r="A999" s="199" t="s">
        <v>505</v>
      </c>
      <c r="B999" s="200">
        <v>-710</v>
      </c>
      <c r="C999" s="200">
        <v>0</v>
      </c>
      <c r="D999" s="201" t="s">
        <v>441</v>
      </c>
      <c r="E999" s="201" t="s">
        <v>440</v>
      </c>
      <c r="F999" s="200" t="s">
        <v>395</v>
      </c>
      <c r="G999" s="200" t="s">
        <v>689</v>
      </c>
    </row>
    <row r="1000" spans="1:7" hidden="1">
      <c r="A1000" s="199" t="s">
        <v>506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395</v>
      </c>
      <c r="G1000" s="200" t="s">
        <v>689</v>
      </c>
    </row>
    <row r="1001" spans="1:7" hidden="1">
      <c r="A1001" s="199" t="s">
        <v>506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442</v>
      </c>
      <c r="G1001" s="200" t="s">
        <v>689</v>
      </c>
    </row>
    <row r="1002" spans="1:7">
      <c r="A1002" s="199" t="s">
        <v>506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395</v>
      </c>
      <c r="G1002" s="200" t="s">
        <v>689</v>
      </c>
    </row>
    <row r="1003" spans="1:7">
      <c r="A1003" s="199" t="s">
        <v>506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394</v>
      </c>
      <c r="G1003" s="200" t="s">
        <v>689</v>
      </c>
    </row>
    <row r="1004" spans="1:7">
      <c r="A1004" s="199" t="s">
        <v>506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442</v>
      </c>
      <c r="G1004" s="200" t="s">
        <v>689</v>
      </c>
    </row>
    <row r="1005" spans="1:7">
      <c r="A1005" s="199" t="s">
        <v>507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395</v>
      </c>
      <c r="G1005" s="200" t="s">
        <v>689</v>
      </c>
    </row>
    <row r="1006" spans="1:7">
      <c r="A1006" s="199" t="s">
        <v>507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446</v>
      </c>
      <c r="G1006" s="200" t="s">
        <v>689</v>
      </c>
    </row>
    <row r="1007" spans="1:7">
      <c r="A1007" s="199" t="s">
        <v>507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404</v>
      </c>
      <c r="G1007" s="200" t="s">
        <v>689</v>
      </c>
    </row>
    <row r="1008" spans="1:7" hidden="1">
      <c r="A1008" s="199" t="s">
        <v>508</v>
      </c>
      <c r="B1008" s="200">
        <v>1521</v>
      </c>
      <c r="C1008" s="200">
        <v>0</v>
      </c>
      <c r="D1008" s="201" t="s">
        <v>443</v>
      </c>
      <c r="E1008" s="201" t="s">
        <v>39</v>
      </c>
      <c r="F1008" s="200" t="s">
        <v>395</v>
      </c>
      <c r="G1008" s="200" t="s">
        <v>689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395</v>
      </c>
      <c r="G1009" s="200" t="s">
        <v>689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410</v>
      </c>
      <c r="G1010" s="200" t="s">
        <v>689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438</v>
      </c>
      <c r="E1011" s="201" t="s">
        <v>322</v>
      </c>
      <c r="F1011" s="200" t="s">
        <v>395</v>
      </c>
      <c r="G1011" s="200" t="s">
        <v>689</v>
      </c>
    </row>
    <row r="1012" spans="1:7" hidden="1">
      <c r="A1012" s="199" t="s">
        <v>509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395</v>
      </c>
      <c r="G1012" s="200" t="s">
        <v>689</v>
      </c>
    </row>
    <row r="1013" spans="1:7" hidden="1">
      <c r="A1013" s="199" t="s">
        <v>509</v>
      </c>
      <c r="B1013" s="200">
        <v>-7</v>
      </c>
      <c r="C1013" s="200">
        <v>0</v>
      </c>
      <c r="D1013" s="201" t="s">
        <v>438</v>
      </c>
      <c r="E1013" s="201" t="s">
        <v>315</v>
      </c>
      <c r="F1013" s="200" t="s">
        <v>395</v>
      </c>
      <c r="G1013" s="200" t="s">
        <v>689</v>
      </c>
    </row>
    <row r="1014" spans="1:7">
      <c r="A1014" s="199" t="s">
        <v>509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395</v>
      </c>
      <c r="G1014" s="200" t="s">
        <v>689</v>
      </c>
    </row>
    <row r="1015" spans="1:7" hidden="1">
      <c r="A1015" s="199" t="s">
        <v>510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395</v>
      </c>
      <c r="G1015" s="200" t="s">
        <v>689</v>
      </c>
    </row>
    <row r="1016" spans="1:7" hidden="1">
      <c r="A1016" s="199" t="s">
        <v>510</v>
      </c>
      <c r="B1016" s="200">
        <v>7</v>
      </c>
      <c r="C1016" s="200">
        <v>0</v>
      </c>
      <c r="D1016" s="201" t="s">
        <v>438</v>
      </c>
      <c r="E1016" s="201" t="s">
        <v>315</v>
      </c>
      <c r="F1016" s="200" t="s">
        <v>395</v>
      </c>
      <c r="G1016" s="200" t="s">
        <v>689</v>
      </c>
    </row>
    <row r="1017" spans="1:7">
      <c r="A1017" s="199" t="s">
        <v>510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395</v>
      </c>
      <c r="G1017" s="200" t="s">
        <v>689</v>
      </c>
    </row>
    <row r="1018" spans="1:7" hidden="1">
      <c r="A1018" s="199" t="s">
        <v>511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395</v>
      </c>
      <c r="G1018" s="200" t="s">
        <v>689</v>
      </c>
    </row>
    <row r="1019" spans="1:7">
      <c r="A1019" s="199" t="s">
        <v>511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395</v>
      </c>
      <c r="G1019" s="200" t="s">
        <v>689</v>
      </c>
    </row>
    <row r="1020" spans="1:7">
      <c r="A1020" s="199" t="s">
        <v>511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394</v>
      </c>
      <c r="G1020" s="200" t="s">
        <v>689</v>
      </c>
    </row>
    <row r="1021" spans="1:7" hidden="1">
      <c r="A1021" s="199" t="s">
        <v>512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395</v>
      </c>
      <c r="G1021" s="200" t="s">
        <v>689</v>
      </c>
    </row>
    <row r="1022" spans="1:7">
      <c r="A1022" s="199" t="s">
        <v>512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395</v>
      </c>
      <c r="G1022" s="200" t="s">
        <v>689</v>
      </c>
    </row>
    <row r="1023" spans="1:7">
      <c r="A1023" s="199" t="s">
        <v>512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409</v>
      </c>
      <c r="G1023" s="200" t="s">
        <v>689</v>
      </c>
    </row>
    <row r="1024" spans="1:7" hidden="1">
      <c r="A1024" s="199" t="s">
        <v>513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395</v>
      </c>
      <c r="G1024" s="200" t="s">
        <v>689</v>
      </c>
    </row>
    <row r="1025" spans="1:7">
      <c r="A1025" s="199" t="s">
        <v>513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395</v>
      </c>
      <c r="G1025" s="200" t="s">
        <v>689</v>
      </c>
    </row>
    <row r="1026" spans="1:7">
      <c r="A1026" s="199" t="s">
        <v>513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409</v>
      </c>
      <c r="G1026" s="200" t="s">
        <v>689</v>
      </c>
    </row>
    <row r="1027" spans="1:7">
      <c r="A1027" s="199" t="s">
        <v>514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395</v>
      </c>
      <c r="G1027" s="200" t="s">
        <v>689</v>
      </c>
    </row>
    <row r="1028" spans="1:7">
      <c r="A1028" s="199" t="s">
        <v>514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446</v>
      </c>
      <c r="G1028" s="200" t="s">
        <v>689</v>
      </c>
    </row>
    <row r="1029" spans="1:7">
      <c r="A1029" s="199" t="s">
        <v>514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394</v>
      </c>
      <c r="G1029" s="200" t="s">
        <v>689</v>
      </c>
    </row>
    <row r="1030" spans="1:7" hidden="1">
      <c r="A1030" s="199" t="s">
        <v>515</v>
      </c>
      <c r="B1030" s="200">
        <v>-152541</v>
      </c>
      <c r="C1030" s="200">
        <v>0</v>
      </c>
      <c r="D1030" s="201" t="s">
        <v>441</v>
      </c>
      <c r="E1030" s="201" t="s">
        <v>320</v>
      </c>
      <c r="F1030" s="200" t="s">
        <v>395</v>
      </c>
      <c r="G1030" s="200" t="s">
        <v>689</v>
      </c>
    </row>
    <row r="1031" spans="1:7" hidden="1">
      <c r="A1031" s="199" t="s">
        <v>515</v>
      </c>
      <c r="B1031" s="200">
        <v>-5213</v>
      </c>
      <c r="C1031" s="200">
        <v>0</v>
      </c>
      <c r="D1031" s="201" t="s">
        <v>443</v>
      </c>
      <c r="E1031" s="201" t="s">
        <v>320</v>
      </c>
      <c r="F1031" s="200" t="s">
        <v>395</v>
      </c>
      <c r="G1031" s="200" t="s">
        <v>689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395</v>
      </c>
      <c r="G1032" s="200" t="s">
        <v>689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446</v>
      </c>
      <c r="G1033" s="200" t="s">
        <v>689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394</v>
      </c>
      <c r="G1034" s="200" t="s">
        <v>689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404</v>
      </c>
      <c r="G1035" s="200" t="s">
        <v>689</v>
      </c>
    </row>
    <row r="1036" spans="1:7">
      <c r="A1036" s="199" t="s">
        <v>516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395</v>
      </c>
      <c r="G1036" s="200" t="s">
        <v>689</v>
      </c>
    </row>
    <row r="1037" spans="1:7">
      <c r="A1037" s="199" t="s">
        <v>516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409</v>
      </c>
      <c r="G1037" s="200" t="s">
        <v>689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438</v>
      </c>
      <c r="E1038" s="201" t="s">
        <v>320</v>
      </c>
      <c r="F1038" s="200" t="s">
        <v>395</v>
      </c>
      <c r="G1038" s="200" t="s">
        <v>689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438</v>
      </c>
      <c r="E1039" s="201" t="s">
        <v>320</v>
      </c>
      <c r="F1039" s="200" t="s">
        <v>394</v>
      </c>
      <c r="G1039" s="200" t="s">
        <v>689</v>
      </c>
    </row>
    <row r="1040" spans="1:7" hidden="1">
      <c r="A1040" s="199" t="s">
        <v>396</v>
      </c>
      <c r="B1040" s="200">
        <v>77</v>
      </c>
      <c r="C1040" s="200">
        <v>0</v>
      </c>
      <c r="D1040" s="201" t="s">
        <v>283</v>
      </c>
      <c r="E1040" s="201" t="s">
        <v>518</v>
      </c>
      <c r="F1040" s="200" t="s">
        <v>395</v>
      </c>
      <c r="G1040" s="200" t="s">
        <v>689</v>
      </c>
    </row>
    <row r="1041" spans="1:7">
      <c r="A1041" s="199" t="s">
        <v>396</v>
      </c>
      <c r="B1041" s="200">
        <v>65</v>
      </c>
      <c r="C1041" s="200">
        <v>0</v>
      </c>
      <c r="D1041" s="201" t="s">
        <v>282</v>
      </c>
      <c r="E1041" s="201" t="s">
        <v>518</v>
      </c>
      <c r="F1041" s="200" t="s">
        <v>395</v>
      </c>
      <c r="G1041" s="200" t="s">
        <v>689</v>
      </c>
    </row>
    <row r="1042" spans="1:7">
      <c r="A1042" s="199" t="s">
        <v>396</v>
      </c>
      <c r="B1042" s="200">
        <v>11</v>
      </c>
      <c r="C1042" s="200">
        <v>0</v>
      </c>
      <c r="D1042" s="201" t="s">
        <v>282</v>
      </c>
      <c r="E1042" s="201" t="s">
        <v>518</v>
      </c>
      <c r="F1042" s="200" t="s">
        <v>394</v>
      </c>
      <c r="G1042" s="200" t="s">
        <v>689</v>
      </c>
    </row>
    <row r="1043" spans="1:7" hidden="1">
      <c r="A1043" s="199" t="s">
        <v>697</v>
      </c>
      <c r="B1043" s="200">
        <v>-16300</v>
      </c>
      <c r="C1043" s="200">
        <v>0</v>
      </c>
      <c r="D1043" s="201" t="s">
        <v>441</v>
      </c>
      <c r="E1043" s="201" t="s">
        <v>698</v>
      </c>
      <c r="F1043" s="200" t="s">
        <v>395</v>
      </c>
      <c r="G1043" s="200" t="s">
        <v>689</v>
      </c>
    </row>
    <row r="1044" spans="1:7" hidden="1">
      <c r="A1044" s="199" t="s">
        <v>697</v>
      </c>
      <c r="B1044" s="200">
        <v>16300</v>
      </c>
      <c r="C1044" s="200">
        <v>0</v>
      </c>
      <c r="D1044" s="201" t="s">
        <v>441</v>
      </c>
      <c r="E1044" s="201" t="s">
        <v>698</v>
      </c>
      <c r="F1044" s="200" t="s">
        <v>408</v>
      </c>
      <c r="G1044" s="200" t="s">
        <v>689</v>
      </c>
    </row>
    <row r="1045" spans="1:7" hidden="1">
      <c r="A1045" s="199" t="s">
        <v>699</v>
      </c>
      <c r="B1045" s="200">
        <v>-208000</v>
      </c>
      <c r="C1045" s="200">
        <v>0</v>
      </c>
      <c r="D1045" s="201" t="s">
        <v>443</v>
      </c>
      <c r="E1045" s="201" t="s">
        <v>693</v>
      </c>
      <c r="F1045" s="200" t="s">
        <v>410</v>
      </c>
      <c r="G1045" s="200" t="s">
        <v>689</v>
      </c>
    </row>
    <row r="1046" spans="1:7" hidden="1">
      <c r="A1046" s="199" t="s">
        <v>700</v>
      </c>
      <c r="B1046" s="200">
        <v>-208000</v>
      </c>
      <c r="C1046" s="200">
        <v>0</v>
      </c>
      <c r="D1046" s="201" t="s">
        <v>443</v>
      </c>
      <c r="E1046" s="201" t="s">
        <v>693</v>
      </c>
      <c r="F1046" s="200" t="s">
        <v>410</v>
      </c>
      <c r="G1046" s="200" t="s">
        <v>689</v>
      </c>
    </row>
    <row r="1047" spans="1:7" hidden="1">
      <c r="A1047" s="199" t="s">
        <v>701</v>
      </c>
      <c r="B1047" s="200">
        <v>208000</v>
      </c>
      <c r="C1047" s="200">
        <v>0</v>
      </c>
      <c r="D1047" s="201" t="s">
        <v>443</v>
      </c>
      <c r="E1047" s="201" t="s">
        <v>693</v>
      </c>
      <c r="F1047" s="200" t="s">
        <v>410</v>
      </c>
      <c r="G1047" s="200" t="s">
        <v>689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395</v>
      </c>
      <c r="G1048" s="200" t="s">
        <v>689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446</v>
      </c>
      <c r="G1049" s="200" t="s">
        <v>689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394</v>
      </c>
      <c r="G1050" s="200" t="s">
        <v>689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404</v>
      </c>
      <c r="G1051" s="200" t="s">
        <v>689</v>
      </c>
    </row>
    <row r="1052" spans="1:7" hidden="1">
      <c r="A1052" s="199" t="s">
        <v>522</v>
      </c>
      <c r="B1052" s="200">
        <v>-1143</v>
      </c>
      <c r="C1052" s="200">
        <v>0</v>
      </c>
      <c r="D1052" s="201" t="s">
        <v>443</v>
      </c>
      <c r="E1052" s="201" t="s">
        <v>523</v>
      </c>
      <c r="F1052" s="200" t="s">
        <v>395</v>
      </c>
      <c r="G1052" s="200" t="s">
        <v>689</v>
      </c>
    </row>
    <row r="1053" spans="1:7" hidden="1">
      <c r="A1053" s="199" t="s">
        <v>702</v>
      </c>
      <c r="B1053" s="200">
        <v>-5</v>
      </c>
      <c r="C1053" s="200">
        <v>0</v>
      </c>
      <c r="D1053" s="201" t="s">
        <v>443</v>
      </c>
      <c r="E1053" s="201" t="s">
        <v>703</v>
      </c>
      <c r="F1053" s="200" t="s">
        <v>395</v>
      </c>
      <c r="G1053" s="200" t="s">
        <v>689</v>
      </c>
    </row>
    <row r="1054" spans="1:7" hidden="1">
      <c r="A1054" s="199" t="s">
        <v>704</v>
      </c>
      <c r="B1054" s="200">
        <v>24500</v>
      </c>
      <c r="C1054" s="200">
        <v>0</v>
      </c>
      <c r="D1054" s="201" t="s">
        <v>441</v>
      </c>
      <c r="E1054" s="201" t="s">
        <v>705</v>
      </c>
      <c r="F1054" s="200" t="s">
        <v>410</v>
      </c>
      <c r="G1054" s="200" t="s">
        <v>689</v>
      </c>
    </row>
    <row r="1055" spans="1:7" hidden="1">
      <c r="A1055" s="199" t="s">
        <v>706</v>
      </c>
      <c r="B1055" s="200">
        <v>23300</v>
      </c>
      <c r="C1055" s="200">
        <v>0</v>
      </c>
      <c r="D1055" s="201" t="s">
        <v>441</v>
      </c>
      <c r="E1055" s="201" t="s">
        <v>705</v>
      </c>
      <c r="F1055" s="200" t="s">
        <v>410</v>
      </c>
      <c r="G1055" s="200" t="s">
        <v>689</v>
      </c>
    </row>
    <row r="1056" spans="1:7" hidden="1">
      <c r="A1056" s="199" t="s">
        <v>707</v>
      </c>
      <c r="B1056" s="200">
        <v>-31700</v>
      </c>
      <c r="C1056" s="200">
        <v>0</v>
      </c>
      <c r="D1056" s="201" t="s">
        <v>441</v>
      </c>
      <c r="E1056" s="201" t="s">
        <v>705</v>
      </c>
      <c r="F1056" s="200" t="s">
        <v>410</v>
      </c>
      <c r="G1056" s="200" t="s">
        <v>689</v>
      </c>
    </row>
    <row r="1057" spans="1:7" hidden="1">
      <c r="A1057" s="199" t="s">
        <v>708</v>
      </c>
      <c r="B1057" s="200">
        <v>31700</v>
      </c>
      <c r="C1057" s="200">
        <v>0</v>
      </c>
      <c r="D1057" s="201" t="s">
        <v>441</v>
      </c>
      <c r="E1057" s="201" t="s">
        <v>705</v>
      </c>
      <c r="F1057" s="200" t="s">
        <v>410</v>
      </c>
      <c r="G1057" s="200" t="s">
        <v>689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395</v>
      </c>
      <c r="G1058" s="200" t="s">
        <v>689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442</v>
      </c>
      <c r="G1059" s="200" t="s">
        <v>689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395</v>
      </c>
      <c r="G1060" s="200" t="s">
        <v>689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394</v>
      </c>
      <c r="G1061" s="200" t="s">
        <v>689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414</v>
      </c>
      <c r="G1062" s="200" t="s">
        <v>689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404</v>
      </c>
      <c r="G1063" s="200" t="s">
        <v>689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442</v>
      </c>
      <c r="G1064" s="200" t="s">
        <v>689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412</v>
      </c>
      <c r="G1065" s="200" t="s">
        <v>689</v>
      </c>
    </row>
    <row r="1066" spans="1:7">
      <c r="A1066" s="199" t="s">
        <v>709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395</v>
      </c>
      <c r="G1066" s="200" t="s">
        <v>689</v>
      </c>
    </row>
    <row r="1067" spans="1:7">
      <c r="A1067" s="199" t="s">
        <v>709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408</v>
      </c>
      <c r="G1067" s="200" t="s">
        <v>689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442</v>
      </c>
      <c r="G1068" s="200" t="s">
        <v>689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409</v>
      </c>
      <c r="G1069" s="200" t="s">
        <v>689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442</v>
      </c>
      <c r="G1070" s="200" t="s">
        <v>689</v>
      </c>
    </row>
    <row r="1071" spans="1:7" hidden="1">
      <c r="A1071" s="199" t="s">
        <v>525</v>
      </c>
      <c r="B1071" s="200">
        <v>618800</v>
      </c>
      <c r="C1071" s="200">
        <v>0</v>
      </c>
      <c r="D1071" s="201" t="s">
        <v>438</v>
      </c>
      <c r="E1071" s="201" t="s">
        <v>526</v>
      </c>
      <c r="F1071" s="200" t="s">
        <v>395</v>
      </c>
      <c r="G1071" s="200" t="s">
        <v>689</v>
      </c>
    </row>
    <row r="1072" spans="1:7" hidden="1">
      <c r="A1072" s="199" t="s">
        <v>525</v>
      </c>
      <c r="B1072" s="200">
        <v>-618800</v>
      </c>
      <c r="C1072" s="200">
        <v>0</v>
      </c>
      <c r="D1072" s="201" t="s">
        <v>438</v>
      </c>
      <c r="E1072" s="201" t="s">
        <v>526</v>
      </c>
      <c r="F1072" s="200" t="s">
        <v>394</v>
      </c>
      <c r="G1072" s="200" t="s">
        <v>689</v>
      </c>
    </row>
    <row r="1073" spans="1:7">
      <c r="A1073" s="199" t="s">
        <v>525</v>
      </c>
      <c r="B1073" s="200">
        <v>618800</v>
      </c>
      <c r="C1073" s="200">
        <v>0</v>
      </c>
      <c r="D1073" s="201" t="s">
        <v>282</v>
      </c>
      <c r="E1073" s="201" t="s">
        <v>526</v>
      </c>
      <c r="F1073" s="200" t="s">
        <v>395</v>
      </c>
      <c r="G1073" s="200" t="s">
        <v>689</v>
      </c>
    </row>
    <row r="1074" spans="1:7">
      <c r="A1074" s="199" t="s">
        <v>525</v>
      </c>
      <c r="B1074" s="200">
        <v>-618800</v>
      </c>
      <c r="C1074" s="200">
        <v>0</v>
      </c>
      <c r="D1074" s="201" t="s">
        <v>282</v>
      </c>
      <c r="E1074" s="201" t="s">
        <v>526</v>
      </c>
      <c r="F1074" s="200" t="s">
        <v>394</v>
      </c>
      <c r="G1074" s="200" t="s">
        <v>689</v>
      </c>
    </row>
    <row r="1075" spans="1:7" hidden="1">
      <c r="A1075" s="199" t="s">
        <v>527</v>
      </c>
      <c r="B1075" s="200">
        <v>348203</v>
      </c>
      <c r="C1075" s="200">
        <v>0</v>
      </c>
      <c r="D1075" s="201" t="s">
        <v>441</v>
      </c>
      <c r="E1075" s="201" t="s">
        <v>39</v>
      </c>
      <c r="F1075" s="200" t="s">
        <v>395</v>
      </c>
      <c r="G1075" s="200" t="s">
        <v>689</v>
      </c>
    </row>
    <row r="1076" spans="1:7" hidden="1">
      <c r="A1076" s="199" t="s">
        <v>527</v>
      </c>
      <c r="B1076" s="200">
        <v>14179</v>
      </c>
      <c r="C1076" s="200">
        <v>0</v>
      </c>
      <c r="D1076" s="201" t="s">
        <v>443</v>
      </c>
      <c r="E1076" s="201" t="s">
        <v>39</v>
      </c>
      <c r="F1076" s="200" t="s">
        <v>395</v>
      </c>
      <c r="G1076" s="200" t="s">
        <v>689</v>
      </c>
    </row>
    <row r="1077" spans="1:7" hidden="1">
      <c r="A1077" s="199" t="s">
        <v>528</v>
      </c>
      <c r="B1077" s="200">
        <v>-3020</v>
      </c>
      <c r="C1077" s="200">
        <v>0</v>
      </c>
      <c r="D1077" s="201" t="s">
        <v>441</v>
      </c>
      <c r="E1077" s="201" t="s">
        <v>327</v>
      </c>
      <c r="F1077" s="200" t="s">
        <v>395</v>
      </c>
      <c r="G1077" s="200" t="s">
        <v>689</v>
      </c>
    </row>
    <row r="1078" spans="1:7" hidden="1">
      <c r="A1078" s="199" t="s">
        <v>529</v>
      </c>
      <c r="B1078" s="200">
        <v>-3020</v>
      </c>
      <c r="C1078" s="200">
        <v>0</v>
      </c>
      <c r="D1078" s="201" t="s">
        <v>441</v>
      </c>
      <c r="E1078" s="201" t="s">
        <v>327</v>
      </c>
      <c r="F1078" s="200" t="s">
        <v>395</v>
      </c>
      <c r="G1078" s="200" t="s">
        <v>689</v>
      </c>
    </row>
    <row r="1079" spans="1:7" hidden="1">
      <c r="A1079" s="199" t="s">
        <v>530</v>
      </c>
      <c r="B1079" s="200">
        <v>3020</v>
      </c>
      <c r="C1079" s="200">
        <v>0</v>
      </c>
      <c r="D1079" s="201" t="s">
        <v>441</v>
      </c>
      <c r="E1079" s="201" t="s">
        <v>327</v>
      </c>
      <c r="F1079" s="200" t="s">
        <v>395</v>
      </c>
      <c r="G1079" s="200" t="s">
        <v>689</v>
      </c>
    </row>
    <row r="1080" spans="1:7" hidden="1">
      <c r="A1080" s="199" t="s">
        <v>531</v>
      </c>
      <c r="B1080" s="200">
        <v>-3280</v>
      </c>
      <c r="C1080" s="200">
        <v>0</v>
      </c>
      <c r="D1080" s="201" t="s">
        <v>441</v>
      </c>
      <c r="E1080" s="201" t="s">
        <v>327</v>
      </c>
      <c r="F1080" s="200" t="s">
        <v>410</v>
      </c>
      <c r="G1080" s="200" t="s">
        <v>689</v>
      </c>
    </row>
    <row r="1081" spans="1:7" hidden="1">
      <c r="A1081" s="199" t="s">
        <v>532</v>
      </c>
      <c r="B1081" s="200">
        <v>-3280</v>
      </c>
      <c r="C1081" s="200">
        <v>0</v>
      </c>
      <c r="D1081" s="201" t="s">
        <v>441</v>
      </c>
      <c r="E1081" s="201" t="s">
        <v>327</v>
      </c>
      <c r="F1081" s="200" t="s">
        <v>410</v>
      </c>
      <c r="G1081" s="200" t="s">
        <v>689</v>
      </c>
    </row>
    <row r="1082" spans="1:7" hidden="1">
      <c r="A1082" s="199" t="s">
        <v>533</v>
      </c>
      <c r="B1082" s="200">
        <v>3280</v>
      </c>
      <c r="C1082" s="200">
        <v>0</v>
      </c>
      <c r="D1082" s="201" t="s">
        <v>441</v>
      </c>
      <c r="E1082" s="201" t="s">
        <v>327</v>
      </c>
      <c r="F1082" s="200" t="s">
        <v>410</v>
      </c>
      <c r="G1082" s="200" t="s">
        <v>689</v>
      </c>
    </row>
    <row r="1083" spans="1:7" hidden="1">
      <c r="A1083" s="199" t="s">
        <v>710</v>
      </c>
      <c r="B1083" s="200">
        <v>-44300</v>
      </c>
      <c r="C1083" s="200">
        <v>0</v>
      </c>
      <c r="D1083" s="201" t="s">
        <v>443</v>
      </c>
      <c r="E1083" s="201" t="s">
        <v>693</v>
      </c>
      <c r="F1083" s="200" t="s">
        <v>410</v>
      </c>
      <c r="G1083" s="200" t="s">
        <v>689</v>
      </c>
    </row>
    <row r="1084" spans="1:7" hidden="1">
      <c r="A1084" s="199" t="s">
        <v>711</v>
      </c>
      <c r="B1084" s="200">
        <v>44300</v>
      </c>
      <c r="C1084" s="200">
        <v>0</v>
      </c>
      <c r="D1084" s="201" t="s">
        <v>443</v>
      </c>
      <c r="E1084" s="201" t="s">
        <v>693</v>
      </c>
      <c r="F1084" s="200" t="s">
        <v>410</v>
      </c>
      <c r="G1084" s="200" t="s">
        <v>689</v>
      </c>
    </row>
    <row r="1085" spans="1:7" hidden="1">
      <c r="A1085" s="199" t="s">
        <v>712</v>
      </c>
      <c r="B1085" s="200">
        <v>438000</v>
      </c>
      <c r="C1085" s="200">
        <v>0</v>
      </c>
      <c r="D1085" s="201" t="s">
        <v>441</v>
      </c>
      <c r="E1085" s="201" t="s">
        <v>693</v>
      </c>
      <c r="F1085" s="200" t="s">
        <v>410</v>
      </c>
      <c r="G1085" s="200" t="s">
        <v>689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441</v>
      </c>
      <c r="E1086" s="201" t="s">
        <v>320</v>
      </c>
      <c r="F1086" s="200" t="s">
        <v>395</v>
      </c>
      <c r="G1086" s="200" t="s">
        <v>689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441</v>
      </c>
      <c r="E1087" s="201" t="s">
        <v>320</v>
      </c>
      <c r="F1087" s="200" t="s">
        <v>442</v>
      </c>
      <c r="G1087" s="200" t="s">
        <v>689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438</v>
      </c>
      <c r="E1088" s="201" t="s">
        <v>320</v>
      </c>
      <c r="F1088" s="200" t="s">
        <v>395</v>
      </c>
      <c r="G1088" s="200" t="s">
        <v>689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438</v>
      </c>
      <c r="E1089" s="201" t="s">
        <v>320</v>
      </c>
      <c r="F1089" s="200" t="s">
        <v>442</v>
      </c>
      <c r="G1089" s="200" t="s">
        <v>689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395</v>
      </c>
      <c r="G1090" s="200" t="s">
        <v>689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394</v>
      </c>
      <c r="G1091" s="200" t="s">
        <v>689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443</v>
      </c>
      <c r="E1092" s="201" t="s">
        <v>320</v>
      </c>
      <c r="F1092" s="200" t="s">
        <v>395</v>
      </c>
      <c r="G1092" s="200" t="s">
        <v>689</v>
      </c>
    </row>
    <row r="1093" spans="1:7" hidden="1">
      <c r="A1093" s="199" t="s">
        <v>534</v>
      </c>
      <c r="B1093" s="200">
        <v>1400</v>
      </c>
      <c r="C1093" s="200">
        <v>0</v>
      </c>
      <c r="D1093" s="201" t="s">
        <v>443</v>
      </c>
      <c r="E1093" s="201" t="s">
        <v>39</v>
      </c>
      <c r="F1093" s="200" t="s">
        <v>395</v>
      </c>
      <c r="G1093" s="200" t="s">
        <v>689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395</v>
      </c>
      <c r="G1094" s="200" t="s">
        <v>689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442</v>
      </c>
      <c r="G1095" s="200" t="s">
        <v>689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438</v>
      </c>
      <c r="E1096" s="201" t="s">
        <v>320</v>
      </c>
      <c r="F1096" s="200" t="s">
        <v>395</v>
      </c>
      <c r="G1096" s="200" t="s">
        <v>689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395</v>
      </c>
      <c r="G1097" s="200" t="s">
        <v>689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446</v>
      </c>
      <c r="G1098" s="200" t="s">
        <v>689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394</v>
      </c>
      <c r="G1099" s="200" t="s">
        <v>689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414</v>
      </c>
      <c r="G1100" s="200" t="s">
        <v>689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404</v>
      </c>
      <c r="G1101" s="200" t="s">
        <v>689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442</v>
      </c>
      <c r="G1102" s="200" t="s">
        <v>689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450</v>
      </c>
      <c r="G1103" s="200" t="s">
        <v>689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395</v>
      </c>
      <c r="G1104" s="200" t="s">
        <v>689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395</v>
      </c>
      <c r="G1105" s="200" t="s">
        <v>689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446</v>
      </c>
      <c r="G1106" s="200" t="s">
        <v>689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394</v>
      </c>
      <c r="G1107" s="200" t="s">
        <v>689</v>
      </c>
    </row>
    <row r="1108" spans="1:7" hidden="1">
      <c r="A1108" s="199" t="s">
        <v>535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395</v>
      </c>
      <c r="G1108" s="200" t="s">
        <v>689</v>
      </c>
    </row>
    <row r="1109" spans="1:7">
      <c r="A1109" s="199" t="s">
        <v>535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395</v>
      </c>
      <c r="G1109" s="200" t="s">
        <v>689</v>
      </c>
    </row>
    <row r="1110" spans="1:7">
      <c r="A1110" s="199" t="s">
        <v>535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409</v>
      </c>
      <c r="G1110" s="200" t="s">
        <v>689</v>
      </c>
    </row>
    <row r="1111" spans="1:7" hidden="1">
      <c r="A1111" s="199" t="s">
        <v>536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395</v>
      </c>
      <c r="G1111" s="200" t="s">
        <v>689</v>
      </c>
    </row>
    <row r="1112" spans="1:7">
      <c r="A1112" s="199" t="s">
        <v>536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395</v>
      </c>
      <c r="G1112" s="200" t="s">
        <v>689</v>
      </c>
    </row>
    <row r="1113" spans="1:7">
      <c r="A1113" s="199" t="s">
        <v>536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409</v>
      </c>
      <c r="G1113" s="200" t="s">
        <v>689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409</v>
      </c>
      <c r="G1114" s="200" t="s">
        <v>689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394</v>
      </c>
      <c r="G1115" s="200" t="s">
        <v>689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414</v>
      </c>
      <c r="G1116" s="200" t="s">
        <v>689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438</v>
      </c>
      <c r="E1117" s="201" t="s">
        <v>320</v>
      </c>
      <c r="F1117" s="200" t="s">
        <v>395</v>
      </c>
      <c r="G1117" s="200" t="s">
        <v>689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438</v>
      </c>
      <c r="E1118" s="201" t="s">
        <v>320</v>
      </c>
      <c r="F1118" s="200" t="s">
        <v>394</v>
      </c>
      <c r="G1118" s="200" t="s">
        <v>689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395</v>
      </c>
      <c r="G1119" s="200" t="s">
        <v>689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409</v>
      </c>
      <c r="G1120" s="200" t="s">
        <v>689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394</v>
      </c>
      <c r="G1121" s="200" t="s">
        <v>689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414</v>
      </c>
      <c r="G1122" s="200" t="s">
        <v>689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404</v>
      </c>
      <c r="G1123" s="200" t="s">
        <v>689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443</v>
      </c>
      <c r="E1124" s="201" t="s">
        <v>320</v>
      </c>
      <c r="F1124" s="200" t="s">
        <v>395</v>
      </c>
      <c r="G1124" s="200" t="s">
        <v>689</v>
      </c>
    </row>
    <row r="1125" spans="1:7" hidden="1">
      <c r="A1125" s="199" t="s">
        <v>537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395</v>
      </c>
      <c r="G1125" s="200" t="s">
        <v>689</v>
      </c>
    </row>
    <row r="1126" spans="1:7" hidden="1">
      <c r="A1126" s="199" t="s">
        <v>537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442</v>
      </c>
      <c r="G1126" s="200" t="s">
        <v>689</v>
      </c>
    </row>
    <row r="1127" spans="1:7">
      <c r="A1127" s="199" t="s">
        <v>537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395</v>
      </c>
      <c r="G1127" s="200" t="s">
        <v>689</v>
      </c>
    </row>
    <row r="1128" spans="1:7">
      <c r="A1128" s="199" t="s">
        <v>537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409</v>
      </c>
      <c r="G1128" s="200" t="s">
        <v>689</v>
      </c>
    </row>
    <row r="1129" spans="1:7">
      <c r="A1129" s="199" t="s">
        <v>537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394</v>
      </c>
      <c r="G1129" s="200" t="s">
        <v>689</v>
      </c>
    </row>
    <row r="1130" spans="1:7">
      <c r="A1130" s="199" t="s">
        <v>537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442</v>
      </c>
      <c r="G1130" s="200" t="s">
        <v>689</v>
      </c>
    </row>
    <row r="1131" spans="1:7" hidden="1">
      <c r="A1131" s="199" t="s">
        <v>538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395</v>
      </c>
      <c r="G1131" s="200" t="s">
        <v>689</v>
      </c>
    </row>
    <row r="1132" spans="1:7" hidden="1">
      <c r="A1132" s="199" t="s">
        <v>538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409</v>
      </c>
      <c r="G1132" s="200" t="s">
        <v>689</v>
      </c>
    </row>
    <row r="1133" spans="1:7" hidden="1">
      <c r="A1133" s="199" t="s">
        <v>538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442</v>
      </c>
      <c r="G1133" s="200" t="s">
        <v>689</v>
      </c>
    </row>
    <row r="1134" spans="1:7">
      <c r="A1134" s="199" t="s">
        <v>538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395</v>
      </c>
      <c r="G1134" s="200" t="s">
        <v>689</v>
      </c>
    </row>
    <row r="1135" spans="1:7">
      <c r="A1135" s="199" t="s">
        <v>538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409</v>
      </c>
      <c r="G1135" s="200" t="s">
        <v>689</v>
      </c>
    </row>
    <row r="1136" spans="1:7">
      <c r="A1136" s="199" t="s">
        <v>538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394</v>
      </c>
      <c r="G1136" s="200" t="s">
        <v>689</v>
      </c>
    </row>
    <row r="1137" spans="1:7">
      <c r="A1137" s="199" t="s">
        <v>538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442</v>
      </c>
      <c r="G1137" s="200" t="s">
        <v>689</v>
      </c>
    </row>
    <row r="1138" spans="1:7" hidden="1">
      <c r="A1138" s="199" t="s">
        <v>539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395</v>
      </c>
      <c r="G1138" s="200" t="s">
        <v>689</v>
      </c>
    </row>
    <row r="1139" spans="1:7" hidden="1">
      <c r="A1139" s="199" t="s">
        <v>539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442</v>
      </c>
      <c r="G1139" s="200" t="s">
        <v>689</v>
      </c>
    </row>
    <row r="1140" spans="1:7">
      <c r="A1140" s="199" t="s">
        <v>539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395</v>
      </c>
      <c r="G1140" s="200" t="s">
        <v>689</v>
      </c>
    </row>
    <row r="1141" spans="1:7">
      <c r="A1141" s="199" t="s">
        <v>539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409</v>
      </c>
      <c r="G1141" s="200" t="s">
        <v>689</v>
      </c>
    </row>
    <row r="1142" spans="1:7">
      <c r="A1142" s="199" t="s">
        <v>539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394</v>
      </c>
      <c r="G1142" s="200" t="s">
        <v>689</v>
      </c>
    </row>
    <row r="1143" spans="1:7">
      <c r="A1143" s="199" t="s">
        <v>539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442</v>
      </c>
      <c r="G1143" s="200" t="s">
        <v>689</v>
      </c>
    </row>
    <row r="1144" spans="1:7" hidden="1">
      <c r="A1144" s="199" t="s">
        <v>540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395</v>
      </c>
      <c r="G1144" s="200" t="s">
        <v>689</v>
      </c>
    </row>
    <row r="1145" spans="1:7" hidden="1">
      <c r="A1145" s="199" t="s">
        <v>540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409</v>
      </c>
      <c r="G1145" s="200" t="s">
        <v>689</v>
      </c>
    </row>
    <row r="1146" spans="1:7" hidden="1">
      <c r="A1146" s="199" t="s">
        <v>540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442</v>
      </c>
      <c r="G1146" s="200" t="s">
        <v>689</v>
      </c>
    </row>
    <row r="1147" spans="1:7">
      <c r="A1147" s="199" t="s">
        <v>540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395</v>
      </c>
      <c r="G1147" s="200" t="s">
        <v>689</v>
      </c>
    </row>
    <row r="1148" spans="1:7">
      <c r="A1148" s="199" t="s">
        <v>540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409</v>
      </c>
      <c r="G1148" s="200" t="s">
        <v>689</v>
      </c>
    </row>
    <row r="1149" spans="1:7">
      <c r="A1149" s="199" t="s">
        <v>540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394</v>
      </c>
      <c r="G1149" s="200" t="s">
        <v>689</v>
      </c>
    </row>
    <row r="1150" spans="1:7">
      <c r="A1150" s="199" t="s">
        <v>540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442</v>
      </c>
      <c r="G1150" s="200" t="s">
        <v>689</v>
      </c>
    </row>
    <row r="1151" spans="1:7" hidden="1">
      <c r="A1151" s="199" t="s">
        <v>541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395</v>
      </c>
      <c r="G1151" s="200" t="s">
        <v>689</v>
      </c>
    </row>
    <row r="1152" spans="1:7">
      <c r="A1152" s="199" t="s">
        <v>541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395</v>
      </c>
      <c r="G1152" s="200" t="s">
        <v>689</v>
      </c>
    </row>
    <row r="1153" spans="1:7">
      <c r="A1153" s="199" t="s">
        <v>541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409</v>
      </c>
      <c r="G1153" s="200" t="s">
        <v>689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395</v>
      </c>
      <c r="G1154" s="200" t="s">
        <v>689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395</v>
      </c>
      <c r="G1155" s="200" t="s">
        <v>689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409</v>
      </c>
      <c r="G1156" s="200" t="s">
        <v>689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395</v>
      </c>
      <c r="G1157" s="200" t="s">
        <v>689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395</v>
      </c>
      <c r="G1158" s="200" t="s">
        <v>689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409</v>
      </c>
      <c r="G1159" s="200" t="s">
        <v>689</v>
      </c>
    </row>
    <row r="1160" spans="1:7" hidden="1">
      <c r="A1160" s="199" t="s">
        <v>542</v>
      </c>
      <c r="B1160" s="200">
        <v>-40000</v>
      </c>
      <c r="C1160" s="200">
        <v>0</v>
      </c>
      <c r="D1160" s="201" t="s">
        <v>464</v>
      </c>
      <c r="E1160" s="201" t="s">
        <v>465</v>
      </c>
      <c r="F1160" s="200" t="s">
        <v>414</v>
      </c>
      <c r="G1160" s="200" t="s">
        <v>689</v>
      </c>
    </row>
    <row r="1161" spans="1:7" hidden="1">
      <c r="A1161" s="199" t="s">
        <v>542</v>
      </c>
      <c r="B1161" s="200">
        <v>40000</v>
      </c>
      <c r="C1161" s="200">
        <v>0</v>
      </c>
      <c r="D1161" s="201" t="s">
        <v>464</v>
      </c>
      <c r="E1161" s="201" t="s">
        <v>465</v>
      </c>
      <c r="F1161" s="200" t="s">
        <v>470</v>
      </c>
      <c r="G1161" s="200" t="s">
        <v>689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395</v>
      </c>
      <c r="G1162" s="200" t="s">
        <v>689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442</v>
      </c>
      <c r="G1163" s="200" t="s">
        <v>689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395</v>
      </c>
      <c r="G1164" s="200" t="s">
        <v>689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446</v>
      </c>
      <c r="G1165" s="200" t="s">
        <v>689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394</v>
      </c>
      <c r="G1166" s="200" t="s">
        <v>689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442</v>
      </c>
      <c r="G1167" s="200" t="s">
        <v>689</v>
      </c>
    </row>
    <row r="1168" spans="1:7" hidden="1">
      <c r="A1168" s="199" t="s">
        <v>544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414</v>
      </c>
      <c r="G1168" s="200" t="s">
        <v>689</v>
      </c>
    </row>
    <row r="1169" spans="1:7" hidden="1">
      <c r="A1169" s="199" t="s">
        <v>544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442</v>
      </c>
      <c r="G1169" s="200" t="s">
        <v>689</v>
      </c>
    </row>
    <row r="1170" spans="1:7">
      <c r="A1170" s="199" t="s">
        <v>544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414</v>
      </c>
      <c r="G1170" s="200" t="s">
        <v>689</v>
      </c>
    </row>
    <row r="1171" spans="1:7">
      <c r="A1171" s="199" t="s">
        <v>544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442</v>
      </c>
      <c r="G1171" s="200" t="s">
        <v>689</v>
      </c>
    </row>
    <row r="1172" spans="1:7" hidden="1">
      <c r="A1172" s="199" t="s">
        <v>545</v>
      </c>
      <c r="B1172" s="200">
        <v>-148</v>
      </c>
      <c r="C1172" s="200">
        <v>0</v>
      </c>
      <c r="D1172" s="201" t="s">
        <v>441</v>
      </c>
      <c r="E1172" s="201" t="s">
        <v>317</v>
      </c>
      <c r="F1172" s="200" t="s">
        <v>395</v>
      </c>
      <c r="G1172" s="200" t="s">
        <v>689</v>
      </c>
    </row>
    <row r="1173" spans="1:7" hidden="1">
      <c r="A1173" s="199" t="s">
        <v>545</v>
      </c>
      <c r="B1173" s="200">
        <v>229</v>
      </c>
      <c r="C1173" s="200">
        <v>0</v>
      </c>
      <c r="D1173" s="201" t="s">
        <v>441</v>
      </c>
      <c r="E1173" s="201" t="s">
        <v>317</v>
      </c>
      <c r="F1173" s="200" t="s">
        <v>408</v>
      </c>
      <c r="G1173" s="200" t="s">
        <v>689</v>
      </c>
    </row>
    <row r="1174" spans="1:7" hidden="1">
      <c r="A1174" s="199" t="s">
        <v>545</v>
      </c>
      <c r="B1174" s="200">
        <v>69</v>
      </c>
      <c r="C1174" s="200">
        <v>0</v>
      </c>
      <c r="D1174" s="201" t="s">
        <v>443</v>
      </c>
      <c r="E1174" s="201" t="s">
        <v>317</v>
      </c>
      <c r="F1174" s="200" t="s">
        <v>395</v>
      </c>
      <c r="G1174" s="200" t="s">
        <v>689</v>
      </c>
    </row>
    <row r="1175" spans="1:7" hidden="1">
      <c r="A1175" s="199" t="s">
        <v>545</v>
      </c>
      <c r="B1175" s="200">
        <v>81</v>
      </c>
      <c r="C1175" s="200">
        <v>0</v>
      </c>
      <c r="D1175" s="201" t="s">
        <v>475</v>
      </c>
      <c r="E1175" s="201" t="s">
        <v>317</v>
      </c>
      <c r="F1175" s="200" t="s">
        <v>395</v>
      </c>
      <c r="G1175" s="200" t="s">
        <v>689</v>
      </c>
    </row>
    <row r="1176" spans="1:7" hidden="1">
      <c r="A1176" s="199" t="s">
        <v>547</v>
      </c>
      <c r="B1176" s="200">
        <v>32</v>
      </c>
      <c r="C1176" s="200">
        <v>0</v>
      </c>
      <c r="D1176" s="201" t="s">
        <v>438</v>
      </c>
      <c r="E1176" s="201" t="s">
        <v>548</v>
      </c>
      <c r="F1176" s="200" t="s">
        <v>395</v>
      </c>
      <c r="G1176" s="200" t="s">
        <v>689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395</v>
      </c>
      <c r="G1177" s="200" t="s">
        <v>689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442</v>
      </c>
      <c r="G1178" s="200" t="s">
        <v>689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438</v>
      </c>
      <c r="E1179" s="201" t="s">
        <v>317</v>
      </c>
      <c r="F1179" s="200" t="s">
        <v>395</v>
      </c>
      <c r="G1179" s="200" t="s">
        <v>689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438</v>
      </c>
      <c r="E1180" s="201" t="s">
        <v>317</v>
      </c>
      <c r="F1180" s="200" t="s">
        <v>442</v>
      </c>
      <c r="G1180" s="200" t="s">
        <v>689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395</v>
      </c>
      <c r="G1181" s="200" t="s">
        <v>689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446</v>
      </c>
      <c r="G1182" s="200" t="s">
        <v>689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409</v>
      </c>
      <c r="G1183" s="200" t="s">
        <v>689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394</v>
      </c>
      <c r="G1184" s="200" t="s">
        <v>689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414</v>
      </c>
      <c r="G1185" s="200" t="s">
        <v>689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442</v>
      </c>
      <c r="G1186" s="200" t="s">
        <v>689</v>
      </c>
    </row>
    <row r="1187" spans="1:7" hidden="1">
      <c r="A1187" s="199" t="s">
        <v>549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395</v>
      </c>
      <c r="G1187" s="200" t="s">
        <v>689</v>
      </c>
    </row>
    <row r="1188" spans="1:7" hidden="1">
      <c r="A1188" s="199" t="s">
        <v>549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409</v>
      </c>
      <c r="G1188" s="200" t="s">
        <v>689</v>
      </c>
    </row>
    <row r="1189" spans="1:7">
      <c r="A1189" s="199" t="s">
        <v>549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395</v>
      </c>
      <c r="G1189" s="200" t="s">
        <v>689</v>
      </c>
    </row>
    <row r="1190" spans="1:7">
      <c r="A1190" s="199" t="s">
        <v>549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409</v>
      </c>
      <c r="G1190" s="200" t="s">
        <v>689</v>
      </c>
    </row>
    <row r="1191" spans="1:7">
      <c r="A1191" s="199" t="s">
        <v>549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394</v>
      </c>
      <c r="G1191" s="200" t="s">
        <v>689</v>
      </c>
    </row>
    <row r="1192" spans="1:7" hidden="1">
      <c r="A1192" s="199" t="s">
        <v>550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395</v>
      </c>
      <c r="G1192" s="200" t="s">
        <v>689</v>
      </c>
    </row>
    <row r="1193" spans="1:7" hidden="1">
      <c r="A1193" s="199" t="s">
        <v>550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409</v>
      </c>
      <c r="G1193" s="200" t="s">
        <v>689</v>
      </c>
    </row>
    <row r="1194" spans="1:7">
      <c r="A1194" s="199" t="s">
        <v>550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395</v>
      </c>
      <c r="G1194" s="200" t="s">
        <v>689</v>
      </c>
    </row>
    <row r="1195" spans="1:7">
      <c r="A1195" s="199" t="s">
        <v>550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409</v>
      </c>
      <c r="G1195" s="200" t="s">
        <v>689</v>
      </c>
    </row>
    <row r="1196" spans="1:7">
      <c r="A1196" s="199" t="s">
        <v>550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394</v>
      </c>
      <c r="G1196" s="200" t="s">
        <v>689</v>
      </c>
    </row>
    <row r="1197" spans="1:7" hidden="1">
      <c r="A1197" s="199" t="s">
        <v>551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395</v>
      </c>
      <c r="G1197" s="200" t="s">
        <v>689</v>
      </c>
    </row>
    <row r="1198" spans="1:7">
      <c r="A1198" s="199" t="s">
        <v>551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395</v>
      </c>
      <c r="G1198" s="200" t="s">
        <v>689</v>
      </c>
    </row>
    <row r="1199" spans="1:7">
      <c r="A1199" s="199" t="s">
        <v>551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409</v>
      </c>
      <c r="G1199" s="200" t="s">
        <v>689</v>
      </c>
    </row>
    <row r="1200" spans="1:7">
      <c r="A1200" s="199" t="s">
        <v>551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394</v>
      </c>
      <c r="G1200" s="200" t="s">
        <v>689</v>
      </c>
    </row>
    <row r="1201" spans="1:7">
      <c r="A1201" s="199" t="s">
        <v>552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409</v>
      </c>
      <c r="G1201" s="200" t="s">
        <v>689</v>
      </c>
    </row>
    <row r="1202" spans="1:7">
      <c r="A1202" s="199" t="s">
        <v>552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394</v>
      </c>
      <c r="G1202" s="200" t="s">
        <v>689</v>
      </c>
    </row>
    <row r="1203" spans="1:7" hidden="1">
      <c r="A1203" s="199" t="s">
        <v>553</v>
      </c>
      <c r="B1203" s="200">
        <v>4</v>
      </c>
      <c r="C1203" s="200">
        <v>0</v>
      </c>
      <c r="D1203" s="201" t="s">
        <v>438</v>
      </c>
      <c r="E1203" s="201" t="s">
        <v>554</v>
      </c>
      <c r="F1203" s="200" t="s">
        <v>395</v>
      </c>
      <c r="G1203" s="200" t="s">
        <v>689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395</v>
      </c>
      <c r="G1204" s="200" t="s">
        <v>689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394</v>
      </c>
      <c r="G1205" s="200" t="s">
        <v>689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414</v>
      </c>
      <c r="G1206" s="200" t="s">
        <v>689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404</v>
      </c>
      <c r="G1207" s="200" t="s">
        <v>689</v>
      </c>
    </row>
    <row r="1208" spans="1:7" hidden="1">
      <c r="A1208" s="199" t="s">
        <v>713</v>
      </c>
      <c r="B1208" s="200">
        <v>62000</v>
      </c>
      <c r="C1208" s="200">
        <v>0</v>
      </c>
      <c r="D1208" s="201" t="s">
        <v>464</v>
      </c>
      <c r="E1208" s="201" t="s">
        <v>465</v>
      </c>
      <c r="F1208" s="200" t="s">
        <v>395</v>
      </c>
      <c r="G1208" s="200" t="s">
        <v>689</v>
      </c>
    </row>
    <row r="1209" spans="1:7" hidden="1">
      <c r="A1209" s="199" t="s">
        <v>713</v>
      </c>
      <c r="B1209" s="200">
        <v>-117000</v>
      </c>
      <c r="C1209" s="200">
        <v>0</v>
      </c>
      <c r="D1209" s="201" t="s">
        <v>464</v>
      </c>
      <c r="E1209" s="201" t="s">
        <v>465</v>
      </c>
      <c r="F1209" s="200" t="s">
        <v>469</v>
      </c>
      <c r="G1209" s="200" t="s">
        <v>689</v>
      </c>
    </row>
    <row r="1210" spans="1:7" hidden="1">
      <c r="A1210" s="199" t="s">
        <v>713</v>
      </c>
      <c r="B1210" s="200">
        <v>55000</v>
      </c>
      <c r="C1210" s="200">
        <v>0</v>
      </c>
      <c r="D1210" s="201" t="s">
        <v>464</v>
      </c>
      <c r="E1210" s="201" t="s">
        <v>465</v>
      </c>
      <c r="F1210" s="200" t="s">
        <v>470</v>
      </c>
      <c r="G1210" s="200" t="s">
        <v>689</v>
      </c>
    </row>
    <row r="1211" spans="1:7" hidden="1">
      <c r="A1211" s="199" t="s">
        <v>555</v>
      </c>
      <c r="B1211" s="200">
        <v>-81000</v>
      </c>
      <c r="C1211" s="200">
        <v>0</v>
      </c>
      <c r="D1211" s="201" t="s">
        <v>464</v>
      </c>
      <c r="E1211" s="201" t="s">
        <v>465</v>
      </c>
      <c r="F1211" s="200" t="s">
        <v>395</v>
      </c>
      <c r="G1211" s="200" t="s">
        <v>689</v>
      </c>
    </row>
    <row r="1212" spans="1:7" hidden="1">
      <c r="A1212" s="199" t="s">
        <v>555</v>
      </c>
      <c r="B1212" s="200">
        <v>29000</v>
      </c>
      <c r="C1212" s="200">
        <v>0</v>
      </c>
      <c r="D1212" s="201" t="s">
        <v>464</v>
      </c>
      <c r="E1212" s="201" t="s">
        <v>465</v>
      </c>
      <c r="F1212" s="200" t="s">
        <v>414</v>
      </c>
      <c r="G1212" s="200" t="s">
        <v>689</v>
      </c>
    </row>
    <row r="1213" spans="1:7" hidden="1">
      <c r="A1213" s="199" t="s">
        <v>555</v>
      </c>
      <c r="B1213" s="200">
        <v>52000</v>
      </c>
      <c r="C1213" s="200">
        <v>0</v>
      </c>
      <c r="D1213" s="201" t="s">
        <v>464</v>
      </c>
      <c r="E1213" s="201" t="s">
        <v>465</v>
      </c>
      <c r="F1213" s="200" t="s">
        <v>470</v>
      </c>
      <c r="G1213" s="200" t="s">
        <v>689</v>
      </c>
    </row>
    <row r="1214" spans="1:7">
      <c r="A1214" s="199" t="s">
        <v>556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409</v>
      </c>
      <c r="G1214" s="200" t="s">
        <v>689</v>
      </c>
    </row>
    <row r="1215" spans="1:7">
      <c r="A1215" s="199" t="s">
        <v>556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394</v>
      </c>
      <c r="G1215" s="200" t="s">
        <v>689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395</v>
      </c>
      <c r="G1216" s="200" t="s">
        <v>689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414</v>
      </c>
      <c r="G1217" s="200" t="s">
        <v>689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442</v>
      </c>
      <c r="G1218" s="200" t="s">
        <v>689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395</v>
      </c>
      <c r="G1219" s="200" t="s">
        <v>689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409</v>
      </c>
      <c r="G1220" s="200" t="s">
        <v>689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394</v>
      </c>
      <c r="G1221" s="200" t="s">
        <v>689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414</v>
      </c>
      <c r="G1222" s="200" t="s">
        <v>689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404</v>
      </c>
      <c r="G1223" s="200" t="s">
        <v>689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442</v>
      </c>
      <c r="G1224" s="200" t="s">
        <v>689</v>
      </c>
    </row>
    <row r="1225" spans="1:7" hidden="1">
      <c r="A1225" s="199" t="s">
        <v>557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395</v>
      </c>
      <c r="G1225" s="200" t="s">
        <v>689</v>
      </c>
    </row>
    <row r="1226" spans="1:7">
      <c r="A1226" s="199" t="s">
        <v>557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395</v>
      </c>
      <c r="G1226" s="200" t="s">
        <v>689</v>
      </c>
    </row>
    <row r="1227" spans="1:7">
      <c r="A1227" s="199" t="s">
        <v>557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409</v>
      </c>
      <c r="G1227" s="200" t="s">
        <v>689</v>
      </c>
    </row>
    <row r="1228" spans="1:7" hidden="1">
      <c r="A1228" s="199" t="s">
        <v>558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395</v>
      </c>
      <c r="G1228" s="200" t="s">
        <v>689</v>
      </c>
    </row>
    <row r="1229" spans="1:7">
      <c r="A1229" s="199" t="s">
        <v>558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395</v>
      </c>
      <c r="G1229" s="200" t="s">
        <v>689</v>
      </c>
    </row>
    <row r="1230" spans="1:7">
      <c r="A1230" s="199" t="s">
        <v>558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409</v>
      </c>
      <c r="G1230" s="200" t="s">
        <v>689</v>
      </c>
    </row>
    <row r="1231" spans="1:7" hidden="1">
      <c r="A1231" s="199" t="s">
        <v>559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395</v>
      </c>
      <c r="G1231" s="200" t="s">
        <v>689</v>
      </c>
    </row>
    <row r="1232" spans="1:7">
      <c r="A1232" s="199" t="s">
        <v>559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395</v>
      </c>
      <c r="G1232" s="200" t="s">
        <v>689</v>
      </c>
    </row>
    <row r="1233" spans="1:7">
      <c r="A1233" s="199" t="s">
        <v>559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409</v>
      </c>
      <c r="G1233" s="200" t="s">
        <v>689</v>
      </c>
    </row>
    <row r="1234" spans="1:7" hidden="1">
      <c r="A1234" s="199" t="s">
        <v>560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395</v>
      </c>
      <c r="G1234" s="200" t="s">
        <v>689</v>
      </c>
    </row>
    <row r="1235" spans="1:7">
      <c r="A1235" s="199" t="s">
        <v>560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395</v>
      </c>
      <c r="G1235" s="200" t="s">
        <v>689</v>
      </c>
    </row>
    <row r="1236" spans="1:7">
      <c r="A1236" s="199" t="s">
        <v>560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409</v>
      </c>
      <c r="G1236" s="200" t="s">
        <v>689</v>
      </c>
    </row>
    <row r="1237" spans="1:7">
      <c r="A1237" s="199" t="s">
        <v>561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395</v>
      </c>
      <c r="G1237" s="200" t="s">
        <v>689</v>
      </c>
    </row>
    <row r="1238" spans="1:7">
      <c r="A1238" s="199" t="s">
        <v>561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409</v>
      </c>
      <c r="G1238" s="200" t="s">
        <v>689</v>
      </c>
    </row>
    <row r="1239" spans="1:7">
      <c r="A1239" s="199" t="s">
        <v>561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394</v>
      </c>
      <c r="G1239" s="200" t="s">
        <v>689</v>
      </c>
    </row>
    <row r="1240" spans="1:7" hidden="1">
      <c r="A1240" s="199" t="s">
        <v>562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395</v>
      </c>
      <c r="G1240" s="200" t="s">
        <v>689</v>
      </c>
    </row>
    <row r="1241" spans="1:7" hidden="1">
      <c r="A1241" s="199" t="s">
        <v>562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409</v>
      </c>
      <c r="G1241" s="200" t="s">
        <v>689</v>
      </c>
    </row>
    <row r="1242" spans="1:7">
      <c r="A1242" s="199" t="s">
        <v>562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395</v>
      </c>
      <c r="G1242" s="200" t="s">
        <v>689</v>
      </c>
    </row>
    <row r="1243" spans="1:7">
      <c r="A1243" s="199" t="s">
        <v>562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409</v>
      </c>
      <c r="G1243" s="200" t="s">
        <v>689</v>
      </c>
    </row>
    <row r="1244" spans="1:7" hidden="1">
      <c r="A1244" s="199" t="s">
        <v>563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395</v>
      </c>
      <c r="G1244" s="200" t="s">
        <v>689</v>
      </c>
    </row>
    <row r="1245" spans="1:7" hidden="1">
      <c r="A1245" s="199" t="s">
        <v>563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409</v>
      </c>
      <c r="G1245" s="200" t="s">
        <v>689</v>
      </c>
    </row>
    <row r="1246" spans="1:7">
      <c r="A1246" s="199" t="s">
        <v>563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395</v>
      </c>
      <c r="G1246" s="200" t="s">
        <v>689</v>
      </c>
    </row>
    <row r="1247" spans="1:7">
      <c r="A1247" s="199" t="s">
        <v>563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409</v>
      </c>
      <c r="G1247" s="200" t="s">
        <v>689</v>
      </c>
    </row>
    <row r="1248" spans="1:7">
      <c r="A1248" s="199" t="s">
        <v>563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394</v>
      </c>
      <c r="G1248" s="200" t="s">
        <v>689</v>
      </c>
    </row>
    <row r="1249" spans="1:7">
      <c r="A1249" s="199" t="s">
        <v>564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395</v>
      </c>
      <c r="G1249" s="200" t="s">
        <v>689</v>
      </c>
    </row>
    <row r="1250" spans="1:7">
      <c r="A1250" s="199" t="s">
        <v>564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409</v>
      </c>
      <c r="G1250" s="200" t="s">
        <v>689</v>
      </c>
    </row>
    <row r="1251" spans="1:7">
      <c r="A1251" s="199" t="s">
        <v>565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395</v>
      </c>
      <c r="G1251" s="200" t="s">
        <v>689</v>
      </c>
    </row>
    <row r="1252" spans="1:7">
      <c r="A1252" s="199" t="s">
        <v>565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409</v>
      </c>
      <c r="G1252" s="200" t="s">
        <v>689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395</v>
      </c>
      <c r="G1253" s="200" t="s">
        <v>689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446</v>
      </c>
      <c r="G1254" s="200" t="s">
        <v>689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394</v>
      </c>
      <c r="G1255" s="200" t="s">
        <v>689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414</v>
      </c>
      <c r="G1256" s="200" t="s">
        <v>689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404</v>
      </c>
      <c r="G1257" s="200" t="s">
        <v>689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450</v>
      </c>
      <c r="G1258" s="200" t="s">
        <v>689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443</v>
      </c>
      <c r="E1259" s="201" t="s">
        <v>317</v>
      </c>
      <c r="F1259" s="200" t="s">
        <v>395</v>
      </c>
      <c r="G1259" s="200" t="s">
        <v>689</v>
      </c>
    </row>
    <row r="1260" spans="1:7">
      <c r="A1260" s="199" t="s">
        <v>566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395</v>
      </c>
      <c r="G1260" s="200" t="s">
        <v>689</v>
      </c>
    </row>
    <row r="1261" spans="1:7">
      <c r="A1261" s="199" t="s">
        <v>566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394</v>
      </c>
      <c r="G1261" s="200" t="s">
        <v>689</v>
      </c>
    </row>
    <row r="1262" spans="1:7">
      <c r="A1262" s="199" t="s">
        <v>567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395</v>
      </c>
      <c r="G1262" s="200" t="s">
        <v>689</v>
      </c>
    </row>
    <row r="1263" spans="1:7">
      <c r="A1263" s="199" t="s">
        <v>567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409</v>
      </c>
      <c r="G1263" s="200" t="s">
        <v>689</v>
      </c>
    </row>
    <row r="1264" spans="1:7">
      <c r="A1264" s="199" t="s">
        <v>567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394</v>
      </c>
      <c r="G1264" s="200" t="s">
        <v>689</v>
      </c>
    </row>
    <row r="1265" spans="1:7">
      <c r="A1265" s="199" t="s">
        <v>714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395</v>
      </c>
      <c r="G1265" s="200" t="s">
        <v>689</v>
      </c>
    </row>
    <row r="1266" spans="1:7">
      <c r="A1266" s="199" t="s">
        <v>714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409</v>
      </c>
      <c r="G1266" s="200" t="s">
        <v>689</v>
      </c>
    </row>
    <row r="1267" spans="1:7" hidden="1">
      <c r="A1267" s="199" t="s">
        <v>568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395</v>
      </c>
      <c r="G1267" s="200" t="s">
        <v>689</v>
      </c>
    </row>
    <row r="1268" spans="1:7">
      <c r="A1268" s="199" t="s">
        <v>568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395</v>
      </c>
      <c r="G1268" s="200" t="s">
        <v>689</v>
      </c>
    </row>
    <row r="1269" spans="1:7">
      <c r="A1269" s="199" t="s">
        <v>568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394</v>
      </c>
      <c r="G1269" s="200" t="s">
        <v>689</v>
      </c>
    </row>
    <row r="1270" spans="1:7" hidden="1">
      <c r="A1270" s="199" t="s">
        <v>569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395</v>
      </c>
      <c r="G1270" s="200" t="s">
        <v>689</v>
      </c>
    </row>
    <row r="1271" spans="1:7">
      <c r="A1271" s="199" t="s">
        <v>569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395</v>
      </c>
      <c r="G1271" s="200" t="s">
        <v>689</v>
      </c>
    </row>
    <row r="1272" spans="1:7">
      <c r="A1272" s="199" t="s">
        <v>569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394</v>
      </c>
      <c r="G1272" s="200" t="s">
        <v>689</v>
      </c>
    </row>
    <row r="1273" spans="1:7">
      <c r="A1273" s="199" t="s">
        <v>570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446</v>
      </c>
      <c r="G1273" s="200" t="s">
        <v>689</v>
      </c>
    </row>
    <row r="1274" spans="1:7">
      <c r="A1274" s="199" t="s">
        <v>570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394</v>
      </c>
      <c r="G1274" s="200" t="s">
        <v>689</v>
      </c>
    </row>
    <row r="1275" spans="1:7">
      <c r="A1275" s="199" t="s">
        <v>715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395</v>
      </c>
      <c r="G1275" s="200" t="s">
        <v>689</v>
      </c>
    </row>
    <row r="1276" spans="1:7">
      <c r="A1276" s="199" t="s">
        <v>715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450</v>
      </c>
      <c r="G1276" s="200" t="s">
        <v>689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395</v>
      </c>
      <c r="G1277" s="200" t="s">
        <v>689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442</v>
      </c>
      <c r="G1278" s="200" t="s">
        <v>689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395</v>
      </c>
      <c r="G1279" s="200" t="s">
        <v>689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394</v>
      </c>
      <c r="G1280" s="200" t="s">
        <v>689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442</v>
      </c>
      <c r="G1281" s="200" t="s">
        <v>689</v>
      </c>
    </row>
    <row r="1282" spans="1:7">
      <c r="A1282" s="199" t="s">
        <v>573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395</v>
      </c>
      <c r="G1282" s="200" t="s">
        <v>689</v>
      </c>
    </row>
    <row r="1283" spans="1:7">
      <c r="A1283" s="199" t="s">
        <v>573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409</v>
      </c>
      <c r="G1283" s="200" t="s">
        <v>689</v>
      </c>
    </row>
    <row r="1284" spans="1:7">
      <c r="A1284" s="199" t="s">
        <v>574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395</v>
      </c>
      <c r="G1284" s="200" t="s">
        <v>689</v>
      </c>
    </row>
    <row r="1285" spans="1:7">
      <c r="A1285" s="199" t="s">
        <v>574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409</v>
      </c>
      <c r="G1285" s="200" t="s">
        <v>689</v>
      </c>
    </row>
    <row r="1286" spans="1:7">
      <c r="A1286" s="199" t="s">
        <v>716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395</v>
      </c>
      <c r="G1286" s="200" t="s">
        <v>689</v>
      </c>
    </row>
    <row r="1287" spans="1:7">
      <c r="A1287" s="199" t="s">
        <v>716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450</v>
      </c>
      <c r="G1287" s="200" t="s">
        <v>689</v>
      </c>
    </row>
    <row r="1288" spans="1:7" hidden="1">
      <c r="A1288" s="199" t="s">
        <v>576</v>
      </c>
      <c r="B1288" s="200">
        <v>11270</v>
      </c>
      <c r="C1288" s="200">
        <v>0</v>
      </c>
      <c r="D1288" s="201" t="s">
        <v>441</v>
      </c>
      <c r="E1288" s="201" t="s">
        <v>317</v>
      </c>
      <c r="F1288" s="200" t="s">
        <v>395</v>
      </c>
      <c r="G1288" s="200" t="s">
        <v>689</v>
      </c>
    </row>
    <row r="1289" spans="1:7" hidden="1">
      <c r="A1289" s="199" t="s">
        <v>576</v>
      </c>
      <c r="B1289" s="200">
        <v>-5670</v>
      </c>
      <c r="C1289" s="200">
        <v>0</v>
      </c>
      <c r="D1289" s="201" t="s">
        <v>441</v>
      </c>
      <c r="E1289" s="201" t="s">
        <v>317</v>
      </c>
      <c r="F1289" s="200" t="s">
        <v>406</v>
      </c>
      <c r="G1289" s="200" t="s">
        <v>689</v>
      </c>
    </row>
    <row r="1290" spans="1:7" hidden="1">
      <c r="A1290" s="199" t="s">
        <v>576</v>
      </c>
      <c r="B1290" s="200">
        <v>-5600</v>
      </c>
      <c r="C1290" s="200">
        <v>0</v>
      </c>
      <c r="D1290" s="201" t="s">
        <v>441</v>
      </c>
      <c r="E1290" s="201" t="s">
        <v>317</v>
      </c>
      <c r="F1290" s="200" t="s">
        <v>411</v>
      </c>
      <c r="G1290" s="200" t="s">
        <v>689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395</v>
      </c>
      <c r="G1291" s="200" t="s">
        <v>689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398</v>
      </c>
      <c r="G1292" s="200" t="s">
        <v>689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394</v>
      </c>
      <c r="G1293" s="200" t="s">
        <v>689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442</v>
      </c>
      <c r="G1294" s="200" t="s">
        <v>689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412</v>
      </c>
      <c r="G1295" s="200" t="s">
        <v>689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395</v>
      </c>
      <c r="G1296" s="200" t="s">
        <v>689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446</v>
      </c>
      <c r="G1297" s="200" t="s">
        <v>689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398</v>
      </c>
      <c r="G1298" s="200" t="s">
        <v>689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409</v>
      </c>
      <c r="G1299" s="200" t="s">
        <v>689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394</v>
      </c>
      <c r="G1300" s="200" t="s">
        <v>689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408</v>
      </c>
      <c r="G1301" s="200" t="s">
        <v>689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414</v>
      </c>
      <c r="G1302" s="200" t="s">
        <v>689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404</v>
      </c>
      <c r="G1303" s="200" t="s">
        <v>689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442</v>
      </c>
      <c r="G1304" s="200" t="s">
        <v>689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450</v>
      </c>
      <c r="G1305" s="200" t="s">
        <v>689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412</v>
      </c>
      <c r="G1306" s="200" t="s">
        <v>689</v>
      </c>
    </row>
    <row r="1307" spans="1:7" hidden="1">
      <c r="A1307" s="199" t="s">
        <v>577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395</v>
      </c>
      <c r="G1307" s="200" t="s">
        <v>689</v>
      </c>
    </row>
    <row r="1308" spans="1:7" hidden="1">
      <c r="A1308" s="199" t="s">
        <v>577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442</v>
      </c>
      <c r="G1308" s="200" t="s">
        <v>689</v>
      </c>
    </row>
    <row r="1309" spans="1:7">
      <c r="A1309" s="199" t="s">
        <v>577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395</v>
      </c>
      <c r="G1309" s="200" t="s">
        <v>689</v>
      </c>
    </row>
    <row r="1310" spans="1:7">
      <c r="A1310" s="199" t="s">
        <v>577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409</v>
      </c>
      <c r="G1310" s="200" t="s">
        <v>689</v>
      </c>
    </row>
    <row r="1311" spans="1:7">
      <c r="A1311" s="199" t="s">
        <v>577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394</v>
      </c>
      <c r="G1311" s="200" t="s">
        <v>689</v>
      </c>
    </row>
    <row r="1312" spans="1:7">
      <c r="A1312" s="199" t="s">
        <v>577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442</v>
      </c>
      <c r="G1312" s="200" t="s">
        <v>689</v>
      </c>
    </row>
    <row r="1313" spans="1:7">
      <c r="A1313" s="199" t="s">
        <v>578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409</v>
      </c>
      <c r="G1313" s="200" t="s">
        <v>689</v>
      </c>
    </row>
    <row r="1314" spans="1:7">
      <c r="A1314" s="199" t="s">
        <v>578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394</v>
      </c>
      <c r="G1314" s="200" t="s">
        <v>689</v>
      </c>
    </row>
    <row r="1315" spans="1:7">
      <c r="A1315" s="199" t="s">
        <v>579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395</v>
      </c>
      <c r="G1315" s="200" t="s">
        <v>689</v>
      </c>
    </row>
    <row r="1316" spans="1:7">
      <c r="A1316" s="199" t="s">
        <v>579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409</v>
      </c>
      <c r="G1316" s="200" t="s">
        <v>689</v>
      </c>
    </row>
    <row r="1317" spans="1:7">
      <c r="A1317" s="199" t="s">
        <v>579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394</v>
      </c>
      <c r="G1317" s="200" t="s">
        <v>689</v>
      </c>
    </row>
    <row r="1318" spans="1:7">
      <c r="A1318" s="199" t="s">
        <v>580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409</v>
      </c>
      <c r="G1318" s="200" t="s">
        <v>689</v>
      </c>
    </row>
    <row r="1319" spans="1:7">
      <c r="A1319" s="199" t="s">
        <v>580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394</v>
      </c>
      <c r="G1319" s="200" t="s">
        <v>689</v>
      </c>
    </row>
    <row r="1320" spans="1:7" hidden="1">
      <c r="A1320" s="199" t="s">
        <v>581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395</v>
      </c>
      <c r="G1320" s="200" t="s">
        <v>689</v>
      </c>
    </row>
    <row r="1321" spans="1:7">
      <c r="A1321" s="199" t="s">
        <v>581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395</v>
      </c>
      <c r="G1321" s="200" t="s">
        <v>689</v>
      </c>
    </row>
    <row r="1322" spans="1:7">
      <c r="A1322" s="199" t="s">
        <v>581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409</v>
      </c>
      <c r="G1322" s="200" t="s">
        <v>689</v>
      </c>
    </row>
    <row r="1323" spans="1:7">
      <c r="A1323" s="199" t="s">
        <v>581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394</v>
      </c>
      <c r="G1323" s="200" t="s">
        <v>689</v>
      </c>
    </row>
    <row r="1324" spans="1:7">
      <c r="A1324" s="199" t="s">
        <v>582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395</v>
      </c>
      <c r="G1324" s="200" t="s">
        <v>689</v>
      </c>
    </row>
    <row r="1325" spans="1:7">
      <c r="A1325" s="199" t="s">
        <v>582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409</v>
      </c>
      <c r="G1325" s="200" t="s">
        <v>689</v>
      </c>
    </row>
    <row r="1326" spans="1:7" hidden="1">
      <c r="A1326" s="199" t="s">
        <v>583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395</v>
      </c>
      <c r="G1326" s="200" t="s">
        <v>689</v>
      </c>
    </row>
    <row r="1327" spans="1:7">
      <c r="A1327" s="199" t="s">
        <v>583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395</v>
      </c>
      <c r="G1327" s="200" t="s">
        <v>689</v>
      </c>
    </row>
    <row r="1328" spans="1:7">
      <c r="A1328" s="199" t="s">
        <v>583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409</v>
      </c>
      <c r="G1328" s="200" t="s">
        <v>689</v>
      </c>
    </row>
    <row r="1329" spans="1:7">
      <c r="A1329" s="199" t="s">
        <v>583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394</v>
      </c>
      <c r="G1329" s="200" t="s">
        <v>689</v>
      </c>
    </row>
    <row r="1330" spans="1:7">
      <c r="A1330" s="199" t="s">
        <v>584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395</v>
      </c>
      <c r="G1330" s="200" t="s">
        <v>689</v>
      </c>
    </row>
    <row r="1331" spans="1:7">
      <c r="A1331" s="199" t="s">
        <v>584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409</v>
      </c>
      <c r="G1331" s="200" t="s">
        <v>689</v>
      </c>
    </row>
    <row r="1332" spans="1:7" hidden="1">
      <c r="A1332" s="199" t="s">
        <v>585</v>
      </c>
      <c r="B1332" s="200">
        <v>15535</v>
      </c>
      <c r="C1332" s="200">
        <v>0</v>
      </c>
      <c r="D1332" s="201" t="s">
        <v>441</v>
      </c>
      <c r="E1332" s="201" t="s">
        <v>317</v>
      </c>
      <c r="F1332" s="200" t="s">
        <v>395</v>
      </c>
      <c r="G1332" s="200" t="s">
        <v>689</v>
      </c>
    </row>
    <row r="1333" spans="1:7" hidden="1">
      <c r="A1333" s="199" t="s">
        <v>585</v>
      </c>
      <c r="B1333" s="200">
        <v>-4755</v>
      </c>
      <c r="C1333" s="200">
        <v>0</v>
      </c>
      <c r="D1333" s="201" t="s">
        <v>441</v>
      </c>
      <c r="E1333" s="201" t="s">
        <v>317</v>
      </c>
      <c r="F1333" s="200" t="s">
        <v>408</v>
      </c>
      <c r="G1333" s="200" t="s">
        <v>689</v>
      </c>
    </row>
    <row r="1334" spans="1:7" hidden="1">
      <c r="A1334" s="199" t="s">
        <v>585</v>
      </c>
      <c r="B1334" s="200">
        <v>-13934</v>
      </c>
      <c r="C1334" s="200">
        <v>0</v>
      </c>
      <c r="D1334" s="201" t="s">
        <v>475</v>
      </c>
      <c r="E1334" s="201" t="s">
        <v>317</v>
      </c>
      <c r="F1334" s="200" t="s">
        <v>395</v>
      </c>
      <c r="G1334" s="200" t="s">
        <v>689</v>
      </c>
    </row>
    <row r="1335" spans="1:7" hidden="1">
      <c r="A1335" s="199" t="s">
        <v>586</v>
      </c>
      <c r="B1335" s="200">
        <v>-12977</v>
      </c>
      <c r="C1335" s="200">
        <v>0</v>
      </c>
      <c r="D1335" s="201" t="s">
        <v>441</v>
      </c>
      <c r="E1335" s="201" t="s">
        <v>317</v>
      </c>
      <c r="F1335" s="200" t="s">
        <v>408</v>
      </c>
      <c r="G1335" s="200" t="s">
        <v>689</v>
      </c>
    </row>
    <row r="1336" spans="1:7" hidden="1">
      <c r="A1336" s="199" t="s">
        <v>586</v>
      </c>
      <c r="B1336" s="200">
        <v>-1976</v>
      </c>
      <c r="C1336" s="200">
        <v>0</v>
      </c>
      <c r="D1336" s="201" t="s">
        <v>546</v>
      </c>
      <c r="E1336" s="201" t="s">
        <v>317</v>
      </c>
      <c r="F1336" s="200" t="s">
        <v>408</v>
      </c>
      <c r="G1336" s="200" t="s">
        <v>689</v>
      </c>
    </row>
    <row r="1337" spans="1:7" hidden="1">
      <c r="A1337" s="199" t="s">
        <v>587</v>
      </c>
      <c r="B1337" s="200">
        <v>-45436</v>
      </c>
      <c r="C1337" s="200">
        <v>0</v>
      </c>
      <c r="D1337" s="201" t="s">
        <v>441</v>
      </c>
      <c r="E1337" s="201" t="s">
        <v>39</v>
      </c>
      <c r="F1337" s="200" t="s">
        <v>395</v>
      </c>
      <c r="G1337" s="200" t="s">
        <v>689</v>
      </c>
    </row>
    <row r="1338" spans="1:7" hidden="1">
      <c r="A1338" s="199" t="s">
        <v>587</v>
      </c>
      <c r="B1338" s="200">
        <v>-5876</v>
      </c>
      <c r="C1338" s="200">
        <v>0</v>
      </c>
      <c r="D1338" s="201" t="s">
        <v>443</v>
      </c>
      <c r="E1338" s="201" t="s">
        <v>39</v>
      </c>
      <c r="F1338" s="200" t="s">
        <v>395</v>
      </c>
      <c r="G1338" s="200" t="s">
        <v>689</v>
      </c>
    </row>
    <row r="1339" spans="1:7">
      <c r="A1339" s="199" t="s">
        <v>717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395</v>
      </c>
      <c r="G1339" s="200" t="s">
        <v>689</v>
      </c>
    </row>
    <row r="1340" spans="1:7">
      <c r="A1340" s="199" t="s">
        <v>717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450</v>
      </c>
      <c r="G1340" s="200" t="s">
        <v>689</v>
      </c>
    </row>
    <row r="1341" spans="1:7" hidden="1">
      <c r="A1341" s="199" t="s">
        <v>594</v>
      </c>
      <c r="B1341" s="200">
        <v>-27</v>
      </c>
      <c r="C1341" s="200">
        <v>0</v>
      </c>
      <c r="D1341" s="201" t="s">
        <v>438</v>
      </c>
      <c r="E1341" s="201" t="s">
        <v>595</v>
      </c>
      <c r="F1341" s="200" t="s">
        <v>395</v>
      </c>
      <c r="G1341" s="200" t="s">
        <v>689</v>
      </c>
    </row>
    <row r="1342" spans="1:7" hidden="1">
      <c r="A1342" s="199" t="s">
        <v>594</v>
      </c>
      <c r="B1342" s="200">
        <v>27</v>
      </c>
      <c r="C1342" s="200">
        <v>0</v>
      </c>
      <c r="D1342" s="201" t="s">
        <v>438</v>
      </c>
      <c r="E1342" s="201" t="s">
        <v>595</v>
      </c>
      <c r="F1342" s="200" t="s">
        <v>410</v>
      </c>
      <c r="G1342" s="200" t="s">
        <v>689</v>
      </c>
    </row>
    <row r="1343" spans="1:7" hidden="1">
      <c r="A1343" s="199" t="s">
        <v>596</v>
      </c>
      <c r="B1343" s="200">
        <v>27</v>
      </c>
      <c r="C1343" s="200">
        <v>0</v>
      </c>
      <c r="D1343" s="201" t="s">
        <v>438</v>
      </c>
      <c r="E1343" s="201" t="s">
        <v>595</v>
      </c>
      <c r="F1343" s="200" t="s">
        <v>395</v>
      </c>
      <c r="G1343" s="200" t="s">
        <v>689</v>
      </c>
    </row>
    <row r="1344" spans="1:7" hidden="1">
      <c r="A1344" s="199" t="s">
        <v>596</v>
      </c>
      <c r="B1344" s="200">
        <v>-27</v>
      </c>
      <c r="C1344" s="200">
        <v>0</v>
      </c>
      <c r="D1344" s="201" t="s">
        <v>438</v>
      </c>
      <c r="E1344" s="201" t="s">
        <v>595</v>
      </c>
      <c r="F1344" s="200" t="s">
        <v>410</v>
      </c>
      <c r="G1344" s="200" t="s">
        <v>689</v>
      </c>
    </row>
    <row r="1345" spans="1:7" hidden="1">
      <c r="A1345" s="199" t="s">
        <v>597</v>
      </c>
      <c r="B1345" s="200">
        <v>147</v>
      </c>
      <c r="C1345" s="200">
        <v>0</v>
      </c>
      <c r="D1345" s="201" t="s">
        <v>443</v>
      </c>
      <c r="E1345" s="201" t="s">
        <v>598</v>
      </c>
      <c r="F1345" s="200" t="s">
        <v>395</v>
      </c>
      <c r="G1345" s="200" t="s">
        <v>689</v>
      </c>
    </row>
    <row r="1346" spans="1:7" hidden="1">
      <c r="A1346" s="199" t="s">
        <v>599</v>
      </c>
      <c r="B1346" s="200">
        <v>-940</v>
      </c>
      <c r="C1346" s="200">
        <v>0</v>
      </c>
      <c r="D1346" s="201" t="s">
        <v>441</v>
      </c>
      <c r="E1346" s="201" t="s">
        <v>317</v>
      </c>
      <c r="F1346" s="200" t="s">
        <v>395</v>
      </c>
      <c r="G1346" s="200" t="s">
        <v>689</v>
      </c>
    </row>
    <row r="1347" spans="1:7" hidden="1">
      <c r="A1347" s="199" t="s">
        <v>599</v>
      </c>
      <c r="B1347" s="200">
        <v>-673</v>
      </c>
      <c r="C1347" s="200">
        <v>0</v>
      </c>
      <c r="D1347" s="201" t="s">
        <v>443</v>
      </c>
      <c r="E1347" s="201" t="s">
        <v>317</v>
      </c>
      <c r="F1347" s="200" t="s">
        <v>395</v>
      </c>
      <c r="G1347" s="200" t="s">
        <v>689</v>
      </c>
    </row>
    <row r="1348" spans="1:7" hidden="1">
      <c r="A1348" s="199" t="s">
        <v>718</v>
      </c>
      <c r="B1348" s="200">
        <v>-28400</v>
      </c>
      <c r="C1348" s="200">
        <v>0</v>
      </c>
      <c r="D1348" s="201" t="s">
        <v>443</v>
      </c>
      <c r="E1348" s="201" t="s">
        <v>693</v>
      </c>
      <c r="F1348" s="200" t="s">
        <v>410</v>
      </c>
      <c r="G1348" s="200" t="s">
        <v>689</v>
      </c>
    </row>
    <row r="1349" spans="1:7" hidden="1">
      <c r="A1349" s="199" t="s">
        <v>719</v>
      </c>
      <c r="B1349" s="200">
        <v>-157500</v>
      </c>
      <c r="C1349" s="200">
        <v>0</v>
      </c>
      <c r="D1349" s="201" t="s">
        <v>441</v>
      </c>
      <c r="E1349" s="201" t="s">
        <v>693</v>
      </c>
      <c r="F1349" s="200" t="s">
        <v>410</v>
      </c>
      <c r="G1349" s="200" t="s">
        <v>689</v>
      </c>
    </row>
    <row r="1350" spans="1:7" hidden="1">
      <c r="A1350" s="199" t="s">
        <v>720</v>
      </c>
      <c r="B1350" s="200">
        <v>157500</v>
      </c>
      <c r="C1350" s="200">
        <v>0</v>
      </c>
      <c r="D1350" s="201" t="s">
        <v>441</v>
      </c>
      <c r="E1350" s="201" t="s">
        <v>693</v>
      </c>
      <c r="F1350" s="200" t="s">
        <v>410</v>
      </c>
      <c r="G1350" s="200" t="s">
        <v>689</v>
      </c>
    </row>
    <row r="1351" spans="1:7" hidden="1">
      <c r="A1351" s="199" t="s">
        <v>721</v>
      </c>
      <c r="B1351" s="200">
        <v>-28400</v>
      </c>
      <c r="C1351" s="200">
        <v>0</v>
      </c>
      <c r="D1351" s="201" t="s">
        <v>443</v>
      </c>
      <c r="E1351" s="201" t="s">
        <v>693</v>
      </c>
      <c r="F1351" s="200" t="s">
        <v>410</v>
      </c>
      <c r="G1351" s="200" t="s">
        <v>689</v>
      </c>
    </row>
    <row r="1352" spans="1:7" hidden="1">
      <c r="A1352" s="199" t="s">
        <v>722</v>
      </c>
      <c r="B1352" s="200">
        <v>28400</v>
      </c>
      <c r="C1352" s="200">
        <v>0</v>
      </c>
      <c r="D1352" s="201" t="s">
        <v>443</v>
      </c>
      <c r="E1352" s="201" t="s">
        <v>693</v>
      </c>
      <c r="F1352" s="200" t="s">
        <v>410</v>
      </c>
      <c r="G1352" s="200" t="s">
        <v>689</v>
      </c>
    </row>
    <row r="1353" spans="1:7">
      <c r="A1353" s="199" t="s">
        <v>600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395</v>
      </c>
      <c r="G1353" s="200" t="s">
        <v>689</v>
      </c>
    </row>
    <row r="1354" spans="1:7">
      <c r="A1354" s="199" t="s">
        <v>600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394</v>
      </c>
      <c r="G1354" s="200" t="s">
        <v>689</v>
      </c>
    </row>
    <row r="1355" spans="1:7">
      <c r="A1355" s="199" t="s">
        <v>600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404</v>
      </c>
      <c r="G1355" s="200" t="s">
        <v>689</v>
      </c>
    </row>
    <row r="1356" spans="1:7">
      <c r="A1356" s="199" t="s">
        <v>601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409</v>
      </c>
      <c r="G1356" s="200" t="s">
        <v>689</v>
      </c>
    </row>
    <row r="1357" spans="1:7">
      <c r="A1357" s="199" t="s">
        <v>601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394</v>
      </c>
      <c r="G1357" s="200" t="s">
        <v>689</v>
      </c>
    </row>
    <row r="1358" spans="1:7">
      <c r="A1358" s="199" t="s">
        <v>602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409</v>
      </c>
      <c r="G1358" s="200" t="s">
        <v>689</v>
      </c>
    </row>
    <row r="1359" spans="1:7">
      <c r="A1359" s="199" t="s">
        <v>602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394</v>
      </c>
      <c r="G1359" s="200" t="s">
        <v>689</v>
      </c>
    </row>
    <row r="1360" spans="1:7">
      <c r="A1360" s="199" t="s">
        <v>603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395</v>
      </c>
      <c r="G1360" s="200" t="s">
        <v>689</v>
      </c>
    </row>
    <row r="1361" spans="1:7">
      <c r="A1361" s="199" t="s">
        <v>603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394</v>
      </c>
      <c r="G1361" s="200" t="s">
        <v>689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395</v>
      </c>
      <c r="G1362" s="200" t="s">
        <v>689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394</v>
      </c>
      <c r="G1363" s="200" t="s">
        <v>689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442</v>
      </c>
      <c r="G1364" s="200" t="s">
        <v>689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395</v>
      </c>
      <c r="G1365" s="200" t="s">
        <v>689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446</v>
      </c>
      <c r="G1366" s="200" t="s">
        <v>689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394</v>
      </c>
      <c r="G1367" s="200" t="s">
        <v>689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414</v>
      </c>
      <c r="G1368" s="200" t="s">
        <v>689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404</v>
      </c>
      <c r="G1369" s="200" t="s">
        <v>689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442</v>
      </c>
      <c r="G1370" s="200" t="s">
        <v>689</v>
      </c>
    </row>
    <row r="1371" spans="1:7" hidden="1">
      <c r="A1371" s="199" t="s">
        <v>604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395</v>
      </c>
      <c r="G1371" s="200" t="s">
        <v>689</v>
      </c>
    </row>
    <row r="1372" spans="1:7">
      <c r="A1372" s="199" t="s">
        <v>604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395</v>
      </c>
      <c r="G1372" s="200" t="s">
        <v>689</v>
      </c>
    </row>
    <row r="1373" spans="1:7">
      <c r="A1373" s="199" t="s">
        <v>604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409</v>
      </c>
      <c r="G1373" s="200" t="s">
        <v>689</v>
      </c>
    </row>
    <row r="1374" spans="1:7" hidden="1">
      <c r="A1374" s="199" t="s">
        <v>605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395</v>
      </c>
      <c r="G1374" s="200" t="s">
        <v>689</v>
      </c>
    </row>
    <row r="1375" spans="1:7">
      <c r="A1375" s="199" t="s">
        <v>605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395</v>
      </c>
      <c r="G1375" s="200" t="s">
        <v>689</v>
      </c>
    </row>
    <row r="1376" spans="1:7">
      <c r="A1376" s="199" t="s">
        <v>606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409</v>
      </c>
      <c r="G1376" s="200" t="s">
        <v>689</v>
      </c>
    </row>
    <row r="1377" spans="1:7">
      <c r="A1377" s="199" t="s">
        <v>606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394</v>
      </c>
      <c r="G1377" s="200" t="s">
        <v>689</v>
      </c>
    </row>
    <row r="1378" spans="1:7">
      <c r="A1378" s="199" t="s">
        <v>607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409</v>
      </c>
      <c r="G1378" s="200" t="s">
        <v>689</v>
      </c>
    </row>
    <row r="1379" spans="1:7">
      <c r="A1379" s="199" t="s">
        <v>607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394</v>
      </c>
      <c r="G1379" s="200" t="s">
        <v>689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395</v>
      </c>
      <c r="G1380" s="200" t="s">
        <v>689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414</v>
      </c>
      <c r="G1381" s="200" t="s">
        <v>689</v>
      </c>
    </row>
    <row r="1382" spans="1:7" hidden="1">
      <c r="A1382" s="199" t="s">
        <v>609</v>
      </c>
      <c r="B1382" s="200">
        <v>-17823</v>
      </c>
      <c r="C1382" s="200">
        <v>0</v>
      </c>
      <c r="D1382" s="201" t="s">
        <v>441</v>
      </c>
      <c r="E1382" s="201" t="s">
        <v>610</v>
      </c>
      <c r="F1382" s="200" t="s">
        <v>395</v>
      </c>
      <c r="G1382" s="200" t="s">
        <v>689</v>
      </c>
    </row>
    <row r="1383" spans="1:7" hidden="1">
      <c r="A1383" s="199" t="s">
        <v>611</v>
      </c>
      <c r="B1383" s="200">
        <v>-3570</v>
      </c>
      <c r="C1383" s="200">
        <v>0</v>
      </c>
      <c r="D1383" s="201" t="s">
        <v>441</v>
      </c>
      <c r="E1383" s="201" t="s">
        <v>39</v>
      </c>
      <c r="F1383" s="200" t="s">
        <v>395</v>
      </c>
      <c r="G1383" s="200" t="s">
        <v>689</v>
      </c>
    </row>
    <row r="1384" spans="1:7" hidden="1">
      <c r="A1384" s="199" t="s">
        <v>611</v>
      </c>
      <c r="B1384" s="200">
        <v>-1570</v>
      </c>
      <c r="C1384" s="200">
        <v>0</v>
      </c>
      <c r="D1384" s="201" t="s">
        <v>441</v>
      </c>
      <c r="E1384" s="201" t="s">
        <v>39</v>
      </c>
      <c r="F1384" s="200" t="s">
        <v>408</v>
      </c>
      <c r="G1384" s="200" t="s">
        <v>689</v>
      </c>
    </row>
    <row r="1385" spans="1:7" hidden="1">
      <c r="A1385" s="199" t="s">
        <v>611</v>
      </c>
      <c r="B1385" s="200">
        <v>5140</v>
      </c>
      <c r="C1385" s="200">
        <v>0</v>
      </c>
      <c r="D1385" s="201" t="s">
        <v>441</v>
      </c>
      <c r="E1385" s="201" t="s">
        <v>39</v>
      </c>
      <c r="F1385" s="200" t="s">
        <v>442</v>
      </c>
      <c r="G1385" s="200" t="s">
        <v>689</v>
      </c>
    </row>
    <row r="1386" spans="1:7" hidden="1">
      <c r="A1386" s="199" t="s">
        <v>611</v>
      </c>
      <c r="B1386" s="200">
        <v>5140</v>
      </c>
      <c r="C1386" s="200">
        <v>0</v>
      </c>
      <c r="D1386" s="201" t="s">
        <v>438</v>
      </c>
      <c r="E1386" s="201" t="s">
        <v>39</v>
      </c>
      <c r="F1386" s="200" t="s">
        <v>395</v>
      </c>
      <c r="G1386" s="200" t="s">
        <v>689</v>
      </c>
    </row>
    <row r="1387" spans="1:7" hidden="1">
      <c r="A1387" s="199" t="s">
        <v>611</v>
      </c>
      <c r="B1387" s="200">
        <v>-5140</v>
      </c>
      <c r="C1387" s="200">
        <v>0</v>
      </c>
      <c r="D1387" s="201" t="s">
        <v>438</v>
      </c>
      <c r="E1387" s="201" t="s">
        <v>39</v>
      </c>
      <c r="F1387" s="200" t="s">
        <v>442</v>
      </c>
      <c r="G1387" s="200" t="s">
        <v>689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441</v>
      </c>
      <c r="E1388" s="201" t="s">
        <v>320</v>
      </c>
      <c r="F1388" s="200" t="s">
        <v>395</v>
      </c>
      <c r="G1388" s="200" t="s">
        <v>689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441</v>
      </c>
      <c r="E1389" s="201" t="s">
        <v>320</v>
      </c>
      <c r="F1389" s="200" t="s">
        <v>442</v>
      </c>
      <c r="G1389" s="200" t="s">
        <v>689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438</v>
      </c>
      <c r="E1390" s="201" t="s">
        <v>320</v>
      </c>
      <c r="F1390" s="200" t="s">
        <v>395</v>
      </c>
      <c r="G1390" s="200" t="s">
        <v>689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438</v>
      </c>
      <c r="E1391" s="201" t="s">
        <v>320</v>
      </c>
      <c r="F1391" s="200" t="s">
        <v>442</v>
      </c>
      <c r="G1391" s="200" t="s">
        <v>689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395</v>
      </c>
      <c r="G1392" s="200" t="s">
        <v>689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446</v>
      </c>
      <c r="G1393" s="200" t="s">
        <v>689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394</v>
      </c>
      <c r="G1394" s="200" t="s">
        <v>689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408</v>
      </c>
      <c r="G1395" s="200" t="s">
        <v>689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404</v>
      </c>
      <c r="G1396" s="200" t="s">
        <v>689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442</v>
      </c>
      <c r="G1397" s="200" t="s">
        <v>689</v>
      </c>
    </row>
    <row r="1398" spans="1:7" hidden="1">
      <c r="A1398" s="199" t="s">
        <v>614</v>
      </c>
      <c r="B1398" s="200">
        <v>2</v>
      </c>
      <c r="C1398" s="200">
        <v>0</v>
      </c>
      <c r="D1398" s="201" t="s">
        <v>438</v>
      </c>
      <c r="E1398" s="201" t="s">
        <v>615</v>
      </c>
      <c r="F1398" s="200" t="s">
        <v>395</v>
      </c>
      <c r="G1398" s="200" t="s">
        <v>689</v>
      </c>
    </row>
    <row r="1399" spans="1:7" hidden="1">
      <c r="A1399" s="199" t="s">
        <v>614</v>
      </c>
      <c r="B1399" s="200">
        <v>1</v>
      </c>
      <c r="C1399" s="200">
        <v>0</v>
      </c>
      <c r="D1399" s="201" t="s">
        <v>438</v>
      </c>
      <c r="E1399" s="201" t="s">
        <v>615</v>
      </c>
      <c r="F1399" s="200" t="s">
        <v>410</v>
      </c>
      <c r="G1399" s="200" t="s">
        <v>689</v>
      </c>
    </row>
    <row r="1400" spans="1:7" hidden="1">
      <c r="A1400" s="199" t="s">
        <v>614</v>
      </c>
      <c r="B1400" s="200">
        <v>-3</v>
      </c>
      <c r="C1400" s="200">
        <v>0</v>
      </c>
      <c r="D1400" s="201" t="s">
        <v>438</v>
      </c>
      <c r="E1400" s="201" t="s">
        <v>615</v>
      </c>
      <c r="F1400" s="200" t="s">
        <v>397</v>
      </c>
      <c r="G1400" s="200" t="s">
        <v>689</v>
      </c>
    </row>
    <row r="1401" spans="1:7" hidden="1">
      <c r="A1401" s="199" t="s">
        <v>616</v>
      </c>
      <c r="B1401" s="200">
        <v>26</v>
      </c>
      <c r="C1401" s="200">
        <v>0</v>
      </c>
      <c r="D1401" s="201" t="s">
        <v>464</v>
      </c>
      <c r="E1401" s="201" t="s">
        <v>617</v>
      </c>
      <c r="F1401" s="200" t="s">
        <v>618</v>
      </c>
      <c r="G1401" s="200" t="s">
        <v>689</v>
      </c>
    </row>
    <row r="1402" spans="1:7" hidden="1">
      <c r="A1402" s="199" t="s">
        <v>621</v>
      </c>
      <c r="B1402" s="200">
        <v>-33</v>
      </c>
      <c r="C1402" s="200">
        <v>0</v>
      </c>
      <c r="D1402" s="201" t="s">
        <v>441</v>
      </c>
      <c r="E1402" s="201" t="s">
        <v>617</v>
      </c>
      <c r="F1402" s="200" t="s">
        <v>395</v>
      </c>
      <c r="G1402" s="200" t="s">
        <v>689</v>
      </c>
    </row>
    <row r="1403" spans="1:7" hidden="1">
      <c r="A1403" s="199" t="s">
        <v>621</v>
      </c>
      <c r="B1403" s="200">
        <v>33</v>
      </c>
      <c r="C1403" s="200">
        <v>0</v>
      </c>
      <c r="D1403" s="201" t="s">
        <v>441</v>
      </c>
      <c r="E1403" s="201" t="s">
        <v>617</v>
      </c>
      <c r="F1403" s="200" t="s">
        <v>618</v>
      </c>
      <c r="G1403" s="200" t="s">
        <v>689</v>
      </c>
    </row>
    <row r="1404" spans="1:7" hidden="1">
      <c r="A1404" s="199" t="s">
        <v>622</v>
      </c>
      <c r="B1404" s="200">
        <v>284607.35890242999</v>
      </c>
      <c r="C1404" s="200">
        <v>0</v>
      </c>
      <c r="D1404" s="201" t="s">
        <v>441</v>
      </c>
      <c r="E1404" s="201" t="s">
        <v>623</v>
      </c>
      <c r="F1404" s="200" t="s">
        <v>395</v>
      </c>
      <c r="G1404" s="200" t="s">
        <v>689</v>
      </c>
    </row>
    <row r="1405" spans="1:7" hidden="1">
      <c r="A1405" s="199" t="s">
        <v>622</v>
      </c>
      <c r="B1405" s="200">
        <v>23800</v>
      </c>
      <c r="C1405" s="200">
        <v>0</v>
      </c>
      <c r="D1405" s="201" t="s">
        <v>443</v>
      </c>
      <c r="E1405" s="201" t="s">
        <v>623</v>
      </c>
      <c r="F1405" s="200" t="s">
        <v>395</v>
      </c>
      <c r="G1405" s="200" t="s">
        <v>689</v>
      </c>
    </row>
    <row r="1406" spans="1:7" hidden="1">
      <c r="A1406" s="199" t="s">
        <v>393</v>
      </c>
      <c r="B1406" s="200">
        <v>194</v>
      </c>
      <c r="C1406" s="200">
        <v>0</v>
      </c>
      <c r="D1406" s="201" t="s">
        <v>283</v>
      </c>
      <c r="E1406" s="201" t="s">
        <v>518</v>
      </c>
      <c r="F1406" s="200" t="s">
        <v>395</v>
      </c>
      <c r="G1406" s="200" t="s">
        <v>689</v>
      </c>
    </row>
    <row r="1407" spans="1:7">
      <c r="A1407" s="199" t="s">
        <v>393</v>
      </c>
      <c r="B1407" s="200">
        <v>139</v>
      </c>
      <c r="C1407" s="200">
        <v>0</v>
      </c>
      <c r="D1407" s="201" t="s">
        <v>282</v>
      </c>
      <c r="E1407" s="201" t="s">
        <v>518</v>
      </c>
      <c r="F1407" s="200" t="s">
        <v>395</v>
      </c>
      <c r="G1407" s="200" t="s">
        <v>689</v>
      </c>
    </row>
    <row r="1408" spans="1:7">
      <c r="A1408" s="199" t="s">
        <v>393</v>
      </c>
      <c r="B1408" s="200">
        <v>54</v>
      </c>
      <c r="C1408" s="200">
        <v>0</v>
      </c>
      <c r="D1408" s="201" t="s">
        <v>282</v>
      </c>
      <c r="E1408" s="201" t="s">
        <v>518</v>
      </c>
      <c r="F1408" s="200" t="s">
        <v>394</v>
      </c>
      <c r="G1408" s="200" t="s">
        <v>689</v>
      </c>
    </row>
    <row r="1409" spans="1:7">
      <c r="A1409" s="199" t="s">
        <v>625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395</v>
      </c>
      <c r="G1409" s="200" t="s">
        <v>689</v>
      </c>
    </row>
    <row r="1410" spans="1:7">
      <c r="A1410" s="199" t="s">
        <v>625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446</v>
      </c>
      <c r="G1410" s="200" t="s">
        <v>689</v>
      </c>
    </row>
    <row r="1411" spans="1:7">
      <c r="A1411" s="199" t="s">
        <v>625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394</v>
      </c>
      <c r="G1411" s="200" t="s">
        <v>689</v>
      </c>
    </row>
    <row r="1412" spans="1:7" hidden="1">
      <c r="A1412" s="199" t="s">
        <v>723</v>
      </c>
      <c r="B1412" s="200">
        <v>-224000</v>
      </c>
      <c r="C1412" s="200">
        <v>0</v>
      </c>
      <c r="D1412" s="201" t="s">
        <v>441</v>
      </c>
      <c r="E1412" s="201" t="s">
        <v>693</v>
      </c>
      <c r="F1412" s="200" t="s">
        <v>410</v>
      </c>
      <c r="G1412" s="200" t="s">
        <v>689</v>
      </c>
    </row>
    <row r="1413" spans="1:7" hidden="1">
      <c r="A1413" s="199" t="s">
        <v>724</v>
      </c>
      <c r="B1413" s="200">
        <v>-224000</v>
      </c>
      <c r="C1413" s="200">
        <v>0</v>
      </c>
      <c r="D1413" s="201" t="s">
        <v>441</v>
      </c>
      <c r="E1413" s="201" t="s">
        <v>693</v>
      </c>
      <c r="F1413" s="200" t="s">
        <v>410</v>
      </c>
      <c r="G1413" s="200" t="s">
        <v>689</v>
      </c>
    </row>
    <row r="1414" spans="1:7" hidden="1">
      <c r="A1414" s="199" t="s">
        <v>725</v>
      </c>
      <c r="B1414" s="200">
        <v>224000</v>
      </c>
      <c r="C1414" s="200">
        <v>0</v>
      </c>
      <c r="D1414" s="201" t="s">
        <v>441</v>
      </c>
      <c r="E1414" s="201" t="s">
        <v>693</v>
      </c>
      <c r="F1414" s="200" t="s">
        <v>410</v>
      </c>
      <c r="G1414" s="200" t="s">
        <v>689</v>
      </c>
    </row>
    <row r="1415" spans="1:7" hidden="1">
      <c r="A1415" s="199" t="s">
        <v>726</v>
      </c>
      <c r="B1415" s="200">
        <v>-157000</v>
      </c>
      <c r="C1415" s="200">
        <v>0</v>
      </c>
      <c r="D1415" s="201" t="s">
        <v>441</v>
      </c>
      <c r="E1415" s="201" t="s">
        <v>693</v>
      </c>
      <c r="F1415" s="200" t="s">
        <v>410</v>
      </c>
      <c r="G1415" s="200" t="s">
        <v>689</v>
      </c>
    </row>
    <row r="1416" spans="1:7" hidden="1">
      <c r="A1416" s="199" t="s">
        <v>726</v>
      </c>
      <c r="B1416" s="200">
        <v>-56000</v>
      </c>
      <c r="C1416" s="200">
        <v>0</v>
      </c>
      <c r="D1416" s="201" t="s">
        <v>443</v>
      </c>
      <c r="E1416" s="201" t="s">
        <v>693</v>
      </c>
      <c r="F1416" s="200" t="s">
        <v>410</v>
      </c>
      <c r="G1416" s="200" t="s">
        <v>689</v>
      </c>
    </row>
    <row r="1417" spans="1:7" hidden="1">
      <c r="A1417" s="199" t="s">
        <v>727</v>
      </c>
      <c r="B1417" s="200">
        <v>-157000</v>
      </c>
      <c r="C1417" s="200">
        <v>0</v>
      </c>
      <c r="D1417" s="201" t="s">
        <v>441</v>
      </c>
      <c r="E1417" s="201" t="s">
        <v>693</v>
      </c>
      <c r="F1417" s="200" t="s">
        <v>410</v>
      </c>
      <c r="G1417" s="200" t="s">
        <v>689</v>
      </c>
    </row>
    <row r="1418" spans="1:7" hidden="1">
      <c r="A1418" s="199" t="s">
        <v>727</v>
      </c>
      <c r="B1418" s="200">
        <v>-56000</v>
      </c>
      <c r="C1418" s="200">
        <v>0</v>
      </c>
      <c r="D1418" s="201" t="s">
        <v>443</v>
      </c>
      <c r="E1418" s="201" t="s">
        <v>693</v>
      </c>
      <c r="F1418" s="200" t="s">
        <v>410</v>
      </c>
      <c r="G1418" s="200" t="s">
        <v>689</v>
      </c>
    </row>
    <row r="1419" spans="1:7" hidden="1">
      <c r="A1419" s="199" t="s">
        <v>728</v>
      </c>
      <c r="B1419" s="200">
        <v>157000</v>
      </c>
      <c r="C1419" s="200">
        <v>0</v>
      </c>
      <c r="D1419" s="201" t="s">
        <v>441</v>
      </c>
      <c r="E1419" s="201" t="s">
        <v>693</v>
      </c>
      <c r="F1419" s="200" t="s">
        <v>410</v>
      </c>
      <c r="G1419" s="200" t="s">
        <v>689</v>
      </c>
    </row>
    <row r="1420" spans="1:7" hidden="1">
      <c r="A1420" s="199" t="s">
        <v>728</v>
      </c>
      <c r="B1420" s="200">
        <v>56000</v>
      </c>
      <c r="C1420" s="200">
        <v>0</v>
      </c>
      <c r="D1420" s="201" t="s">
        <v>443</v>
      </c>
      <c r="E1420" s="201" t="s">
        <v>693</v>
      </c>
      <c r="F1420" s="200" t="s">
        <v>410</v>
      </c>
      <c r="G1420" s="200" t="s">
        <v>689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395</v>
      </c>
      <c r="G1421" s="200" t="s">
        <v>689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442</v>
      </c>
      <c r="G1422" s="200" t="s">
        <v>689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395</v>
      </c>
      <c r="G1423" s="200" t="s">
        <v>689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394</v>
      </c>
      <c r="G1424" s="200" t="s">
        <v>689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404</v>
      </c>
      <c r="G1425" s="200" t="s">
        <v>689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442</v>
      </c>
      <c r="G1426" s="200" t="s">
        <v>689</v>
      </c>
    </row>
    <row r="1427" spans="1:7" hidden="1">
      <c r="A1427" s="199" t="s">
        <v>626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395</v>
      </c>
      <c r="G1427" s="200" t="s">
        <v>689</v>
      </c>
    </row>
    <row r="1428" spans="1:7">
      <c r="A1428" s="199" t="s">
        <v>626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395</v>
      </c>
      <c r="G1428" s="200" t="s">
        <v>689</v>
      </c>
    </row>
    <row r="1429" spans="1:7">
      <c r="A1429" s="199" t="s">
        <v>626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409</v>
      </c>
      <c r="G1429" s="200" t="s">
        <v>689</v>
      </c>
    </row>
    <row r="1430" spans="1:7" hidden="1">
      <c r="A1430" s="199" t="s">
        <v>627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395</v>
      </c>
      <c r="G1430" s="200" t="s">
        <v>689</v>
      </c>
    </row>
    <row r="1431" spans="1:7">
      <c r="A1431" s="199" t="s">
        <v>627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395</v>
      </c>
      <c r="G1431" s="200" t="s">
        <v>689</v>
      </c>
    </row>
    <row r="1432" spans="1:7">
      <c r="A1432" s="199" t="s">
        <v>627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409</v>
      </c>
      <c r="G1432" s="200" t="s">
        <v>689</v>
      </c>
    </row>
    <row r="1433" spans="1:7">
      <c r="A1433" s="199" t="s">
        <v>628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395</v>
      </c>
      <c r="G1433" s="200" t="s">
        <v>689</v>
      </c>
    </row>
    <row r="1434" spans="1:7">
      <c r="A1434" s="199" t="s">
        <v>628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394</v>
      </c>
      <c r="G1434" s="200" t="s">
        <v>689</v>
      </c>
    </row>
    <row r="1435" spans="1:7" hidden="1">
      <c r="A1435" s="199" t="s">
        <v>629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395</v>
      </c>
      <c r="G1435" s="200" t="s">
        <v>689</v>
      </c>
    </row>
    <row r="1436" spans="1:7" hidden="1">
      <c r="A1436" s="199" t="s">
        <v>629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414</v>
      </c>
      <c r="G1436" s="200" t="s">
        <v>689</v>
      </c>
    </row>
    <row r="1437" spans="1:7" hidden="1">
      <c r="A1437" s="199" t="s">
        <v>629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442</v>
      </c>
      <c r="G1437" s="200" t="s">
        <v>689</v>
      </c>
    </row>
    <row r="1438" spans="1:7">
      <c r="A1438" s="199" t="s">
        <v>629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395</v>
      </c>
      <c r="G1438" s="200" t="s">
        <v>689</v>
      </c>
    </row>
    <row r="1439" spans="1:7">
      <c r="A1439" s="199" t="s">
        <v>629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414</v>
      </c>
      <c r="G1439" s="200" t="s">
        <v>689</v>
      </c>
    </row>
    <row r="1440" spans="1:7">
      <c r="A1440" s="199" t="s">
        <v>629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442</v>
      </c>
      <c r="G1440" s="200" t="s">
        <v>689</v>
      </c>
    </row>
    <row r="1441" spans="1:7" hidden="1">
      <c r="A1441" s="199" t="s">
        <v>630</v>
      </c>
      <c r="B1441" s="200">
        <v>26</v>
      </c>
      <c r="C1441" s="200">
        <v>0</v>
      </c>
      <c r="D1441" s="201" t="s">
        <v>283</v>
      </c>
      <c r="E1441" s="201" t="s">
        <v>631</v>
      </c>
      <c r="F1441" s="200" t="s">
        <v>397</v>
      </c>
      <c r="G1441" s="200" t="s">
        <v>689</v>
      </c>
    </row>
    <row r="1442" spans="1:7" hidden="1">
      <c r="A1442" s="199" t="s">
        <v>630</v>
      </c>
      <c r="B1442" s="200">
        <v>193</v>
      </c>
      <c r="C1442" s="200">
        <v>0</v>
      </c>
      <c r="D1442" s="201" t="s">
        <v>438</v>
      </c>
      <c r="E1442" s="201" t="s">
        <v>631</v>
      </c>
      <c r="F1442" s="200" t="s">
        <v>397</v>
      </c>
      <c r="G1442" s="200" t="s">
        <v>689</v>
      </c>
    </row>
    <row r="1443" spans="1:7">
      <c r="A1443" s="199" t="s">
        <v>630</v>
      </c>
      <c r="B1443" s="200">
        <v>26</v>
      </c>
      <c r="C1443" s="200">
        <v>0</v>
      </c>
      <c r="D1443" s="201" t="s">
        <v>282</v>
      </c>
      <c r="E1443" s="201" t="s">
        <v>631</v>
      </c>
      <c r="F1443" s="200" t="s">
        <v>397</v>
      </c>
      <c r="G1443" s="200" t="s">
        <v>689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395</v>
      </c>
      <c r="G1444" s="200" t="s">
        <v>689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395</v>
      </c>
      <c r="G1445" s="200" t="s">
        <v>689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394</v>
      </c>
      <c r="G1446" s="200" t="s">
        <v>689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443</v>
      </c>
      <c r="E1447" s="201" t="s">
        <v>320</v>
      </c>
      <c r="F1447" s="200" t="s">
        <v>395</v>
      </c>
      <c r="G1447" s="200" t="s">
        <v>689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475</v>
      </c>
      <c r="E1448" s="201" t="s">
        <v>320</v>
      </c>
      <c r="F1448" s="200" t="s">
        <v>395</v>
      </c>
      <c r="G1448" s="200" t="s">
        <v>689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475</v>
      </c>
      <c r="E1449" s="201" t="s">
        <v>320</v>
      </c>
      <c r="F1449" s="200" t="s">
        <v>403</v>
      </c>
      <c r="G1449" s="200" t="s">
        <v>689</v>
      </c>
    </row>
    <row r="1450" spans="1:7" hidden="1">
      <c r="A1450" s="199" t="s">
        <v>632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395</v>
      </c>
      <c r="G1450" s="200" t="s">
        <v>689</v>
      </c>
    </row>
    <row r="1451" spans="1:7">
      <c r="A1451" s="199" t="s">
        <v>632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395</v>
      </c>
      <c r="G1451" s="200" t="s">
        <v>689</v>
      </c>
    </row>
    <row r="1452" spans="1:7">
      <c r="A1452" s="199" t="s">
        <v>632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409</v>
      </c>
      <c r="G1452" s="200" t="s">
        <v>689</v>
      </c>
    </row>
    <row r="1453" spans="1:7">
      <c r="A1453" s="199" t="s">
        <v>632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394</v>
      </c>
      <c r="G1453" s="200" t="s">
        <v>689</v>
      </c>
    </row>
    <row r="1454" spans="1:7" hidden="1">
      <c r="A1454" s="199" t="s">
        <v>633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395</v>
      </c>
      <c r="G1454" s="200" t="s">
        <v>689</v>
      </c>
    </row>
    <row r="1455" spans="1:7">
      <c r="A1455" s="199" t="s">
        <v>633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395</v>
      </c>
      <c r="G1455" s="200" t="s">
        <v>689</v>
      </c>
    </row>
    <row r="1456" spans="1:7">
      <c r="A1456" s="199" t="s">
        <v>633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409</v>
      </c>
      <c r="G1456" s="200" t="s">
        <v>689</v>
      </c>
    </row>
    <row r="1457" spans="1:7">
      <c r="A1457" s="199" t="s">
        <v>633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394</v>
      </c>
      <c r="G1457" s="200" t="s">
        <v>689</v>
      </c>
    </row>
    <row r="1458" spans="1:7" hidden="1">
      <c r="A1458" s="199" t="s">
        <v>634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395</v>
      </c>
      <c r="G1458" s="200" t="s">
        <v>689</v>
      </c>
    </row>
    <row r="1459" spans="1:7">
      <c r="A1459" s="199" t="s">
        <v>634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395</v>
      </c>
      <c r="G1459" s="200" t="s">
        <v>689</v>
      </c>
    </row>
    <row r="1460" spans="1:7">
      <c r="A1460" s="199" t="s">
        <v>634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409</v>
      </c>
      <c r="G1460" s="200" t="s">
        <v>689</v>
      </c>
    </row>
    <row r="1461" spans="1:7">
      <c r="A1461" s="199" t="s">
        <v>634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394</v>
      </c>
      <c r="G1461" s="200" t="s">
        <v>689</v>
      </c>
    </row>
    <row r="1462" spans="1:7" hidden="1">
      <c r="A1462" s="199" t="s">
        <v>635</v>
      </c>
      <c r="B1462" s="200">
        <v>-4600</v>
      </c>
      <c r="C1462" s="200">
        <v>0</v>
      </c>
      <c r="D1462" s="201" t="s">
        <v>441</v>
      </c>
      <c r="E1462" s="201" t="s">
        <v>440</v>
      </c>
      <c r="F1462" s="200" t="s">
        <v>395</v>
      </c>
      <c r="G1462" s="200" t="s">
        <v>689</v>
      </c>
    </row>
    <row r="1463" spans="1:7" hidden="1">
      <c r="A1463" s="199" t="s">
        <v>636</v>
      </c>
      <c r="B1463" s="200">
        <v>66344</v>
      </c>
      <c r="C1463" s="200">
        <v>0</v>
      </c>
      <c r="D1463" s="201" t="s">
        <v>441</v>
      </c>
      <c r="E1463" s="201" t="s">
        <v>317</v>
      </c>
      <c r="F1463" s="200" t="s">
        <v>395</v>
      </c>
      <c r="G1463" s="200" t="s">
        <v>689</v>
      </c>
    </row>
    <row r="1464" spans="1:7" hidden="1">
      <c r="A1464" s="199" t="s">
        <v>636</v>
      </c>
      <c r="B1464" s="200">
        <v>-3535</v>
      </c>
      <c r="C1464" s="200">
        <v>0</v>
      </c>
      <c r="D1464" s="201" t="s">
        <v>441</v>
      </c>
      <c r="E1464" s="201" t="s">
        <v>317</v>
      </c>
      <c r="F1464" s="200" t="s">
        <v>408</v>
      </c>
      <c r="G1464" s="200" t="s">
        <v>689</v>
      </c>
    </row>
    <row r="1465" spans="1:7" hidden="1">
      <c r="A1465" s="199" t="s">
        <v>636</v>
      </c>
      <c r="B1465" s="200">
        <v>18381</v>
      </c>
      <c r="C1465" s="200">
        <v>0</v>
      </c>
      <c r="D1465" s="201" t="s">
        <v>438</v>
      </c>
      <c r="E1465" s="201" t="s">
        <v>317</v>
      </c>
      <c r="F1465" s="200" t="s">
        <v>395</v>
      </c>
      <c r="G1465" s="200" t="s">
        <v>689</v>
      </c>
    </row>
    <row r="1466" spans="1:7" hidden="1">
      <c r="A1466" s="199" t="s">
        <v>636</v>
      </c>
      <c r="B1466" s="200">
        <v>-18381</v>
      </c>
      <c r="C1466" s="200">
        <v>0</v>
      </c>
      <c r="D1466" s="201" t="s">
        <v>438</v>
      </c>
      <c r="E1466" s="201" t="s">
        <v>317</v>
      </c>
      <c r="F1466" s="200" t="s">
        <v>408</v>
      </c>
      <c r="G1466" s="200" t="s">
        <v>689</v>
      </c>
    </row>
    <row r="1467" spans="1:7" hidden="1">
      <c r="A1467" s="199" t="s">
        <v>636</v>
      </c>
      <c r="B1467" s="200">
        <v>12764</v>
      </c>
      <c r="C1467" s="200">
        <v>0</v>
      </c>
      <c r="D1467" s="201" t="s">
        <v>443</v>
      </c>
      <c r="E1467" s="201" t="s">
        <v>317</v>
      </c>
      <c r="F1467" s="200" t="s">
        <v>395</v>
      </c>
      <c r="G1467" s="200" t="s">
        <v>689</v>
      </c>
    </row>
    <row r="1468" spans="1:7" hidden="1">
      <c r="A1468" s="199" t="s">
        <v>636</v>
      </c>
      <c r="B1468" s="200">
        <v>-1950</v>
      </c>
      <c r="C1468" s="200">
        <v>0</v>
      </c>
      <c r="D1468" s="201" t="s">
        <v>443</v>
      </c>
      <c r="E1468" s="201" t="s">
        <v>317</v>
      </c>
      <c r="F1468" s="200" t="s">
        <v>408</v>
      </c>
      <c r="G1468" s="200" t="s">
        <v>689</v>
      </c>
    </row>
    <row r="1469" spans="1:7" hidden="1">
      <c r="A1469" s="199" t="s">
        <v>636</v>
      </c>
      <c r="B1469" s="200">
        <v>-1949</v>
      </c>
      <c r="C1469" s="200">
        <v>0</v>
      </c>
      <c r="D1469" s="201" t="s">
        <v>443</v>
      </c>
      <c r="E1469" s="201" t="s">
        <v>317</v>
      </c>
      <c r="F1469" s="200" t="s">
        <v>442</v>
      </c>
      <c r="G1469" s="200" t="s">
        <v>689</v>
      </c>
    </row>
    <row r="1470" spans="1:7" hidden="1">
      <c r="A1470" s="199" t="s">
        <v>636</v>
      </c>
      <c r="B1470" s="200">
        <v>-1949</v>
      </c>
      <c r="C1470" s="200">
        <v>0</v>
      </c>
      <c r="D1470" s="201" t="s">
        <v>546</v>
      </c>
      <c r="E1470" s="201" t="s">
        <v>317</v>
      </c>
      <c r="F1470" s="200" t="s">
        <v>408</v>
      </c>
      <c r="G1470" s="200" t="s">
        <v>689</v>
      </c>
    </row>
    <row r="1471" spans="1:7" hidden="1">
      <c r="A1471" s="199" t="s">
        <v>636</v>
      </c>
      <c r="B1471" s="200">
        <v>1949</v>
      </c>
      <c r="C1471" s="200">
        <v>0</v>
      </c>
      <c r="D1471" s="201" t="s">
        <v>546</v>
      </c>
      <c r="E1471" s="201" t="s">
        <v>317</v>
      </c>
      <c r="F1471" s="200" t="s">
        <v>442</v>
      </c>
      <c r="G1471" s="200" t="s">
        <v>689</v>
      </c>
    </row>
    <row r="1472" spans="1:7" hidden="1">
      <c r="A1472" s="199" t="s">
        <v>636</v>
      </c>
      <c r="B1472" s="200">
        <v>11744</v>
      </c>
      <c r="C1472" s="200">
        <v>0</v>
      </c>
      <c r="D1472" s="201" t="s">
        <v>475</v>
      </c>
      <c r="E1472" s="201" t="s">
        <v>317</v>
      </c>
      <c r="F1472" s="200" t="s">
        <v>395</v>
      </c>
      <c r="G1472" s="200" t="s">
        <v>689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395</v>
      </c>
      <c r="G1473" s="200" t="s">
        <v>689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442</v>
      </c>
      <c r="G1474" s="200" t="s">
        <v>689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395</v>
      </c>
      <c r="G1475" s="200" t="s">
        <v>689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446</v>
      </c>
      <c r="G1476" s="200" t="s">
        <v>689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394</v>
      </c>
      <c r="G1477" s="200" t="s">
        <v>689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408</v>
      </c>
      <c r="G1478" s="200" t="s">
        <v>689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414</v>
      </c>
      <c r="G1479" s="200" t="s">
        <v>689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442</v>
      </c>
      <c r="G1480" s="200" t="s">
        <v>689</v>
      </c>
    </row>
    <row r="1481" spans="1:7" hidden="1">
      <c r="A1481" s="199" t="s">
        <v>729</v>
      </c>
      <c r="B1481" s="200">
        <v>-182500</v>
      </c>
      <c r="C1481" s="200">
        <v>0</v>
      </c>
      <c r="D1481" s="201" t="s">
        <v>441</v>
      </c>
      <c r="E1481" s="201" t="s">
        <v>693</v>
      </c>
      <c r="F1481" s="200" t="s">
        <v>410</v>
      </c>
      <c r="G1481" s="200" t="s">
        <v>689</v>
      </c>
    </row>
    <row r="1482" spans="1:7" hidden="1">
      <c r="A1482" s="199" t="s">
        <v>730</v>
      </c>
      <c r="B1482" s="200">
        <v>182500</v>
      </c>
      <c r="C1482" s="200">
        <v>0</v>
      </c>
      <c r="D1482" s="201" t="s">
        <v>441</v>
      </c>
      <c r="E1482" s="201" t="s">
        <v>693</v>
      </c>
      <c r="F1482" s="200" t="s">
        <v>410</v>
      </c>
      <c r="G1482" s="200" t="s">
        <v>689</v>
      </c>
    </row>
    <row r="1483" spans="1:7" hidden="1">
      <c r="A1483" s="199" t="s">
        <v>731</v>
      </c>
      <c r="B1483" s="200">
        <v>83400</v>
      </c>
      <c r="C1483" s="200">
        <v>0</v>
      </c>
      <c r="D1483" s="201" t="s">
        <v>441</v>
      </c>
      <c r="E1483" s="201" t="s">
        <v>639</v>
      </c>
      <c r="F1483" s="200" t="s">
        <v>653</v>
      </c>
      <c r="G1483" s="200" t="s">
        <v>689</v>
      </c>
    </row>
    <row r="1484" spans="1:7" hidden="1">
      <c r="A1484" s="199" t="s">
        <v>732</v>
      </c>
      <c r="B1484" s="200">
        <v>-186600</v>
      </c>
      <c r="C1484" s="200">
        <v>0</v>
      </c>
      <c r="D1484" s="201" t="s">
        <v>441</v>
      </c>
      <c r="E1484" s="201" t="s">
        <v>639</v>
      </c>
      <c r="F1484" s="200" t="s">
        <v>410</v>
      </c>
      <c r="G1484" s="200" t="s">
        <v>689</v>
      </c>
    </row>
    <row r="1485" spans="1:7" hidden="1">
      <c r="A1485" s="199" t="s">
        <v>733</v>
      </c>
      <c r="B1485" s="200">
        <v>145500</v>
      </c>
      <c r="C1485" s="200">
        <v>0</v>
      </c>
      <c r="D1485" s="201" t="s">
        <v>441</v>
      </c>
      <c r="E1485" s="201" t="s">
        <v>639</v>
      </c>
      <c r="F1485" s="200" t="s">
        <v>653</v>
      </c>
      <c r="G1485" s="200" t="s">
        <v>689</v>
      </c>
    </row>
    <row r="1486" spans="1:7" hidden="1">
      <c r="A1486" s="199" t="s">
        <v>734</v>
      </c>
      <c r="B1486" s="200">
        <v>12000</v>
      </c>
      <c r="C1486" s="200">
        <v>0</v>
      </c>
      <c r="D1486" s="201" t="s">
        <v>443</v>
      </c>
      <c r="E1486" s="201" t="s">
        <v>639</v>
      </c>
      <c r="F1486" s="200" t="s">
        <v>397</v>
      </c>
      <c r="G1486" s="200" t="s">
        <v>689</v>
      </c>
    </row>
    <row r="1487" spans="1:7" hidden="1">
      <c r="A1487" s="199" t="s">
        <v>735</v>
      </c>
      <c r="B1487" s="200">
        <v>126895</v>
      </c>
      <c r="C1487" s="200">
        <v>0</v>
      </c>
      <c r="D1487" s="201" t="s">
        <v>441</v>
      </c>
      <c r="E1487" s="201" t="s">
        <v>639</v>
      </c>
      <c r="F1487" s="200" t="s">
        <v>653</v>
      </c>
      <c r="G1487" s="200" t="s">
        <v>689</v>
      </c>
    </row>
    <row r="1488" spans="1:7" hidden="1">
      <c r="A1488" s="199" t="s">
        <v>736</v>
      </c>
      <c r="B1488" s="200">
        <v>82400</v>
      </c>
      <c r="C1488" s="200">
        <v>0</v>
      </c>
      <c r="D1488" s="201" t="s">
        <v>441</v>
      </c>
      <c r="E1488" s="201" t="s">
        <v>639</v>
      </c>
      <c r="F1488" s="200" t="s">
        <v>653</v>
      </c>
      <c r="G1488" s="200" t="s">
        <v>689</v>
      </c>
    </row>
    <row r="1489" spans="1:7" hidden="1">
      <c r="A1489" s="199" t="s">
        <v>737</v>
      </c>
      <c r="B1489" s="200">
        <v>44000</v>
      </c>
      <c r="C1489" s="200">
        <v>0</v>
      </c>
      <c r="D1489" s="201" t="s">
        <v>441</v>
      </c>
      <c r="E1489" s="201" t="s">
        <v>639</v>
      </c>
      <c r="F1489" s="200" t="s">
        <v>653</v>
      </c>
      <c r="G1489" s="200" t="s">
        <v>689</v>
      </c>
    </row>
    <row r="1490" spans="1:7" hidden="1">
      <c r="A1490" s="199" t="s">
        <v>738</v>
      </c>
      <c r="B1490" s="200">
        <v>15900</v>
      </c>
      <c r="C1490" s="200">
        <v>0</v>
      </c>
      <c r="D1490" s="201" t="s">
        <v>441</v>
      </c>
      <c r="E1490" s="201" t="s">
        <v>639</v>
      </c>
      <c r="F1490" s="200" t="s">
        <v>653</v>
      </c>
      <c r="G1490" s="200" t="s">
        <v>689</v>
      </c>
    </row>
    <row r="1491" spans="1:7" hidden="1">
      <c r="A1491" s="199" t="s">
        <v>739</v>
      </c>
      <c r="B1491" s="200">
        <v>4900</v>
      </c>
      <c r="C1491" s="200">
        <v>0</v>
      </c>
      <c r="D1491" s="201" t="s">
        <v>441</v>
      </c>
      <c r="E1491" s="201" t="s">
        <v>639</v>
      </c>
      <c r="F1491" s="200" t="s">
        <v>410</v>
      </c>
      <c r="G1491" s="200" t="s">
        <v>689</v>
      </c>
    </row>
    <row r="1492" spans="1:7" hidden="1">
      <c r="A1492" s="199" t="s">
        <v>740</v>
      </c>
      <c r="B1492" s="200">
        <v>9000</v>
      </c>
      <c r="C1492" s="200">
        <v>0</v>
      </c>
      <c r="D1492" s="201" t="s">
        <v>441</v>
      </c>
      <c r="E1492" s="201" t="s">
        <v>639</v>
      </c>
      <c r="F1492" s="200" t="s">
        <v>653</v>
      </c>
      <c r="G1492" s="200" t="s">
        <v>689</v>
      </c>
    </row>
    <row r="1493" spans="1:7" hidden="1">
      <c r="A1493" s="199" t="s">
        <v>741</v>
      </c>
      <c r="B1493" s="200">
        <v>38500</v>
      </c>
      <c r="C1493" s="200">
        <v>0</v>
      </c>
      <c r="D1493" s="201" t="s">
        <v>441</v>
      </c>
      <c r="E1493" s="201" t="s">
        <v>639</v>
      </c>
      <c r="F1493" s="200" t="s">
        <v>653</v>
      </c>
      <c r="G1493" s="200" t="s">
        <v>689</v>
      </c>
    </row>
    <row r="1494" spans="1:7" hidden="1">
      <c r="A1494" s="199" t="s">
        <v>742</v>
      </c>
      <c r="B1494" s="200">
        <v>15600</v>
      </c>
      <c r="C1494" s="200">
        <v>0</v>
      </c>
      <c r="D1494" s="201" t="s">
        <v>441</v>
      </c>
      <c r="E1494" s="201" t="s">
        <v>639</v>
      </c>
      <c r="F1494" s="200" t="s">
        <v>653</v>
      </c>
      <c r="G1494" s="200" t="s">
        <v>689</v>
      </c>
    </row>
    <row r="1495" spans="1:7" hidden="1">
      <c r="A1495" s="199" t="s">
        <v>743</v>
      </c>
      <c r="B1495" s="200">
        <v>3300</v>
      </c>
      <c r="C1495" s="200">
        <v>0</v>
      </c>
      <c r="D1495" s="201" t="s">
        <v>443</v>
      </c>
      <c r="E1495" s="201" t="s">
        <v>639</v>
      </c>
      <c r="F1495" s="200" t="s">
        <v>397</v>
      </c>
      <c r="G1495" s="200" t="s">
        <v>689</v>
      </c>
    </row>
    <row r="1496" spans="1:7" hidden="1">
      <c r="A1496" s="199" t="s">
        <v>744</v>
      </c>
      <c r="B1496" s="200">
        <v>8700</v>
      </c>
      <c r="C1496" s="200">
        <v>0</v>
      </c>
      <c r="D1496" s="201" t="s">
        <v>443</v>
      </c>
      <c r="E1496" s="201" t="s">
        <v>639</v>
      </c>
      <c r="F1496" s="200" t="s">
        <v>397</v>
      </c>
      <c r="G1496" s="200" t="s">
        <v>689</v>
      </c>
    </row>
    <row r="1497" spans="1:7" hidden="1">
      <c r="A1497" s="199" t="s">
        <v>745</v>
      </c>
      <c r="B1497" s="200">
        <v>15000</v>
      </c>
      <c r="C1497" s="200">
        <v>0</v>
      </c>
      <c r="D1497" s="201" t="s">
        <v>441</v>
      </c>
      <c r="E1497" s="201" t="s">
        <v>639</v>
      </c>
      <c r="F1497" s="200" t="s">
        <v>653</v>
      </c>
      <c r="G1497" s="200" t="s">
        <v>689</v>
      </c>
    </row>
    <row r="1498" spans="1:7" hidden="1">
      <c r="A1498" s="199" t="s">
        <v>746</v>
      </c>
      <c r="B1498" s="200">
        <v>15400</v>
      </c>
      <c r="C1498" s="200">
        <v>0</v>
      </c>
      <c r="D1498" s="201" t="s">
        <v>443</v>
      </c>
      <c r="E1498" s="201" t="s">
        <v>639</v>
      </c>
      <c r="F1498" s="200" t="s">
        <v>397</v>
      </c>
      <c r="G1498" s="200" t="s">
        <v>689</v>
      </c>
    </row>
    <row r="1499" spans="1:7" hidden="1">
      <c r="A1499" s="199" t="s">
        <v>747</v>
      </c>
      <c r="B1499" s="200">
        <v>400</v>
      </c>
      <c r="C1499" s="200">
        <v>0</v>
      </c>
      <c r="D1499" s="201" t="s">
        <v>441</v>
      </c>
      <c r="E1499" s="201" t="s">
        <v>639</v>
      </c>
      <c r="F1499" s="200" t="s">
        <v>653</v>
      </c>
      <c r="G1499" s="200" t="s">
        <v>689</v>
      </c>
    </row>
    <row r="1500" spans="1:7" hidden="1">
      <c r="A1500" s="199" t="s">
        <v>748</v>
      </c>
      <c r="B1500" s="200">
        <v>42400</v>
      </c>
      <c r="C1500" s="200">
        <v>0</v>
      </c>
      <c r="D1500" s="201" t="s">
        <v>441</v>
      </c>
      <c r="E1500" s="201" t="s">
        <v>639</v>
      </c>
      <c r="F1500" s="200" t="s">
        <v>653</v>
      </c>
      <c r="G1500" s="200" t="s">
        <v>689</v>
      </c>
    </row>
    <row r="1501" spans="1:7" hidden="1">
      <c r="A1501" s="199" t="s">
        <v>749</v>
      </c>
      <c r="B1501" s="200">
        <v>-78100</v>
      </c>
      <c r="C1501" s="200">
        <v>0</v>
      </c>
      <c r="D1501" s="201" t="s">
        <v>441</v>
      </c>
      <c r="E1501" s="201" t="s">
        <v>639</v>
      </c>
      <c r="F1501" s="200" t="s">
        <v>653</v>
      </c>
      <c r="G1501" s="200" t="s">
        <v>689</v>
      </c>
    </row>
    <row r="1502" spans="1:7" hidden="1">
      <c r="A1502" s="199" t="s">
        <v>750</v>
      </c>
      <c r="B1502" s="200">
        <v>9800</v>
      </c>
      <c r="C1502" s="200">
        <v>0</v>
      </c>
      <c r="D1502" s="201" t="s">
        <v>443</v>
      </c>
      <c r="E1502" s="201" t="s">
        <v>639</v>
      </c>
      <c r="F1502" s="200" t="s">
        <v>397</v>
      </c>
      <c r="G1502" s="200" t="s">
        <v>689</v>
      </c>
    </row>
    <row r="1503" spans="1:7" hidden="1">
      <c r="A1503" s="199" t="s">
        <v>751</v>
      </c>
      <c r="B1503" s="200">
        <v>1100</v>
      </c>
      <c r="C1503" s="200">
        <v>0</v>
      </c>
      <c r="D1503" s="201" t="s">
        <v>443</v>
      </c>
      <c r="E1503" s="201" t="s">
        <v>639</v>
      </c>
      <c r="F1503" s="200" t="s">
        <v>397</v>
      </c>
      <c r="G1503" s="200" t="s">
        <v>689</v>
      </c>
    </row>
    <row r="1504" spans="1:7" hidden="1">
      <c r="A1504" s="199" t="s">
        <v>752</v>
      </c>
      <c r="B1504" s="200">
        <v>7400</v>
      </c>
      <c r="C1504" s="200">
        <v>0</v>
      </c>
      <c r="D1504" s="201" t="s">
        <v>441</v>
      </c>
      <c r="E1504" s="201" t="s">
        <v>639</v>
      </c>
      <c r="F1504" s="200" t="s">
        <v>653</v>
      </c>
      <c r="G1504" s="200" t="s">
        <v>689</v>
      </c>
    </row>
    <row r="1505" spans="1:7" hidden="1">
      <c r="A1505" s="199" t="s">
        <v>753</v>
      </c>
      <c r="B1505" s="200">
        <v>9428</v>
      </c>
      <c r="C1505" s="200">
        <v>0</v>
      </c>
      <c r="D1505" s="201" t="s">
        <v>441</v>
      </c>
      <c r="E1505" s="201" t="s">
        <v>639</v>
      </c>
      <c r="F1505" s="200" t="s">
        <v>653</v>
      </c>
      <c r="G1505" s="200" t="s">
        <v>689</v>
      </c>
    </row>
    <row r="1506" spans="1:7" hidden="1">
      <c r="A1506" s="199" t="s">
        <v>754</v>
      </c>
      <c r="B1506" s="200">
        <v>7500</v>
      </c>
      <c r="C1506" s="200">
        <v>0</v>
      </c>
      <c r="D1506" s="201" t="s">
        <v>441</v>
      </c>
      <c r="E1506" s="201" t="s">
        <v>639</v>
      </c>
      <c r="F1506" s="200" t="s">
        <v>653</v>
      </c>
      <c r="G1506" s="200" t="s">
        <v>689</v>
      </c>
    </row>
    <row r="1507" spans="1:7" hidden="1">
      <c r="A1507" s="199" t="s">
        <v>755</v>
      </c>
      <c r="B1507" s="200">
        <v>4500</v>
      </c>
      <c r="C1507" s="200">
        <v>0</v>
      </c>
      <c r="D1507" s="201" t="s">
        <v>441</v>
      </c>
      <c r="E1507" s="201" t="s">
        <v>639</v>
      </c>
      <c r="F1507" s="200" t="s">
        <v>653</v>
      </c>
      <c r="G1507" s="200" t="s">
        <v>689</v>
      </c>
    </row>
    <row r="1508" spans="1:7" hidden="1">
      <c r="A1508" s="199" t="s">
        <v>756</v>
      </c>
      <c r="B1508" s="200">
        <v>6500</v>
      </c>
      <c r="C1508" s="200">
        <v>0</v>
      </c>
      <c r="D1508" s="201" t="s">
        <v>441</v>
      </c>
      <c r="E1508" s="201" t="s">
        <v>639</v>
      </c>
      <c r="F1508" s="200" t="s">
        <v>653</v>
      </c>
      <c r="G1508" s="200" t="s">
        <v>689</v>
      </c>
    </row>
    <row r="1509" spans="1:7" hidden="1">
      <c r="A1509" s="199" t="s">
        <v>757</v>
      </c>
      <c r="B1509" s="200">
        <v>6600</v>
      </c>
      <c r="C1509" s="200">
        <v>0</v>
      </c>
      <c r="D1509" s="201" t="s">
        <v>441</v>
      </c>
      <c r="E1509" s="201" t="s">
        <v>639</v>
      </c>
      <c r="F1509" s="200" t="s">
        <v>653</v>
      </c>
      <c r="G1509" s="200" t="s">
        <v>689</v>
      </c>
    </row>
    <row r="1510" spans="1:7" hidden="1">
      <c r="A1510" s="199" t="s">
        <v>758</v>
      </c>
      <c r="B1510" s="200">
        <v>11600</v>
      </c>
      <c r="C1510" s="200">
        <v>0</v>
      </c>
      <c r="D1510" s="201" t="s">
        <v>441</v>
      </c>
      <c r="E1510" s="201" t="s">
        <v>639</v>
      </c>
      <c r="F1510" s="200" t="s">
        <v>653</v>
      </c>
      <c r="G1510" s="200" t="s">
        <v>689</v>
      </c>
    </row>
    <row r="1511" spans="1:7" hidden="1">
      <c r="A1511" s="199" t="s">
        <v>759</v>
      </c>
      <c r="B1511" s="200">
        <v>4100</v>
      </c>
      <c r="C1511" s="200">
        <v>0</v>
      </c>
      <c r="D1511" s="201" t="s">
        <v>443</v>
      </c>
      <c r="E1511" s="201" t="s">
        <v>639</v>
      </c>
      <c r="F1511" s="200" t="s">
        <v>397</v>
      </c>
      <c r="G1511" s="200" t="s">
        <v>689</v>
      </c>
    </row>
    <row r="1512" spans="1:7" hidden="1">
      <c r="A1512" s="199" t="s">
        <v>760</v>
      </c>
      <c r="B1512" s="200">
        <v>2100</v>
      </c>
      <c r="C1512" s="200">
        <v>0</v>
      </c>
      <c r="D1512" s="201" t="s">
        <v>443</v>
      </c>
      <c r="E1512" s="201" t="s">
        <v>639</v>
      </c>
      <c r="F1512" s="200" t="s">
        <v>397</v>
      </c>
      <c r="G1512" s="200" t="s">
        <v>689</v>
      </c>
    </row>
    <row r="1513" spans="1:7" hidden="1">
      <c r="A1513" s="199" t="s">
        <v>761</v>
      </c>
      <c r="B1513" s="200">
        <v>3500</v>
      </c>
      <c r="C1513" s="200">
        <v>0</v>
      </c>
      <c r="D1513" s="201" t="s">
        <v>443</v>
      </c>
      <c r="E1513" s="201" t="s">
        <v>639</v>
      </c>
      <c r="F1513" s="200" t="s">
        <v>397</v>
      </c>
      <c r="G1513" s="200" t="s">
        <v>689</v>
      </c>
    </row>
    <row r="1514" spans="1:7" hidden="1">
      <c r="A1514" s="199" t="s">
        <v>762</v>
      </c>
      <c r="B1514" s="200">
        <v>-15900</v>
      </c>
      <c r="C1514" s="200">
        <v>0</v>
      </c>
      <c r="D1514" s="201" t="s">
        <v>443</v>
      </c>
      <c r="E1514" s="201" t="s">
        <v>639</v>
      </c>
      <c r="F1514" s="200" t="s">
        <v>397</v>
      </c>
      <c r="G1514" s="200" t="s">
        <v>689</v>
      </c>
    </row>
    <row r="1515" spans="1:7" hidden="1">
      <c r="A1515" s="199" t="s">
        <v>763</v>
      </c>
      <c r="B1515" s="200">
        <v>-88700</v>
      </c>
      <c r="C1515" s="200">
        <v>0</v>
      </c>
      <c r="D1515" s="201" t="s">
        <v>475</v>
      </c>
      <c r="E1515" s="201" t="s">
        <v>639</v>
      </c>
      <c r="F1515" s="200" t="s">
        <v>397</v>
      </c>
      <c r="G1515" s="200" t="s">
        <v>689</v>
      </c>
    </row>
    <row r="1516" spans="1:7" hidden="1">
      <c r="A1516" s="199" t="s">
        <v>764</v>
      </c>
      <c r="B1516" s="200">
        <v>-18900</v>
      </c>
      <c r="C1516" s="200">
        <v>0</v>
      </c>
      <c r="D1516" s="201" t="s">
        <v>441</v>
      </c>
      <c r="E1516" s="201" t="s">
        <v>639</v>
      </c>
      <c r="F1516" s="200" t="s">
        <v>653</v>
      </c>
      <c r="G1516" s="200" t="s">
        <v>689</v>
      </c>
    </row>
    <row r="1517" spans="1:7" hidden="1">
      <c r="A1517" s="199" t="s">
        <v>765</v>
      </c>
      <c r="B1517" s="200">
        <v>-27600</v>
      </c>
      <c r="C1517" s="200">
        <v>0</v>
      </c>
      <c r="D1517" s="201" t="s">
        <v>443</v>
      </c>
      <c r="E1517" s="201" t="s">
        <v>639</v>
      </c>
      <c r="F1517" s="200" t="s">
        <v>397</v>
      </c>
      <c r="G1517" s="200" t="s">
        <v>689</v>
      </c>
    </row>
    <row r="1518" spans="1:7" hidden="1">
      <c r="A1518" s="199" t="s">
        <v>766</v>
      </c>
      <c r="B1518" s="200">
        <v>51100</v>
      </c>
      <c r="C1518" s="200">
        <v>0</v>
      </c>
      <c r="D1518" s="201" t="s">
        <v>441</v>
      </c>
      <c r="E1518" s="201" t="s">
        <v>639</v>
      </c>
      <c r="F1518" s="200" t="s">
        <v>653</v>
      </c>
      <c r="G1518" s="200" t="s">
        <v>689</v>
      </c>
    </row>
    <row r="1519" spans="1:7" hidden="1">
      <c r="A1519" s="199" t="s">
        <v>767</v>
      </c>
      <c r="B1519" s="200">
        <v>30800</v>
      </c>
      <c r="C1519" s="200">
        <v>0</v>
      </c>
      <c r="D1519" s="201" t="s">
        <v>441</v>
      </c>
      <c r="E1519" s="201" t="s">
        <v>639</v>
      </c>
      <c r="F1519" s="200" t="s">
        <v>653</v>
      </c>
      <c r="G1519" s="200" t="s">
        <v>689</v>
      </c>
    </row>
    <row r="1520" spans="1:7" hidden="1">
      <c r="A1520" s="199" t="s">
        <v>768</v>
      </c>
      <c r="B1520" s="200">
        <v>-26900</v>
      </c>
      <c r="C1520" s="200">
        <v>0</v>
      </c>
      <c r="D1520" s="201" t="s">
        <v>441</v>
      </c>
      <c r="E1520" s="201" t="s">
        <v>639</v>
      </c>
      <c r="F1520" s="200" t="s">
        <v>653</v>
      </c>
      <c r="G1520" s="200" t="s">
        <v>689</v>
      </c>
    </row>
    <row r="1521" spans="1:7" hidden="1">
      <c r="A1521" s="199" t="s">
        <v>769</v>
      </c>
      <c r="B1521" s="200">
        <v>-4800</v>
      </c>
      <c r="C1521" s="200">
        <v>0</v>
      </c>
      <c r="D1521" s="201" t="s">
        <v>443</v>
      </c>
      <c r="E1521" s="201" t="s">
        <v>639</v>
      </c>
      <c r="F1521" s="200" t="s">
        <v>397</v>
      </c>
      <c r="G1521" s="200" t="s">
        <v>689</v>
      </c>
    </row>
    <row r="1522" spans="1:7" hidden="1">
      <c r="A1522" s="199" t="s">
        <v>770</v>
      </c>
      <c r="B1522" s="200">
        <v>8900</v>
      </c>
      <c r="C1522" s="200">
        <v>0</v>
      </c>
      <c r="D1522" s="201" t="s">
        <v>443</v>
      </c>
      <c r="E1522" s="201" t="s">
        <v>639</v>
      </c>
      <c r="F1522" s="200" t="s">
        <v>397</v>
      </c>
      <c r="G1522" s="200" t="s">
        <v>689</v>
      </c>
    </row>
    <row r="1523" spans="1:7" hidden="1">
      <c r="A1523" s="199" t="s">
        <v>771</v>
      </c>
      <c r="B1523" s="200">
        <v>47800</v>
      </c>
      <c r="C1523" s="200">
        <v>0</v>
      </c>
      <c r="D1523" s="201" t="s">
        <v>441</v>
      </c>
      <c r="E1523" s="201" t="s">
        <v>639</v>
      </c>
      <c r="F1523" s="200" t="s">
        <v>653</v>
      </c>
      <c r="G1523" s="200" t="s">
        <v>689</v>
      </c>
    </row>
    <row r="1524" spans="1:7" hidden="1">
      <c r="A1524" s="199" t="s">
        <v>772</v>
      </c>
      <c r="B1524" s="200">
        <v>47800</v>
      </c>
      <c r="C1524" s="200">
        <v>0</v>
      </c>
      <c r="D1524" s="201" t="s">
        <v>441</v>
      </c>
      <c r="E1524" s="201" t="s">
        <v>639</v>
      </c>
      <c r="F1524" s="200" t="s">
        <v>410</v>
      </c>
      <c r="G1524" s="200" t="s">
        <v>689</v>
      </c>
    </row>
    <row r="1525" spans="1:7" hidden="1">
      <c r="A1525" s="199" t="s">
        <v>773</v>
      </c>
      <c r="B1525" s="200">
        <v>84800</v>
      </c>
      <c r="C1525" s="200">
        <v>0</v>
      </c>
      <c r="D1525" s="201" t="s">
        <v>441</v>
      </c>
      <c r="E1525" s="201" t="s">
        <v>639</v>
      </c>
      <c r="F1525" s="200" t="s">
        <v>653</v>
      </c>
      <c r="G1525" s="200" t="s">
        <v>689</v>
      </c>
    </row>
    <row r="1526" spans="1:7" hidden="1">
      <c r="A1526" s="199" t="s">
        <v>774</v>
      </c>
      <c r="B1526" s="200">
        <v>95000</v>
      </c>
      <c r="C1526" s="200">
        <v>0</v>
      </c>
      <c r="D1526" s="201" t="s">
        <v>441</v>
      </c>
      <c r="E1526" s="201" t="s">
        <v>639</v>
      </c>
      <c r="F1526" s="200" t="s">
        <v>653</v>
      </c>
      <c r="G1526" s="200" t="s">
        <v>689</v>
      </c>
    </row>
    <row r="1527" spans="1:7" hidden="1">
      <c r="A1527" s="199" t="s">
        <v>775</v>
      </c>
      <c r="B1527" s="200">
        <v>39900</v>
      </c>
      <c r="C1527" s="200">
        <v>0</v>
      </c>
      <c r="D1527" s="201" t="s">
        <v>443</v>
      </c>
      <c r="E1527" s="201" t="s">
        <v>639</v>
      </c>
      <c r="F1527" s="200" t="s">
        <v>397</v>
      </c>
      <c r="G1527" s="200" t="s">
        <v>689</v>
      </c>
    </row>
    <row r="1528" spans="1:7" hidden="1">
      <c r="A1528" s="199" t="s">
        <v>776</v>
      </c>
      <c r="B1528" s="200">
        <v>67700</v>
      </c>
      <c r="C1528" s="200">
        <v>0</v>
      </c>
      <c r="D1528" s="201" t="s">
        <v>441</v>
      </c>
      <c r="E1528" s="201" t="s">
        <v>639</v>
      </c>
      <c r="F1528" s="200" t="s">
        <v>653</v>
      </c>
      <c r="G1528" s="200" t="s">
        <v>689</v>
      </c>
    </row>
    <row r="1529" spans="1:7" hidden="1">
      <c r="A1529" s="199" t="s">
        <v>777</v>
      </c>
      <c r="B1529" s="200">
        <v>155400</v>
      </c>
      <c r="C1529" s="200">
        <v>0</v>
      </c>
      <c r="D1529" s="201" t="s">
        <v>441</v>
      </c>
      <c r="E1529" s="201" t="s">
        <v>639</v>
      </c>
      <c r="F1529" s="200" t="s">
        <v>653</v>
      </c>
      <c r="G1529" s="200" t="s">
        <v>689</v>
      </c>
    </row>
    <row r="1530" spans="1:7" hidden="1">
      <c r="A1530" s="199" t="s">
        <v>778</v>
      </c>
      <c r="B1530" s="200">
        <v>64300</v>
      </c>
      <c r="C1530" s="200">
        <v>0</v>
      </c>
      <c r="D1530" s="201" t="s">
        <v>441</v>
      </c>
      <c r="E1530" s="201" t="s">
        <v>639</v>
      </c>
      <c r="F1530" s="200" t="s">
        <v>653</v>
      </c>
      <c r="G1530" s="200" t="s">
        <v>689</v>
      </c>
    </row>
    <row r="1531" spans="1:7" hidden="1">
      <c r="A1531" s="199" t="s">
        <v>779</v>
      </c>
      <c r="B1531" s="200">
        <v>89200</v>
      </c>
      <c r="C1531" s="200">
        <v>0</v>
      </c>
      <c r="D1531" s="201" t="s">
        <v>441</v>
      </c>
      <c r="E1531" s="201" t="s">
        <v>639</v>
      </c>
      <c r="F1531" s="200" t="s">
        <v>653</v>
      </c>
      <c r="G1531" s="200" t="s">
        <v>689</v>
      </c>
    </row>
    <row r="1532" spans="1:7" hidden="1">
      <c r="A1532" s="199" t="s">
        <v>780</v>
      </c>
      <c r="B1532" s="200">
        <v>37500</v>
      </c>
      <c r="C1532" s="200">
        <v>0</v>
      </c>
      <c r="D1532" s="201" t="s">
        <v>443</v>
      </c>
      <c r="E1532" s="201" t="s">
        <v>639</v>
      </c>
      <c r="F1532" s="200" t="s">
        <v>397</v>
      </c>
      <c r="G1532" s="200" t="s">
        <v>689</v>
      </c>
    </row>
    <row r="1533" spans="1:7" hidden="1">
      <c r="A1533" s="199" t="s">
        <v>781</v>
      </c>
      <c r="B1533" s="200">
        <v>22700</v>
      </c>
      <c r="C1533" s="200">
        <v>0</v>
      </c>
      <c r="D1533" s="201" t="s">
        <v>441</v>
      </c>
      <c r="E1533" s="201" t="s">
        <v>639</v>
      </c>
      <c r="F1533" s="200" t="s">
        <v>653</v>
      </c>
      <c r="G1533" s="200" t="s">
        <v>689</v>
      </c>
    </row>
    <row r="1534" spans="1:7" hidden="1">
      <c r="A1534" s="199" t="s">
        <v>782</v>
      </c>
      <c r="B1534" s="200">
        <v>3400</v>
      </c>
      <c r="C1534" s="200">
        <v>0</v>
      </c>
      <c r="D1534" s="201" t="s">
        <v>443</v>
      </c>
      <c r="E1534" s="201" t="s">
        <v>639</v>
      </c>
      <c r="F1534" s="200" t="s">
        <v>397</v>
      </c>
      <c r="G1534" s="200" t="s">
        <v>689</v>
      </c>
    </row>
    <row r="1535" spans="1:7" hidden="1">
      <c r="A1535" s="199" t="s">
        <v>783</v>
      </c>
      <c r="B1535" s="200">
        <v>8100</v>
      </c>
      <c r="C1535" s="200">
        <v>0</v>
      </c>
      <c r="D1535" s="201" t="s">
        <v>441</v>
      </c>
      <c r="E1535" s="201" t="s">
        <v>639</v>
      </c>
      <c r="F1535" s="200" t="s">
        <v>653</v>
      </c>
      <c r="G1535" s="200" t="s">
        <v>689</v>
      </c>
    </row>
    <row r="1536" spans="1:7" hidden="1">
      <c r="A1536" s="199" t="s">
        <v>784</v>
      </c>
      <c r="B1536" s="200">
        <v>66600</v>
      </c>
      <c r="C1536" s="200">
        <v>0</v>
      </c>
      <c r="D1536" s="201" t="s">
        <v>441</v>
      </c>
      <c r="E1536" s="201" t="s">
        <v>639</v>
      </c>
      <c r="F1536" s="200" t="s">
        <v>653</v>
      </c>
      <c r="G1536" s="200" t="s">
        <v>689</v>
      </c>
    </row>
    <row r="1537" spans="1:7" hidden="1">
      <c r="A1537" s="199" t="s">
        <v>785</v>
      </c>
      <c r="B1537" s="200">
        <v>2200</v>
      </c>
      <c r="C1537" s="200">
        <v>0</v>
      </c>
      <c r="D1537" s="201" t="s">
        <v>443</v>
      </c>
      <c r="E1537" s="201" t="s">
        <v>639</v>
      </c>
      <c r="F1537" s="200" t="s">
        <v>397</v>
      </c>
      <c r="G1537" s="200" t="s">
        <v>689</v>
      </c>
    </row>
    <row r="1538" spans="1:7" hidden="1">
      <c r="A1538" s="199" t="s">
        <v>786</v>
      </c>
      <c r="B1538" s="200">
        <v>10600</v>
      </c>
      <c r="C1538" s="200">
        <v>0</v>
      </c>
      <c r="D1538" s="201" t="s">
        <v>441</v>
      </c>
      <c r="E1538" s="201" t="s">
        <v>639</v>
      </c>
      <c r="F1538" s="200" t="s">
        <v>653</v>
      </c>
      <c r="G1538" s="200" t="s">
        <v>689</v>
      </c>
    </row>
    <row r="1539" spans="1:7" hidden="1">
      <c r="A1539" s="199" t="s">
        <v>787</v>
      </c>
      <c r="B1539" s="200">
        <v>2800</v>
      </c>
      <c r="C1539" s="200">
        <v>0</v>
      </c>
      <c r="D1539" s="201" t="s">
        <v>443</v>
      </c>
      <c r="E1539" s="201" t="s">
        <v>639</v>
      </c>
      <c r="F1539" s="200" t="s">
        <v>397</v>
      </c>
      <c r="G1539" s="200" t="s">
        <v>689</v>
      </c>
    </row>
    <row r="1540" spans="1:7" hidden="1">
      <c r="A1540" s="199" t="s">
        <v>788</v>
      </c>
      <c r="B1540" s="200">
        <v>55800</v>
      </c>
      <c r="C1540" s="200">
        <v>0</v>
      </c>
      <c r="D1540" s="201" t="s">
        <v>441</v>
      </c>
      <c r="E1540" s="201" t="s">
        <v>639</v>
      </c>
      <c r="F1540" s="200" t="s">
        <v>653</v>
      </c>
      <c r="G1540" s="200" t="s">
        <v>689</v>
      </c>
    </row>
    <row r="1541" spans="1:7" hidden="1">
      <c r="A1541" s="199" t="s">
        <v>789</v>
      </c>
      <c r="B1541" s="200">
        <v>2600</v>
      </c>
      <c r="C1541" s="200">
        <v>0</v>
      </c>
      <c r="D1541" s="201" t="s">
        <v>443</v>
      </c>
      <c r="E1541" s="201" t="s">
        <v>639</v>
      </c>
      <c r="F1541" s="200" t="s">
        <v>397</v>
      </c>
      <c r="G1541" s="200" t="s">
        <v>689</v>
      </c>
    </row>
    <row r="1542" spans="1:7" hidden="1">
      <c r="A1542" s="199" t="s">
        <v>790</v>
      </c>
      <c r="B1542" s="200">
        <v>2700</v>
      </c>
      <c r="C1542" s="200">
        <v>0</v>
      </c>
      <c r="D1542" s="201" t="s">
        <v>443</v>
      </c>
      <c r="E1542" s="201" t="s">
        <v>639</v>
      </c>
      <c r="F1542" s="200" t="s">
        <v>397</v>
      </c>
      <c r="G1542" s="200" t="s">
        <v>689</v>
      </c>
    </row>
    <row r="1543" spans="1:7" hidden="1">
      <c r="A1543" s="199" t="s">
        <v>791</v>
      </c>
      <c r="B1543" s="200">
        <v>54400</v>
      </c>
      <c r="C1543" s="200">
        <v>0</v>
      </c>
      <c r="D1543" s="201" t="s">
        <v>441</v>
      </c>
      <c r="E1543" s="201" t="s">
        <v>639</v>
      </c>
      <c r="F1543" s="200" t="s">
        <v>653</v>
      </c>
      <c r="G1543" s="200" t="s">
        <v>689</v>
      </c>
    </row>
    <row r="1544" spans="1:7" hidden="1">
      <c r="A1544" s="199" t="s">
        <v>792</v>
      </c>
      <c r="B1544" s="200">
        <v>103700</v>
      </c>
      <c r="C1544" s="200">
        <v>0</v>
      </c>
      <c r="D1544" s="201" t="s">
        <v>441</v>
      </c>
      <c r="E1544" s="201" t="s">
        <v>639</v>
      </c>
      <c r="F1544" s="200" t="s">
        <v>653</v>
      </c>
      <c r="G1544" s="200" t="s">
        <v>689</v>
      </c>
    </row>
    <row r="1545" spans="1:7" hidden="1">
      <c r="A1545" s="199" t="s">
        <v>793</v>
      </c>
      <c r="B1545" s="200">
        <v>3100</v>
      </c>
      <c r="C1545" s="200">
        <v>0</v>
      </c>
      <c r="D1545" s="201" t="s">
        <v>443</v>
      </c>
      <c r="E1545" s="201" t="s">
        <v>639</v>
      </c>
      <c r="F1545" s="200" t="s">
        <v>397</v>
      </c>
      <c r="G1545" s="200" t="s">
        <v>689</v>
      </c>
    </row>
    <row r="1546" spans="1:7" hidden="1">
      <c r="A1546" s="199" t="s">
        <v>794</v>
      </c>
      <c r="B1546" s="200">
        <v>2100</v>
      </c>
      <c r="C1546" s="200">
        <v>0</v>
      </c>
      <c r="D1546" s="201" t="s">
        <v>443</v>
      </c>
      <c r="E1546" s="201" t="s">
        <v>639</v>
      </c>
      <c r="F1546" s="200" t="s">
        <v>397</v>
      </c>
      <c r="G1546" s="200" t="s">
        <v>689</v>
      </c>
    </row>
    <row r="1547" spans="1:7" hidden="1">
      <c r="A1547" s="199" t="s">
        <v>795</v>
      </c>
      <c r="B1547" s="200">
        <v>12500</v>
      </c>
      <c r="C1547" s="200">
        <v>0</v>
      </c>
      <c r="D1547" s="201" t="s">
        <v>441</v>
      </c>
      <c r="E1547" s="201" t="s">
        <v>639</v>
      </c>
      <c r="F1547" s="200" t="s">
        <v>653</v>
      </c>
      <c r="G1547" s="200" t="s">
        <v>689</v>
      </c>
    </row>
    <row r="1548" spans="1:7" hidden="1">
      <c r="A1548" s="199" t="s">
        <v>796</v>
      </c>
      <c r="B1548" s="200">
        <v>5700</v>
      </c>
      <c r="C1548" s="200">
        <v>0</v>
      </c>
      <c r="D1548" s="201" t="s">
        <v>443</v>
      </c>
      <c r="E1548" s="201" t="s">
        <v>639</v>
      </c>
      <c r="F1548" s="200" t="s">
        <v>397</v>
      </c>
      <c r="G1548" s="200" t="s">
        <v>689</v>
      </c>
    </row>
    <row r="1549" spans="1:7" hidden="1">
      <c r="A1549" s="199" t="s">
        <v>797</v>
      </c>
      <c r="B1549" s="200">
        <v>200000</v>
      </c>
      <c r="C1549" s="200">
        <v>0</v>
      </c>
      <c r="D1549" s="201" t="s">
        <v>441</v>
      </c>
      <c r="E1549" s="201" t="s">
        <v>639</v>
      </c>
      <c r="F1549" s="200" t="s">
        <v>653</v>
      </c>
      <c r="G1549" s="200" t="s">
        <v>689</v>
      </c>
    </row>
    <row r="1550" spans="1:7" hidden="1">
      <c r="A1550" s="199" t="s">
        <v>798</v>
      </c>
      <c r="B1550" s="200">
        <v>2100</v>
      </c>
      <c r="C1550" s="200">
        <v>0</v>
      </c>
      <c r="D1550" s="201" t="s">
        <v>443</v>
      </c>
      <c r="E1550" s="201" t="s">
        <v>639</v>
      </c>
      <c r="F1550" s="200" t="s">
        <v>397</v>
      </c>
      <c r="G1550" s="200" t="s">
        <v>689</v>
      </c>
    </row>
    <row r="1551" spans="1:7" hidden="1">
      <c r="A1551" s="199" t="s">
        <v>799</v>
      </c>
      <c r="B1551" s="200">
        <v>31400</v>
      </c>
      <c r="C1551" s="200">
        <v>0</v>
      </c>
      <c r="D1551" s="201" t="s">
        <v>441</v>
      </c>
      <c r="E1551" s="201" t="s">
        <v>639</v>
      </c>
      <c r="F1551" s="200" t="s">
        <v>653</v>
      </c>
      <c r="G1551" s="200" t="s">
        <v>689</v>
      </c>
    </row>
    <row r="1552" spans="1:7" hidden="1">
      <c r="A1552" s="199" t="s">
        <v>800</v>
      </c>
      <c r="B1552" s="200">
        <v>4900</v>
      </c>
      <c r="C1552" s="200">
        <v>0</v>
      </c>
      <c r="D1552" s="201" t="s">
        <v>443</v>
      </c>
      <c r="E1552" s="201" t="s">
        <v>639</v>
      </c>
      <c r="F1552" s="200" t="s">
        <v>397</v>
      </c>
      <c r="G1552" s="200" t="s">
        <v>689</v>
      </c>
    </row>
    <row r="1553" spans="1:7" hidden="1">
      <c r="A1553" s="199" t="s">
        <v>801</v>
      </c>
      <c r="B1553" s="200">
        <v>3100</v>
      </c>
      <c r="C1553" s="200">
        <v>0</v>
      </c>
      <c r="D1553" s="201" t="s">
        <v>443</v>
      </c>
      <c r="E1553" s="201" t="s">
        <v>639</v>
      </c>
      <c r="F1553" s="200" t="s">
        <v>397</v>
      </c>
      <c r="G1553" s="200" t="s">
        <v>689</v>
      </c>
    </row>
    <row r="1554" spans="1:7" hidden="1">
      <c r="A1554" s="199" t="s">
        <v>802</v>
      </c>
      <c r="B1554" s="200">
        <v>66500</v>
      </c>
      <c r="C1554" s="200">
        <v>0</v>
      </c>
      <c r="D1554" s="201" t="s">
        <v>441</v>
      </c>
      <c r="E1554" s="201" t="s">
        <v>639</v>
      </c>
      <c r="F1554" s="200" t="s">
        <v>653</v>
      </c>
      <c r="G1554" s="200" t="s">
        <v>689</v>
      </c>
    </row>
    <row r="1555" spans="1:7" hidden="1">
      <c r="A1555" s="199" t="s">
        <v>803</v>
      </c>
      <c r="B1555" s="200">
        <v>182300</v>
      </c>
      <c r="C1555" s="200">
        <v>0</v>
      </c>
      <c r="D1555" s="201" t="s">
        <v>441</v>
      </c>
      <c r="E1555" s="201" t="s">
        <v>639</v>
      </c>
      <c r="F1555" s="200" t="s">
        <v>653</v>
      </c>
      <c r="G1555" s="200" t="s">
        <v>689</v>
      </c>
    </row>
    <row r="1556" spans="1:7" hidden="1">
      <c r="A1556" s="199" t="s">
        <v>804</v>
      </c>
      <c r="B1556" s="200">
        <v>10100</v>
      </c>
      <c r="C1556" s="200">
        <v>0</v>
      </c>
      <c r="D1556" s="201" t="s">
        <v>441</v>
      </c>
      <c r="E1556" s="201" t="s">
        <v>639</v>
      </c>
      <c r="F1556" s="200" t="s">
        <v>653</v>
      </c>
      <c r="G1556" s="200" t="s">
        <v>689</v>
      </c>
    </row>
    <row r="1557" spans="1:7" hidden="1">
      <c r="A1557" s="199" t="s">
        <v>805</v>
      </c>
      <c r="B1557" s="200">
        <v>176300</v>
      </c>
      <c r="C1557" s="200">
        <v>0</v>
      </c>
      <c r="D1557" s="201" t="s">
        <v>441</v>
      </c>
      <c r="E1557" s="201" t="s">
        <v>639</v>
      </c>
      <c r="F1557" s="200" t="s">
        <v>653</v>
      </c>
      <c r="G1557" s="200" t="s">
        <v>689</v>
      </c>
    </row>
    <row r="1558" spans="1:7" hidden="1">
      <c r="A1558" s="199" t="s">
        <v>806</v>
      </c>
      <c r="B1558" s="200">
        <v>71900</v>
      </c>
      <c r="C1558" s="200">
        <v>0</v>
      </c>
      <c r="D1558" s="201" t="s">
        <v>441</v>
      </c>
      <c r="E1558" s="201" t="s">
        <v>639</v>
      </c>
      <c r="F1558" s="200" t="s">
        <v>653</v>
      </c>
      <c r="G1558" s="200" t="s">
        <v>689</v>
      </c>
    </row>
    <row r="1559" spans="1:7" hidden="1">
      <c r="A1559" s="199" t="s">
        <v>807</v>
      </c>
      <c r="B1559" s="200">
        <v>19010</v>
      </c>
      <c r="C1559" s="200">
        <v>0</v>
      </c>
      <c r="D1559" s="201" t="s">
        <v>441</v>
      </c>
      <c r="E1559" s="201" t="s">
        <v>639</v>
      </c>
      <c r="F1559" s="200" t="s">
        <v>653</v>
      </c>
      <c r="G1559" s="200" t="s">
        <v>689</v>
      </c>
    </row>
    <row r="1560" spans="1:7" hidden="1">
      <c r="A1560" s="199" t="s">
        <v>808</v>
      </c>
      <c r="B1560" s="200">
        <v>-34700</v>
      </c>
      <c r="C1560" s="200">
        <v>0</v>
      </c>
      <c r="D1560" s="201" t="s">
        <v>443</v>
      </c>
      <c r="E1560" s="201" t="s">
        <v>639</v>
      </c>
      <c r="F1560" s="200" t="s">
        <v>397</v>
      </c>
      <c r="G1560" s="200" t="s">
        <v>689</v>
      </c>
    </row>
    <row r="1561" spans="1:7" hidden="1">
      <c r="A1561" s="199" t="s">
        <v>809</v>
      </c>
      <c r="B1561" s="200">
        <v>78600</v>
      </c>
      <c r="C1561" s="200">
        <v>0</v>
      </c>
      <c r="D1561" s="201" t="s">
        <v>441</v>
      </c>
      <c r="E1561" s="201" t="s">
        <v>639</v>
      </c>
      <c r="F1561" s="200" t="s">
        <v>653</v>
      </c>
      <c r="G1561" s="200" t="s">
        <v>689</v>
      </c>
    </row>
    <row r="1562" spans="1:7" hidden="1">
      <c r="A1562" s="199" t="s">
        <v>810</v>
      </c>
      <c r="B1562" s="200">
        <v>126400</v>
      </c>
      <c r="C1562" s="200">
        <v>0</v>
      </c>
      <c r="D1562" s="201" t="s">
        <v>441</v>
      </c>
      <c r="E1562" s="201" t="s">
        <v>639</v>
      </c>
      <c r="F1562" s="200" t="s">
        <v>653</v>
      </c>
      <c r="G1562" s="200" t="s">
        <v>689</v>
      </c>
    </row>
    <row r="1563" spans="1:7" hidden="1">
      <c r="A1563" s="199" t="s">
        <v>811</v>
      </c>
      <c r="B1563" s="200">
        <v>28200</v>
      </c>
      <c r="C1563" s="200">
        <v>0</v>
      </c>
      <c r="D1563" s="201" t="s">
        <v>441</v>
      </c>
      <c r="E1563" s="201" t="s">
        <v>639</v>
      </c>
      <c r="F1563" s="200" t="s">
        <v>653</v>
      </c>
      <c r="G1563" s="200" t="s">
        <v>689</v>
      </c>
    </row>
    <row r="1564" spans="1:7" hidden="1">
      <c r="A1564" s="199" t="s">
        <v>812</v>
      </c>
      <c r="B1564" s="200">
        <v>24500</v>
      </c>
      <c r="C1564" s="200">
        <v>0</v>
      </c>
      <c r="D1564" s="201" t="s">
        <v>441</v>
      </c>
      <c r="E1564" s="201" t="s">
        <v>639</v>
      </c>
      <c r="F1564" s="200" t="s">
        <v>653</v>
      </c>
      <c r="G1564" s="200" t="s">
        <v>689</v>
      </c>
    </row>
    <row r="1565" spans="1:7" hidden="1">
      <c r="A1565" s="199" t="s">
        <v>813</v>
      </c>
      <c r="B1565" s="200">
        <v>80600</v>
      </c>
      <c r="C1565" s="200">
        <v>0</v>
      </c>
      <c r="D1565" s="201" t="s">
        <v>441</v>
      </c>
      <c r="E1565" s="201" t="s">
        <v>639</v>
      </c>
      <c r="F1565" s="200" t="s">
        <v>653</v>
      </c>
      <c r="G1565" s="200" t="s">
        <v>689</v>
      </c>
    </row>
    <row r="1566" spans="1:7" hidden="1">
      <c r="A1566" s="199" t="s">
        <v>814</v>
      </c>
      <c r="B1566" s="200">
        <v>22400</v>
      </c>
      <c r="C1566" s="200">
        <v>0</v>
      </c>
      <c r="D1566" s="201" t="s">
        <v>441</v>
      </c>
      <c r="E1566" s="201" t="s">
        <v>639</v>
      </c>
      <c r="F1566" s="200" t="s">
        <v>653</v>
      </c>
      <c r="G1566" s="200" t="s">
        <v>689</v>
      </c>
    </row>
    <row r="1567" spans="1:7" hidden="1">
      <c r="A1567" s="199" t="s">
        <v>815</v>
      </c>
      <c r="B1567" s="200">
        <v>90700</v>
      </c>
      <c r="C1567" s="200">
        <v>0</v>
      </c>
      <c r="D1567" s="201" t="s">
        <v>441</v>
      </c>
      <c r="E1567" s="201" t="s">
        <v>639</v>
      </c>
      <c r="F1567" s="200" t="s">
        <v>653</v>
      </c>
      <c r="G1567" s="200" t="s">
        <v>689</v>
      </c>
    </row>
    <row r="1568" spans="1:7" hidden="1">
      <c r="A1568" s="199" t="s">
        <v>816</v>
      </c>
      <c r="B1568" s="200">
        <v>7700</v>
      </c>
      <c r="C1568" s="200">
        <v>0</v>
      </c>
      <c r="D1568" s="201" t="s">
        <v>441</v>
      </c>
      <c r="E1568" s="201" t="s">
        <v>639</v>
      </c>
      <c r="F1568" s="200" t="s">
        <v>653</v>
      </c>
      <c r="G1568" s="200" t="s">
        <v>689</v>
      </c>
    </row>
    <row r="1569" spans="1:7" hidden="1">
      <c r="A1569" s="199" t="s">
        <v>817</v>
      </c>
      <c r="B1569" s="200">
        <v>-10200</v>
      </c>
      <c r="C1569" s="200">
        <v>0</v>
      </c>
      <c r="D1569" s="201" t="s">
        <v>443</v>
      </c>
      <c r="E1569" s="201" t="s">
        <v>639</v>
      </c>
      <c r="F1569" s="200" t="s">
        <v>397</v>
      </c>
      <c r="G1569" s="200" t="s">
        <v>689</v>
      </c>
    </row>
    <row r="1570" spans="1:7" hidden="1">
      <c r="A1570" s="199" t="s">
        <v>818</v>
      </c>
      <c r="B1570" s="200">
        <v>8000</v>
      </c>
      <c r="C1570" s="200">
        <v>0</v>
      </c>
      <c r="D1570" s="201" t="s">
        <v>441</v>
      </c>
      <c r="E1570" s="201" t="s">
        <v>639</v>
      </c>
      <c r="F1570" s="200" t="s">
        <v>653</v>
      </c>
      <c r="G1570" s="200" t="s">
        <v>689</v>
      </c>
    </row>
    <row r="1571" spans="1:7" hidden="1">
      <c r="A1571" s="199" t="s">
        <v>819</v>
      </c>
      <c r="B1571" s="200">
        <v>27600</v>
      </c>
      <c r="C1571" s="200">
        <v>0</v>
      </c>
      <c r="D1571" s="201" t="s">
        <v>441</v>
      </c>
      <c r="E1571" s="201" t="s">
        <v>639</v>
      </c>
      <c r="F1571" s="200" t="s">
        <v>653</v>
      </c>
      <c r="G1571" s="200" t="s">
        <v>689</v>
      </c>
    </row>
    <row r="1572" spans="1:7" hidden="1">
      <c r="A1572" s="199" t="s">
        <v>820</v>
      </c>
      <c r="B1572" s="200">
        <v>-13600</v>
      </c>
      <c r="C1572" s="200">
        <v>0</v>
      </c>
      <c r="D1572" s="201" t="s">
        <v>443</v>
      </c>
      <c r="E1572" s="201" t="s">
        <v>639</v>
      </c>
      <c r="F1572" s="200" t="s">
        <v>397</v>
      </c>
      <c r="G1572" s="200" t="s">
        <v>689</v>
      </c>
    </row>
    <row r="1573" spans="1:7" hidden="1">
      <c r="A1573" s="199" t="s">
        <v>821</v>
      </c>
      <c r="B1573" s="200">
        <v>-17000</v>
      </c>
      <c r="C1573" s="200">
        <v>0</v>
      </c>
      <c r="D1573" s="201" t="s">
        <v>443</v>
      </c>
      <c r="E1573" s="201" t="s">
        <v>639</v>
      </c>
      <c r="F1573" s="200" t="s">
        <v>397</v>
      </c>
      <c r="G1573" s="200" t="s">
        <v>689</v>
      </c>
    </row>
    <row r="1574" spans="1:7" hidden="1">
      <c r="A1574" s="199" t="s">
        <v>822</v>
      </c>
      <c r="B1574" s="200">
        <v>1700</v>
      </c>
      <c r="C1574" s="200">
        <v>0</v>
      </c>
      <c r="D1574" s="201" t="s">
        <v>441</v>
      </c>
      <c r="E1574" s="201" t="s">
        <v>639</v>
      </c>
      <c r="F1574" s="200" t="s">
        <v>653</v>
      </c>
      <c r="G1574" s="200" t="s">
        <v>689</v>
      </c>
    </row>
    <row r="1575" spans="1:7" hidden="1">
      <c r="A1575" s="199" t="s">
        <v>823</v>
      </c>
      <c r="B1575" s="200">
        <v>45400</v>
      </c>
      <c r="C1575" s="200">
        <v>0</v>
      </c>
      <c r="D1575" s="201" t="s">
        <v>441</v>
      </c>
      <c r="E1575" s="201" t="s">
        <v>639</v>
      </c>
      <c r="F1575" s="200" t="s">
        <v>653</v>
      </c>
      <c r="G1575" s="200" t="s">
        <v>689</v>
      </c>
    </row>
    <row r="1576" spans="1:7" hidden="1">
      <c r="A1576" s="199" t="s">
        <v>824</v>
      </c>
      <c r="B1576" s="200">
        <v>-53450</v>
      </c>
      <c r="C1576" s="200">
        <v>0</v>
      </c>
      <c r="D1576" s="201" t="s">
        <v>441</v>
      </c>
      <c r="E1576" s="201" t="s">
        <v>639</v>
      </c>
      <c r="F1576" s="200" t="s">
        <v>653</v>
      </c>
      <c r="G1576" s="200" t="s">
        <v>689</v>
      </c>
    </row>
    <row r="1577" spans="1:7" hidden="1">
      <c r="A1577" s="199" t="s">
        <v>825</v>
      </c>
      <c r="B1577" s="200">
        <v>-1400</v>
      </c>
      <c r="C1577" s="200">
        <v>0</v>
      </c>
      <c r="D1577" s="201" t="s">
        <v>443</v>
      </c>
      <c r="E1577" s="201" t="s">
        <v>639</v>
      </c>
      <c r="F1577" s="200" t="s">
        <v>397</v>
      </c>
      <c r="G1577" s="200" t="s">
        <v>689</v>
      </c>
    </row>
    <row r="1578" spans="1:7" hidden="1">
      <c r="A1578" s="199" t="s">
        <v>826</v>
      </c>
      <c r="B1578" s="200">
        <v>-89339</v>
      </c>
      <c r="C1578" s="200">
        <v>0</v>
      </c>
      <c r="D1578" s="201" t="s">
        <v>443</v>
      </c>
      <c r="E1578" s="201" t="s">
        <v>639</v>
      </c>
      <c r="F1578" s="200" t="s">
        <v>397</v>
      </c>
      <c r="G1578" s="200" t="s">
        <v>689</v>
      </c>
    </row>
    <row r="1579" spans="1:7" hidden="1">
      <c r="A1579" s="199" t="s">
        <v>827</v>
      </c>
      <c r="B1579" s="200">
        <v>-5100</v>
      </c>
      <c r="C1579" s="200">
        <v>0</v>
      </c>
      <c r="D1579" s="201" t="s">
        <v>443</v>
      </c>
      <c r="E1579" s="201" t="s">
        <v>639</v>
      </c>
      <c r="F1579" s="200" t="s">
        <v>397</v>
      </c>
      <c r="G1579" s="200" t="s">
        <v>689</v>
      </c>
    </row>
    <row r="1580" spans="1:7" hidden="1">
      <c r="A1580" s="199" t="s">
        <v>828</v>
      </c>
      <c r="B1580" s="200">
        <v>-2600</v>
      </c>
      <c r="C1580" s="200">
        <v>0</v>
      </c>
      <c r="D1580" s="201" t="s">
        <v>443</v>
      </c>
      <c r="E1580" s="201" t="s">
        <v>639</v>
      </c>
      <c r="F1580" s="200" t="s">
        <v>397</v>
      </c>
      <c r="G1580" s="200" t="s">
        <v>689</v>
      </c>
    </row>
    <row r="1581" spans="1:7" hidden="1">
      <c r="A1581" s="199" t="s">
        <v>829</v>
      </c>
      <c r="B1581" s="200">
        <v>44600</v>
      </c>
      <c r="C1581" s="200">
        <v>0</v>
      </c>
      <c r="D1581" s="201" t="s">
        <v>441</v>
      </c>
      <c r="E1581" s="201" t="s">
        <v>639</v>
      </c>
      <c r="F1581" s="200" t="s">
        <v>653</v>
      </c>
      <c r="G1581" s="200" t="s">
        <v>689</v>
      </c>
    </row>
    <row r="1582" spans="1:7" hidden="1">
      <c r="A1582" s="199" t="s">
        <v>830</v>
      </c>
      <c r="B1582" s="200">
        <v>41500</v>
      </c>
      <c r="C1582" s="200">
        <v>0</v>
      </c>
      <c r="D1582" s="201" t="s">
        <v>441</v>
      </c>
      <c r="E1582" s="201" t="s">
        <v>639</v>
      </c>
      <c r="F1582" s="200" t="s">
        <v>653</v>
      </c>
      <c r="G1582" s="200" t="s">
        <v>689</v>
      </c>
    </row>
    <row r="1583" spans="1:7" hidden="1">
      <c r="A1583" s="199" t="s">
        <v>831</v>
      </c>
      <c r="B1583" s="200">
        <v>7900</v>
      </c>
      <c r="C1583" s="200">
        <v>0</v>
      </c>
      <c r="D1583" s="201" t="s">
        <v>441</v>
      </c>
      <c r="E1583" s="201" t="s">
        <v>639</v>
      </c>
      <c r="F1583" s="200" t="s">
        <v>653</v>
      </c>
      <c r="G1583" s="200" t="s">
        <v>689</v>
      </c>
    </row>
    <row r="1584" spans="1:7" hidden="1">
      <c r="A1584" s="199" t="s">
        <v>832</v>
      </c>
      <c r="B1584" s="200">
        <v>117700</v>
      </c>
      <c r="C1584" s="200">
        <v>0</v>
      </c>
      <c r="D1584" s="201" t="s">
        <v>441</v>
      </c>
      <c r="E1584" s="201" t="s">
        <v>639</v>
      </c>
      <c r="F1584" s="200" t="s">
        <v>653</v>
      </c>
      <c r="G1584" s="200" t="s">
        <v>689</v>
      </c>
    </row>
    <row r="1585" spans="1:7" hidden="1">
      <c r="A1585" s="199" t="s">
        <v>833</v>
      </c>
      <c r="B1585" s="200">
        <v>34900</v>
      </c>
      <c r="C1585" s="200">
        <v>0</v>
      </c>
      <c r="D1585" s="201" t="s">
        <v>441</v>
      </c>
      <c r="E1585" s="201" t="s">
        <v>639</v>
      </c>
      <c r="F1585" s="200" t="s">
        <v>653</v>
      </c>
      <c r="G1585" s="200" t="s">
        <v>689</v>
      </c>
    </row>
    <row r="1586" spans="1:7" hidden="1">
      <c r="A1586" s="199" t="s">
        <v>834</v>
      </c>
      <c r="B1586" s="200">
        <v>6600</v>
      </c>
      <c r="C1586" s="200">
        <v>0</v>
      </c>
      <c r="D1586" s="201" t="s">
        <v>441</v>
      </c>
      <c r="E1586" s="201" t="s">
        <v>639</v>
      </c>
      <c r="F1586" s="200" t="s">
        <v>653</v>
      </c>
      <c r="G1586" s="200" t="s">
        <v>689</v>
      </c>
    </row>
    <row r="1587" spans="1:7" hidden="1">
      <c r="A1587" s="199" t="s">
        <v>835</v>
      </c>
      <c r="B1587" s="200">
        <v>7500</v>
      </c>
      <c r="C1587" s="200">
        <v>0</v>
      </c>
      <c r="D1587" s="201" t="s">
        <v>441</v>
      </c>
      <c r="E1587" s="201" t="s">
        <v>639</v>
      </c>
      <c r="F1587" s="200" t="s">
        <v>653</v>
      </c>
      <c r="G1587" s="200" t="s">
        <v>689</v>
      </c>
    </row>
    <row r="1588" spans="1:7" hidden="1">
      <c r="A1588" s="199" t="s">
        <v>836</v>
      </c>
      <c r="B1588" s="200">
        <v>37100</v>
      </c>
      <c r="C1588" s="200">
        <v>0</v>
      </c>
      <c r="D1588" s="201" t="s">
        <v>441</v>
      </c>
      <c r="E1588" s="201" t="s">
        <v>639</v>
      </c>
      <c r="F1588" s="200" t="s">
        <v>653</v>
      </c>
      <c r="G1588" s="200" t="s">
        <v>689</v>
      </c>
    </row>
    <row r="1589" spans="1:7" hidden="1">
      <c r="A1589" s="199" t="s">
        <v>837</v>
      </c>
      <c r="B1589" s="200">
        <v>2000</v>
      </c>
      <c r="C1589" s="200">
        <v>0</v>
      </c>
      <c r="D1589" s="201" t="s">
        <v>443</v>
      </c>
      <c r="E1589" s="201" t="s">
        <v>639</v>
      </c>
      <c r="F1589" s="200" t="s">
        <v>397</v>
      </c>
      <c r="G1589" s="200" t="s">
        <v>689</v>
      </c>
    </row>
    <row r="1590" spans="1:7" hidden="1">
      <c r="A1590" s="199" t="s">
        <v>838</v>
      </c>
      <c r="B1590" s="200">
        <v>10000</v>
      </c>
      <c r="C1590" s="200">
        <v>0</v>
      </c>
      <c r="D1590" s="201" t="s">
        <v>441</v>
      </c>
      <c r="E1590" s="201" t="s">
        <v>639</v>
      </c>
      <c r="F1590" s="200" t="s">
        <v>653</v>
      </c>
      <c r="G1590" s="200" t="s">
        <v>689</v>
      </c>
    </row>
    <row r="1591" spans="1:7" hidden="1">
      <c r="A1591" s="199" t="s">
        <v>839</v>
      </c>
      <c r="B1591" s="200">
        <v>5000</v>
      </c>
      <c r="C1591" s="200">
        <v>0</v>
      </c>
      <c r="D1591" s="201" t="s">
        <v>441</v>
      </c>
      <c r="E1591" s="201" t="s">
        <v>639</v>
      </c>
      <c r="F1591" s="200" t="s">
        <v>653</v>
      </c>
      <c r="G1591" s="200" t="s">
        <v>689</v>
      </c>
    </row>
    <row r="1592" spans="1:7" hidden="1">
      <c r="A1592" s="199" t="s">
        <v>840</v>
      </c>
      <c r="B1592" s="200">
        <v>4000</v>
      </c>
      <c r="C1592" s="200">
        <v>0</v>
      </c>
      <c r="D1592" s="201" t="s">
        <v>443</v>
      </c>
      <c r="E1592" s="201" t="s">
        <v>639</v>
      </c>
      <c r="F1592" s="200" t="s">
        <v>397</v>
      </c>
      <c r="G1592" s="200" t="s">
        <v>689</v>
      </c>
    </row>
    <row r="1593" spans="1:7" hidden="1">
      <c r="A1593" s="199" t="s">
        <v>841</v>
      </c>
      <c r="B1593" s="200">
        <v>3500</v>
      </c>
      <c r="C1593" s="200">
        <v>0</v>
      </c>
      <c r="D1593" s="201" t="s">
        <v>443</v>
      </c>
      <c r="E1593" s="201" t="s">
        <v>639</v>
      </c>
      <c r="F1593" s="200" t="s">
        <v>397</v>
      </c>
      <c r="G1593" s="200" t="s">
        <v>689</v>
      </c>
    </row>
    <row r="1594" spans="1:7" hidden="1">
      <c r="A1594" s="199" t="s">
        <v>842</v>
      </c>
      <c r="B1594" s="200">
        <v>2200</v>
      </c>
      <c r="C1594" s="200">
        <v>0</v>
      </c>
      <c r="D1594" s="201" t="s">
        <v>443</v>
      </c>
      <c r="E1594" s="201" t="s">
        <v>639</v>
      </c>
      <c r="F1594" s="200" t="s">
        <v>397</v>
      </c>
      <c r="G1594" s="200" t="s">
        <v>689</v>
      </c>
    </row>
    <row r="1595" spans="1:7" hidden="1">
      <c r="A1595" s="199" t="s">
        <v>842</v>
      </c>
      <c r="B1595" s="200">
        <v>37600</v>
      </c>
      <c r="C1595" s="200">
        <v>0</v>
      </c>
      <c r="D1595" s="201" t="s">
        <v>475</v>
      </c>
      <c r="E1595" s="201" t="s">
        <v>639</v>
      </c>
      <c r="F1595" s="200" t="s">
        <v>397</v>
      </c>
      <c r="G1595" s="200" t="s">
        <v>689</v>
      </c>
    </row>
    <row r="1596" spans="1:7" hidden="1">
      <c r="A1596" s="199" t="s">
        <v>843</v>
      </c>
      <c r="B1596" s="200">
        <v>26400</v>
      </c>
      <c r="C1596" s="200">
        <v>0</v>
      </c>
      <c r="D1596" s="201" t="s">
        <v>441</v>
      </c>
      <c r="E1596" s="201" t="s">
        <v>639</v>
      </c>
      <c r="F1596" s="200" t="s">
        <v>653</v>
      </c>
      <c r="G1596" s="200" t="s">
        <v>689</v>
      </c>
    </row>
    <row r="1597" spans="1:7" hidden="1">
      <c r="A1597" s="199" t="s">
        <v>844</v>
      </c>
      <c r="B1597" s="200">
        <v>2500</v>
      </c>
      <c r="C1597" s="200">
        <v>0</v>
      </c>
      <c r="D1597" s="201" t="s">
        <v>443</v>
      </c>
      <c r="E1597" s="201" t="s">
        <v>639</v>
      </c>
      <c r="F1597" s="200" t="s">
        <v>397</v>
      </c>
      <c r="G1597" s="200" t="s">
        <v>689</v>
      </c>
    </row>
    <row r="1598" spans="1:7" hidden="1">
      <c r="A1598" s="199" t="s">
        <v>845</v>
      </c>
      <c r="B1598" s="200">
        <v>3300</v>
      </c>
      <c r="C1598" s="200">
        <v>0</v>
      </c>
      <c r="D1598" s="201" t="s">
        <v>443</v>
      </c>
      <c r="E1598" s="201" t="s">
        <v>639</v>
      </c>
      <c r="F1598" s="200" t="s">
        <v>397</v>
      </c>
      <c r="G1598" s="200" t="s">
        <v>689</v>
      </c>
    </row>
    <row r="1599" spans="1:7" hidden="1">
      <c r="A1599" s="199" t="s">
        <v>846</v>
      </c>
      <c r="B1599" s="200">
        <v>35900</v>
      </c>
      <c r="C1599" s="200">
        <v>0</v>
      </c>
      <c r="D1599" s="201" t="s">
        <v>441</v>
      </c>
      <c r="E1599" s="201" t="s">
        <v>639</v>
      </c>
      <c r="F1599" s="200" t="s">
        <v>653</v>
      </c>
      <c r="G1599" s="200" t="s">
        <v>689</v>
      </c>
    </row>
    <row r="1600" spans="1:7" hidden="1">
      <c r="A1600" s="199" t="s">
        <v>847</v>
      </c>
      <c r="B1600" s="200">
        <v>32700</v>
      </c>
      <c r="C1600" s="200">
        <v>0</v>
      </c>
      <c r="D1600" s="201" t="s">
        <v>441</v>
      </c>
      <c r="E1600" s="201" t="s">
        <v>639</v>
      </c>
      <c r="F1600" s="200" t="s">
        <v>653</v>
      </c>
      <c r="G1600" s="200" t="s">
        <v>689</v>
      </c>
    </row>
    <row r="1601" spans="1:7" hidden="1">
      <c r="A1601" s="199" t="s">
        <v>848</v>
      </c>
      <c r="B1601" s="200">
        <v>17700</v>
      </c>
      <c r="C1601" s="200">
        <v>0</v>
      </c>
      <c r="D1601" s="201" t="s">
        <v>441</v>
      </c>
      <c r="E1601" s="201" t="s">
        <v>639</v>
      </c>
      <c r="F1601" s="200" t="s">
        <v>653</v>
      </c>
      <c r="G1601" s="200" t="s">
        <v>689</v>
      </c>
    </row>
    <row r="1602" spans="1:7" hidden="1">
      <c r="A1602" s="199" t="s">
        <v>849</v>
      </c>
      <c r="B1602" s="200">
        <v>44000</v>
      </c>
      <c r="C1602" s="200">
        <v>0</v>
      </c>
      <c r="D1602" s="201" t="s">
        <v>441</v>
      </c>
      <c r="E1602" s="201" t="s">
        <v>639</v>
      </c>
      <c r="F1602" s="200" t="s">
        <v>653</v>
      </c>
      <c r="G1602" s="200" t="s">
        <v>689</v>
      </c>
    </row>
    <row r="1603" spans="1:7" hidden="1">
      <c r="A1603" s="199" t="s">
        <v>850</v>
      </c>
      <c r="B1603" s="200">
        <v>-95900</v>
      </c>
      <c r="C1603" s="200">
        <v>0</v>
      </c>
      <c r="D1603" s="201" t="s">
        <v>441</v>
      </c>
      <c r="E1603" s="201" t="s">
        <v>639</v>
      </c>
      <c r="F1603" s="200" t="s">
        <v>410</v>
      </c>
      <c r="G1603" s="200" t="s">
        <v>689</v>
      </c>
    </row>
    <row r="1604" spans="1:7" hidden="1">
      <c r="A1604" s="199" t="s">
        <v>851</v>
      </c>
      <c r="B1604" s="200">
        <v>24800</v>
      </c>
      <c r="C1604" s="200">
        <v>0</v>
      </c>
      <c r="D1604" s="201" t="s">
        <v>441</v>
      </c>
      <c r="E1604" s="201" t="s">
        <v>639</v>
      </c>
      <c r="F1604" s="200" t="s">
        <v>653</v>
      </c>
      <c r="G1604" s="200" t="s">
        <v>689</v>
      </c>
    </row>
    <row r="1605" spans="1:7" hidden="1">
      <c r="A1605" s="199" t="s">
        <v>852</v>
      </c>
      <c r="B1605" s="200">
        <v>3200</v>
      </c>
      <c r="C1605" s="200">
        <v>0</v>
      </c>
      <c r="D1605" s="201" t="s">
        <v>443</v>
      </c>
      <c r="E1605" s="201" t="s">
        <v>639</v>
      </c>
      <c r="F1605" s="200" t="s">
        <v>397</v>
      </c>
      <c r="G1605" s="200" t="s">
        <v>689</v>
      </c>
    </row>
    <row r="1606" spans="1:7" hidden="1">
      <c r="A1606" s="199" t="s">
        <v>853</v>
      </c>
      <c r="B1606" s="200">
        <v>7900</v>
      </c>
      <c r="C1606" s="200">
        <v>0</v>
      </c>
      <c r="D1606" s="201" t="s">
        <v>441</v>
      </c>
      <c r="E1606" s="201" t="s">
        <v>639</v>
      </c>
      <c r="F1606" s="200" t="s">
        <v>653</v>
      </c>
      <c r="G1606" s="200" t="s">
        <v>689</v>
      </c>
    </row>
    <row r="1607" spans="1:7" hidden="1">
      <c r="A1607" s="199" t="s">
        <v>854</v>
      </c>
      <c r="B1607" s="200">
        <v>7400</v>
      </c>
      <c r="C1607" s="200">
        <v>0</v>
      </c>
      <c r="D1607" s="201" t="s">
        <v>441</v>
      </c>
      <c r="E1607" s="201" t="s">
        <v>639</v>
      </c>
      <c r="F1607" s="200" t="s">
        <v>653</v>
      </c>
      <c r="G1607" s="200" t="s">
        <v>689</v>
      </c>
    </row>
    <row r="1608" spans="1:7" hidden="1">
      <c r="A1608" s="199" t="s">
        <v>855</v>
      </c>
      <c r="B1608" s="200">
        <v>1600</v>
      </c>
      <c r="C1608" s="200">
        <v>0</v>
      </c>
      <c r="D1608" s="201" t="s">
        <v>443</v>
      </c>
      <c r="E1608" s="201" t="s">
        <v>639</v>
      </c>
      <c r="F1608" s="200" t="s">
        <v>397</v>
      </c>
      <c r="G1608" s="200" t="s">
        <v>689</v>
      </c>
    </row>
    <row r="1609" spans="1:7" hidden="1">
      <c r="A1609" s="199" t="s">
        <v>856</v>
      </c>
      <c r="B1609" s="200">
        <v>27600</v>
      </c>
      <c r="C1609" s="200">
        <v>0</v>
      </c>
      <c r="D1609" s="201" t="s">
        <v>441</v>
      </c>
      <c r="E1609" s="201" t="s">
        <v>639</v>
      </c>
      <c r="F1609" s="200" t="s">
        <v>653</v>
      </c>
      <c r="G1609" s="200" t="s">
        <v>689</v>
      </c>
    </row>
    <row r="1610" spans="1:7" hidden="1">
      <c r="A1610" s="199" t="s">
        <v>857</v>
      </c>
      <c r="B1610" s="200">
        <v>33000</v>
      </c>
      <c r="C1610" s="200">
        <v>0</v>
      </c>
      <c r="D1610" s="201" t="s">
        <v>441</v>
      </c>
      <c r="E1610" s="201" t="s">
        <v>639</v>
      </c>
      <c r="F1610" s="200" t="s">
        <v>653</v>
      </c>
      <c r="G1610" s="200" t="s">
        <v>689</v>
      </c>
    </row>
    <row r="1611" spans="1:7" hidden="1">
      <c r="A1611" s="199" t="s">
        <v>858</v>
      </c>
      <c r="B1611" s="200">
        <v>43000</v>
      </c>
      <c r="C1611" s="200">
        <v>0</v>
      </c>
      <c r="D1611" s="201" t="s">
        <v>441</v>
      </c>
      <c r="E1611" s="201" t="s">
        <v>639</v>
      </c>
      <c r="F1611" s="200" t="s">
        <v>653</v>
      </c>
      <c r="G1611" s="200" t="s">
        <v>689</v>
      </c>
    </row>
    <row r="1612" spans="1:7" hidden="1">
      <c r="A1612" s="199" t="s">
        <v>859</v>
      </c>
      <c r="B1612" s="200">
        <v>-10800</v>
      </c>
      <c r="C1612" s="200">
        <v>0</v>
      </c>
      <c r="D1612" s="201" t="s">
        <v>441</v>
      </c>
      <c r="E1612" s="201" t="s">
        <v>639</v>
      </c>
      <c r="F1612" s="200" t="s">
        <v>653</v>
      </c>
      <c r="G1612" s="200" t="s">
        <v>689</v>
      </c>
    </row>
    <row r="1613" spans="1:7" hidden="1">
      <c r="A1613" s="199" t="s">
        <v>860</v>
      </c>
      <c r="B1613" s="200">
        <v>-12800</v>
      </c>
      <c r="C1613" s="200">
        <v>0</v>
      </c>
      <c r="D1613" s="201" t="s">
        <v>441</v>
      </c>
      <c r="E1613" s="201" t="s">
        <v>639</v>
      </c>
      <c r="F1613" s="200" t="s">
        <v>653</v>
      </c>
      <c r="G1613" s="200" t="s">
        <v>689</v>
      </c>
    </row>
    <row r="1614" spans="1:7" hidden="1">
      <c r="A1614" s="199" t="s">
        <v>861</v>
      </c>
      <c r="B1614" s="200">
        <v>-8400</v>
      </c>
      <c r="C1614" s="200">
        <v>0</v>
      </c>
      <c r="D1614" s="201" t="s">
        <v>441</v>
      </c>
      <c r="E1614" s="201" t="s">
        <v>639</v>
      </c>
      <c r="F1614" s="200" t="s">
        <v>410</v>
      </c>
      <c r="G1614" s="200" t="s">
        <v>689</v>
      </c>
    </row>
    <row r="1615" spans="1:7" hidden="1">
      <c r="A1615" s="199" t="s">
        <v>862</v>
      </c>
      <c r="B1615" s="200">
        <v>22100</v>
      </c>
      <c r="C1615" s="200">
        <v>0</v>
      </c>
      <c r="D1615" s="201" t="s">
        <v>441</v>
      </c>
      <c r="E1615" s="201" t="s">
        <v>639</v>
      </c>
      <c r="F1615" s="200" t="s">
        <v>653</v>
      </c>
      <c r="G1615" s="200" t="s">
        <v>689</v>
      </c>
    </row>
    <row r="1616" spans="1:7" hidden="1">
      <c r="A1616" s="199" t="s">
        <v>863</v>
      </c>
      <c r="B1616" s="200">
        <v>35500</v>
      </c>
      <c r="C1616" s="200">
        <v>0</v>
      </c>
      <c r="D1616" s="201" t="s">
        <v>441</v>
      </c>
      <c r="E1616" s="201" t="s">
        <v>639</v>
      </c>
      <c r="F1616" s="200" t="s">
        <v>410</v>
      </c>
      <c r="G1616" s="200" t="s">
        <v>689</v>
      </c>
    </row>
    <row r="1617" spans="1:7" hidden="1">
      <c r="A1617" s="199" t="s">
        <v>864</v>
      </c>
      <c r="B1617" s="200">
        <v>-7200</v>
      </c>
      <c r="C1617" s="200">
        <v>0</v>
      </c>
      <c r="D1617" s="201" t="s">
        <v>443</v>
      </c>
      <c r="E1617" s="201" t="s">
        <v>639</v>
      </c>
      <c r="F1617" s="200" t="s">
        <v>397</v>
      </c>
      <c r="G1617" s="200" t="s">
        <v>689</v>
      </c>
    </row>
    <row r="1618" spans="1:7" hidden="1">
      <c r="A1618" s="199" t="s">
        <v>865</v>
      </c>
      <c r="B1618" s="200">
        <v>-5000</v>
      </c>
      <c r="C1618" s="200">
        <v>0</v>
      </c>
      <c r="D1618" s="201" t="s">
        <v>443</v>
      </c>
      <c r="E1618" s="201" t="s">
        <v>639</v>
      </c>
      <c r="F1618" s="200" t="s">
        <v>397</v>
      </c>
      <c r="G1618" s="200" t="s">
        <v>689</v>
      </c>
    </row>
    <row r="1619" spans="1:7" hidden="1">
      <c r="A1619" s="199" t="s">
        <v>866</v>
      </c>
      <c r="B1619" s="200">
        <v>-16444</v>
      </c>
      <c r="C1619" s="200">
        <v>0</v>
      </c>
      <c r="D1619" s="201" t="s">
        <v>443</v>
      </c>
      <c r="E1619" s="201" t="s">
        <v>639</v>
      </c>
      <c r="F1619" s="200" t="s">
        <v>397</v>
      </c>
      <c r="G1619" s="200" t="s">
        <v>689</v>
      </c>
    </row>
    <row r="1620" spans="1:7" hidden="1">
      <c r="A1620" s="199" t="s">
        <v>866</v>
      </c>
      <c r="B1620" s="200">
        <v>-28500</v>
      </c>
      <c r="C1620" s="200">
        <v>0</v>
      </c>
      <c r="D1620" s="201" t="s">
        <v>475</v>
      </c>
      <c r="E1620" s="201" t="s">
        <v>639</v>
      </c>
      <c r="F1620" s="200" t="s">
        <v>397</v>
      </c>
      <c r="G1620" s="200" t="s">
        <v>689</v>
      </c>
    </row>
    <row r="1621" spans="1:7" hidden="1">
      <c r="A1621" s="199" t="s">
        <v>867</v>
      </c>
      <c r="B1621" s="200">
        <v>-3300</v>
      </c>
      <c r="C1621" s="200">
        <v>0</v>
      </c>
      <c r="D1621" s="201" t="s">
        <v>443</v>
      </c>
      <c r="E1621" s="201" t="s">
        <v>639</v>
      </c>
      <c r="F1621" s="200" t="s">
        <v>397</v>
      </c>
      <c r="G1621" s="200" t="s">
        <v>689</v>
      </c>
    </row>
    <row r="1622" spans="1:7" hidden="1">
      <c r="A1622" s="199" t="s">
        <v>867</v>
      </c>
      <c r="B1622" s="200">
        <v>-27200</v>
      </c>
      <c r="C1622" s="200">
        <v>0</v>
      </c>
      <c r="D1622" s="201" t="s">
        <v>475</v>
      </c>
      <c r="E1622" s="201" t="s">
        <v>639</v>
      </c>
      <c r="F1622" s="200" t="s">
        <v>397</v>
      </c>
      <c r="G1622" s="200" t="s">
        <v>689</v>
      </c>
    </row>
    <row r="1623" spans="1:7" hidden="1">
      <c r="A1623" s="199" t="s">
        <v>868</v>
      </c>
      <c r="B1623" s="200">
        <v>25048</v>
      </c>
      <c r="C1623" s="200">
        <v>0</v>
      </c>
      <c r="D1623" s="201" t="s">
        <v>441</v>
      </c>
      <c r="E1623" s="201" t="s">
        <v>639</v>
      </c>
      <c r="F1623" s="200" t="s">
        <v>653</v>
      </c>
      <c r="G1623" s="200" t="s">
        <v>689</v>
      </c>
    </row>
    <row r="1624" spans="1:7" hidden="1">
      <c r="A1624" s="199" t="s">
        <v>869</v>
      </c>
      <c r="B1624" s="200">
        <v>26700</v>
      </c>
      <c r="C1624" s="200">
        <v>0</v>
      </c>
      <c r="D1624" s="201" t="s">
        <v>441</v>
      </c>
      <c r="E1624" s="201" t="s">
        <v>639</v>
      </c>
      <c r="F1624" s="200" t="s">
        <v>653</v>
      </c>
      <c r="G1624" s="200" t="s">
        <v>689</v>
      </c>
    </row>
    <row r="1625" spans="1:7" hidden="1">
      <c r="A1625" s="199" t="s">
        <v>870</v>
      </c>
      <c r="B1625" s="200">
        <v>26400</v>
      </c>
      <c r="C1625" s="200">
        <v>0</v>
      </c>
      <c r="D1625" s="201" t="s">
        <v>441</v>
      </c>
      <c r="E1625" s="201" t="s">
        <v>639</v>
      </c>
      <c r="F1625" s="200" t="s">
        <v>653</v>
      </c>
      <c r="G1625" s="200" t="s">
        <v>689</v>
      </c>
    </row>
    <row r="1626" spans="1:7" hidden="1">
      <c r="A1626" s="199" t="s">
        <v>871</v>
      </c>
      <c r="B1626" s="200">
        <v>-11100</v>
      </c>
      <c r="C1626" s="200">
        <v>0</v>
      </c>
      <c r="D1626" s="201" t="s">
        <v>443</v>
      </c>
      <c r="E1626" s="201" t="s">
        <v>639</v>
      </c>
      <c r="F1626" s="200" t="s">
        <v>397</v>
      </c>
      <c r="G1626" s="200" t="s">
        <v>689</v>
      </c>
    </row>
    <row r="1627" spans="1:7" hidden="1">
      <c r="A1627" s="199" t="s">
        <v>872</v>
      </c>
      <c r="B1627" s="200">
        <v>16500</v>
      </c>
      <c r="C1627" s="200">
        <v>0</v>
      </c>
      <c r="D1627" s="201" t="s">
        <v>441</v>
      </c>
      <c r="E1627" s="201" t="s">
        <v>639</v>
      </c>
      <c r="F1627" s="200" t="s">
        <v>410</v>
      </c>
      <c r="G1627" s="200" t="s">
        <v>689</v>
      </c>
    </row>
    <row r="1628" spans="1:7" hidden="1">
      <c r="A1628" s="199" t="s">
        <v>873</v>
      </c>
      <c r="B1628" s="200">
        <v>33200</v>
      </c>
      <c r="C1628" s="200">
        <v>0</v>
      </c>
      <c r="D1628" s="201" t="s">
        <v>441</v>
      </c>
      <c r="E1628" s="201" t="s">
        <v>639</v>
      </c>
      <c r="F1628" s="200" t="s">
        <v>653</v>
      </c>
      <c r="G1628" s="200" t="s">
        <v>689</v>
      </c>
    </row>
    <row r="1629" spans="1:7" hidden="1">
      <c r="A1629" s="199" t="s">
        <v>874</v>
      </c>
      <c r="B1629" s="200">
        <v>7200</v>
      </c>
      <c r="C1629" s="200">
        <v>0</v>
      </c>
      <c r="D1629" s="201" t="s">
        <v>443</v>
      </c>
      <c r="E1629" s="201" t="s">
        <v>639</v>
      </c>
      <c r="F1629" s="200" t="s">
        <v>397</v>
      </c>
      <c r="G1629" s="200" t="s">
        <v>689</v>
      </c>
    </row>
    <row r="1630" spans="1:7" hidden="1">
      <c r="A1630" s="199" t="s">
        <v>875</v>
      </c>
      <c r="B1630" s="200">
        <v>-45500</v>
      </c>
      <c r="C1630" s="200">
        <v>0</v>
      </c>
      <c r="D1630" s="201" t="s">
        <v>475</v>
      </c>
      <c r="E1630" s="201" t="s">
        <v>639</v>
      </c>
      <c r="F1630" s="200" t="s">
        <v>397</v>
      </c>
      <c r="G1630" s="200" t="s">
        <v>689</v>
      </c>
    </row>
    <row r="1631" spans="1:7" hidden="1">
      <c r="A1631" s="199" t="s">
        <v>876</v>
      </c>
      <c r="B1631" s="200">
        <v>6500</v>
      </c>
      <c r="C1631" s="200">
        <v>0</v>
      </c>
      <c r="D1631" s="201" t="s">
        <v>443</v>
      </c>
      <c r="E1631" s="201" t="s">
        <v>639</v>
      </c>
      <c r="F1631" s="200" t="s">
        <v>397</v>
      </c>
      <c r="G1631" s="200" t="s">
        <v>689</v>
      </c>
    </row>
    <row r="1632" spans="1:7" hidden="1">
      <c r="A1632" s="199" t="s">
        <v>877</v>
      </c>
      <c r="B1632" s="200">
        <v>138100</v>
      </c>
      <c r="C1632" s="200">
        <v>0</v>
      </c>
      <c r="D1632" s="201" t="s">
        <v>441</v>
      </c>
      <c r="E1632" s="201" t="s">
        <v>639</v>
      </c>
      <c r="F1632" s="200" t="s">
        <v>653</v>
      </c>
      <c r="G1632" s="200" t="s">
        <v>689</v>
      </c>
    </row>
    <row r="1633" spans="1:7" hidden="1">
      <c r="A1633" s="199" t="s">
        <v>878</v>
      </c>
      <c r="B1633" s="200">
        <v>3200</v>
      </c>
      <c r="C1633" s="200">
        <v>0</v>
      </c>
      <c r="D1633" s="201" t="s">
        <v>443</v>
      </c>
      <c r="E1633" s="201" t="s">
        <v>639</v>
      </c>
      <c r="F1633" s="200" t="s">
        <v>397</v>
      </c>
      <c r="G1633" s="200" t="s">
        <v>689</v>
      </c>
    </row>
    <row r="1634" spans="1:7" hidden="1">
      <c r="A1634" s="199" t="s">
        <v>879</v>
      </c>
      <c r="B1634" s="200">
        <v>77200</v>
      </c>
      <c r="C1634" s="200">
        <v>0</v>
      </c>
      <c r="D1634" s="201" t="s">
        <v>441</v>
      </c>
      <c r="E1634" s="201" t="s">
        <v>639</v>
      </c>
      <c r="F1634" s="200" t="s">
        <v>653</v>
      </c>
      <c r="G1634" s="200" t="s">
        <v>689</v>
      </c>
    </row>
    <row r="1635" spans="1:7" hidden="1">
      <c r="A1635" s="199" t="s">
        <v>880</v>
      </c>
      <c r="B1635" s="200">
        <v>8000</v>
      </c>
      <c r="C1635" s="200">
        <v>0</v>
      </c>
      <c r="D1635" s="201" t="s">
        <v>443</v>
      </c>
      <c r="E1635" s="201" t="s">
        <v>639</v>
      </c>
      <c r="F1635" s="200" t="s">
        <v>397</v>
      </c>
      <c r="G1635" s="200" t="s">
        <v>689</v>
      </c>
    </row>
    <row r="1636" spans="1:7" hidden="1">
      <c r="A1636" s="199" t="s">
        <v>881</v>
      </c>
      <c r="B1636" s="200">
        <v>48700</v>
      </c>
      <c r="C1636" s="200">
        <v>0</v>
      </c>
      <c r="D1636" s="201" t="s">
        <v>441</v>
      </c>
      <c r="E1636" s="201" t="s">
        <v>639</v>
      </c>
      <c r="F1636" s="200" t="s">
        <v>653</v>
      </c>
      <c r="G1636" s="200" t="s">
        <v>689</v>
      </c>
    </row>
    <row r="1637" spans="1:7" hidden="1">
      <c r="A1637" s="199" t="s">
        <v>882</v>
      </c>
      <c r="B1637" s="200">
        <v>101500</v>
      </c>
      <c r="C1637" s="200">
        <v>0</v>
      </c>
      <c r="D1637" s="201" t="s">
        <v>441</v>
      </c>
      <c r="E1637" s="201" t="s">
        <v>639</v>
      </c>
      <c r="F1637" s="200" t="s">
        <v>653</v>
      </c>
      <c r="G1637" s="200" t="s">
        <v>689</v>
      </c>
    </row>
    <row r="1638" spans="1:7" hidden="1">
      <c r="A1638" s="199" t="s">
        <v>883</v>
      </c>
      <c r="B1638" s="200">
        <v>-6500</v>
      </c>
      <c r="C1638" s="200">
        <v>0</v>
      </c>
      <c r="D1638" s="201" t="s">
        <v>475</v>
      </c>
      <c r="E1638" s="201" t="s">
        <v>639</v>
      </c>
      <c r="F1638" s="200" t="s">
        <v>397</v>
      </c>
      <c r="G1638" s="200" t="s">
        <v>689</v>
      </c>
    </row>
    <row r="1639" spans="1:7" hidden="1">
      <c r="A1639" s="199" t="s">
        <v>884</v>
      </c>
      <c r="B1639" s="200">
        <v>38200</v>
      </c>
      <c r="C1639" s="200">
        <v>0</v>
      </c>
      <c r="D1639" s="201" t="s">
        <v>441</v>
      </c>
      <c r="E1639" s="201" t="s">
        <v>639</v>
      </c>
      <c r="F1639" s="200" t="s">
        <v>653</v>
      </c>
      <c r="G1639" s="200" t="s">
        <v>689</v>
      </c>
    </row>
    <row r="1640" spans="1:7" hidden="1">
      <c r="A1640" s="199" t="s">
        <v>885</v>
      </c>
      <c r="B1640" s="200">
        <v>8700</v>
      </c>
      <c r="C1640" s="200">
        <v>0</v>
      </c>
      <c r="D1640" s="201" t="s">
        <v>443</v>
      </c>
      <c r="E1640" s="201" t="s">
        <v>639</v>
      </c>
      <c r="F1640" s="200" t="s">
        <v>397</v>
      </c>
      <c r="G1640" s="200" t="s">
        <v>689</v>
      </c>
    </row>
    <row r="1641" spans="1:7" hidden="1">
      <c r="A1641" s="199" t="s">
        <v>886</v>
      </c>
      <c r="B1641" s="200">
        <v>8600</v>
      </c>
      <c r="C1641" s="200">
        <v>0</v>
      </c>
      <c r="D1641" s="201" t="s">
        <v>443</v>
      </c>
      <c r="E1641" s="201" t="s">
        <v>639</v>
      </c>
      <c r="F1641" s="200" t="s">
        <v>397</v>
      </c>
      <c r="G1641" s="200" t="s">
        <v>689</v>
      </c>
    </row>
    <row r="1642" spans="1:7" hidden="1">
      <c r="A1642" s="199" t="s">
        <v>887</v>
      </c>
      <c r="B1642" s="200">
        <v>6500</v>
      </c>
      <c r="C1642" s="200">
        <v>0</v>
      </c>
      <c r="D1642" s="201" t="s">
        <v>443</v>
      </c>
      <c r="E1642" s="201" t="s">
        <v>639</v>
      </c>
      <c r="F1642" s="200" t="s">
        <v>397</v>
      </c>
      <c r="G1642" s="200" t="s">
        <v>689</v>
      </c>
    </row>
    <row r="1643" spans="1:7" hidden="1">
      <c r="A1643" s="199" t="s">
        <v>888</v>
      </c>
      <c r="B1643" s="200">
        <v>5600</v>
      </c>
      <c r="C1643" s="200">
        <v>0</v>
      </c>
      <c r="D1643" s="201" t="s">
        <v>443</v>
      </c>
      <c r="E1643" s="201" t="s">
        <v>639</v>
      </c>
      <c r="F1643" s="200" t="s">
        <v>397</v>
      </c>
      <c r="G1643" s="200" t="s">
        <v>689</v>
      </c>
    </row>
    <row r="1644" spans="1:7" hidden="1">
      <c r="A1644" s="199" t="s">
        <v>889</v>
      </c>
      <c r="B1644" s="200">
        <v>7900</v>
      </c>
      <c r="C1644" s="200">
        <v>0</v>
      </c>
      <c r="D1644" s="201" t="s">
        <v>443</v>
      </c>
      <c r="E1644" s="201" t="s">
        <v>639</v>
      </c>
      <c r="F1644" s="200" t="s">
        <v>397</v>
      </c>
      <c r="G1644" s="200" t="s">
        <v>689</v>
      </c>
    </row>
    <row r="1645" spans="1:7" hidden="1">
      <c r="A1645" s="199" t="s">
        <v>890</v>
      </c>
      <c r="B1645" s="200">
        <v>65500</v>
      </c>
      <c r="C1645" s="200">
        <v>0</v>
      </c>
      <c r="D1645" s="201" t="s">
        <v>441</v>
      </c>
      <c r="E1645" s="201" t="s">
        <v>639</v>
      </c>
      <c r="F1645" s="200" t="s">
        <v>653</v>
      </c>
      <c r="G1645" s="200" t="s">
        <v>689</v>
      </c>
    </row>
    <row r="1646" spans="1:7" hidden="1">
      <c r="A1646" s="199" t="s">
        <v>891</v>
      </c>
      <c r="B1646" s="200">
        <v>60000</v>
      </c>
      <c r="C1646" s="200">
        <v>0</v>
      </c>
      <c r="D1646" s="201" t="s">
        <v>441</v>
      </c>
      <c r="E1646" s="201" t="s">
        <v>639</v>
      </c>
      <c r="F1646" s="200" t="s">
        <v>653</v>
      </c>
      <c r="G1646" s="200" t="s">
        <v>689</v>
      </c>
    </row>
    <row r="1647" spans="1:7" hidden="1">
      <c r="A1647" s="199" t="s">
        <v>892</v>
      </c>
      <c r="B1647" s="200">
        <v>3960</v>
      </c>
      <c r="C1647" s="200">
        <v>0</v>
      </c>
      <c r="D1647" s="201" t="s">
        <v>441</v>
      </c>
      <c r="E1647" s="201" t="s">
        <v>639</v>
      </c>
      <c r="F1647" s="200" t="s">
        <v>653</v>
      </c>
      <c r="G1647" s="200" t="s">
        <v>689</v>
      </c>
    </row>
    <row r="1648" spans="1:7" hidden="1">
      <c r="A1648" s="199" t="s">
        <v>893</v>
      </c>
      <c r="B1648" s="200">
        <v>45600</v>
      </c>
      <c r="C1648" s="200">
        <v>0</v>
      </c>
      <c r="D1648" s="201" t="s">
        <v>441</v>
      </c>
      <c r="E1648" s="201" t="s">
        <v>639</v>
      </c>
      <c r="F1648" s="200" t="s">
        <v>653</v>
      </c>
      <c r="G1648" s="200" t="s">
        <v>689</v>
      </c>
    </row>
    <row r="1649" spans="1:7" hidden="1">
      <c r="A1649" s="199" t="s">
        <v>894</v>
      </c>
      <c r="B1649" s="200">
        <v>-34400</v>
      </c>
      <c r="C1649" s="200">
        <v>0</v>
      </c>
      <c r="D1649" s="201" t="s">
        <v>441</v>
      </c>
      <c r="E1649" s="201" t="s">
        <v>639</v>
      </c>
      <c r="F1649" s="200" t="s">
        <v>653</v>
      </c>
      <c r="G1649" s="200" t="s">
        <v>689</v>
      </c>
    </row>
    <row r="1650" spans="1:7" hidden="1">
      <c r="A1650" s="199" t="s">
        <v>895</v>
      </c>
      <c r="B1650" s="200">
        <v>3800</v>
      </c>
      <c r="C1650" s="200">
        <v>0</v>
      </c>
      <c r="D1650" s="201" t="s">
        <v>443</v>
      </c>
      <c r="E1650" s="201" t="s">
        <v>639</v>
      </c>
      <c r="F1650" s="200" t="s">
        <v>397</v>
      </c>
      <c r="G1650" s="200" t="s">
        <v>689</v>
      </c>
    </row>
    <row r="1651" spans="1:7" hidden="1">
      <c r="A1651" s="199" t="s">
        <v>896</v>
      </c>
      <c r="B1651" s="200">
        <v>-51800</v>
      </c>
      <c r="C1651" s="200">
        <v>0</v>
      </c>
      <c r="D1651" s="201" t="s">
        <v>441</v>
      </c>
      <c r="E1651" s="201" t="s">
        <v>639</v>
      </c>
      <c r="F1651" s="200" t="s">
        <v>653</v>
      </c>
      <c r="G1651" s="200" t="s">
        <v>689</v>
      </c>
    </row>
    <row r="1652" spans="1:7" hidden="1">
      <c r="A1652" s="199" t="s">
        <v>897</v>
      </c>
      <c r="B1652" s="200">
        <v>-6400</v>
      </c>
      <c r="C1652" s="200">
        <v>0</v>
      </c>
      <c r="D1652" s="201" t="s">
        <v>443</v>
      </c>
      <c r="E1652" s="201" t="s">
        <v>639</v>
      </c>
      <c r="F1652" s="200" t="s">
        <v>397</v>
      </c>
      <c r="G1652" s="200" t="s">
        <v>689</v>
      </c>
    </row>
    <row r="1653" spans="1:7" hidden="1">
      <c r="A1653" s="199" t="s">
        <v>898</v>
      </c>
      <c r="B1653" s="200">
        <v>6700</v>
      </c>
      <c r="C1653" s="200">
        <v>0</v>
      </c>
      <c r="D1653" s="201" t="s">
        <v>441</v>
      </c>
      <c r="E1653" s="201" t="s">
        <v>639</v>
      </c>
      <c r="F1653" s="200" t="s">
        <v>653</v>
      </c>
      <c r="G1653" s="200" t="s">
        <v>689</v>
      </c>
    </row>
    <row r="1654" spans="1:7" hidden="1">
      <c r="A1654" s="199" t="s">
        <v>899</v>
      </c>
      <c r="B1654" s="200">
        <v>105600</v>
      </c>
      <c r="C1654" s="200">
        <v>0</v>
      </c>
      <c r="D1654" s="201" t="s">
        <v>441</v>
      </c>
      <c r="E1654" s="201" t="s">
        <v>639</v>
      </c>
      <c r="F1654" s="200" t="s">
        <v>653</v>
      </c>
      <c r="G1654" s="200" t="s">
        <v>689</v>
      </c>
    </row>
    <row r="1655" spans="1:7" hidden="1">
      <c r="A1655" s="199" t="s">
        <v>900</v>
      </c>
      <c r="B1655" s="200">
        <v>223178</v>
      </c>
      <c r="C1655" s="200">
        <v>0</v>
      </c>
      <c r="D1655" s="201" t="s">
        <v>441</v>
      </c>
      <c r="E1655" s="201" t="s">
        <v>639</v>
      </c>
      <c r="F1655" s="200" t="s">
        <v>653</v>
      </c>
      <c r="G1655" s="200" t="s">
        <v>689</v>
      </c>
    </row>
    <row r="1656" spans="1:7" hidden="1">
      <c r="A1656" s="199" t="s">
        <v>901</v>
      </c>
      <c r="B1656" s="200">
        <v>71700</v>
      </c>
      <c r="C1656" s="200">
        <v>0</v>
      </c>
      <c r="D1656" s="201" t="s">
        <v>441</v>
      </c>
      <c r="E1656" s="201" t="s">
        <v>639</v>
      </c>
      <c r="F1656" s="200" t="s">
        <v>653</v>
      </c>
      <c r="G1656" s="200" t="s">
        <v>689</v>
      </c>
    </row>
    <row r="1657" spans="1:7" hidden="1">
      <c r="A1657" s="199" t="s">
        <v>902</v>
      </c>
      <c r="B1657" s="200">
        <v>58100</v>
      </c>
      <c r="C1657" s="200">
        <v>0</v>
      </c>
      <c r="D1657" s="201" t="s">
        <v>441</v>
      </c>
      <c r="E1657" s="201" t="s">
        <v>639</v>
      </c>
      <c r="F1657" s="200" t="s">
        <v>653</v>
      </c>
      <c r="G1657" s="200" t="s">
        <v>689</v>
      </c>
    </row>
    <row r="1658" spans="1:7" hidden="1">
      <c r="A1658" s="199" t="s">
        <v>903</v>
      </c>
      <c r="B1658" s="200">
        <v>32600</v>
      </c>
      <c r="C1658" s="200">
        <v>0</v>
      </c>
      <c r="D1658" s="201" t="s">
        <v>441</v>
      </c>
      <c r="E1658" s="201" t="s">
        <v>639</v>
      </c>
      <c r="F1658" s="200" t="s">
        <v>653</v>
      </c>
      <c r="G1658" s="200" t="s">
        <v>689</v>
      </c>
    </row>
    <row r="1659" spans="1:7" hidden="1">
      <c r="A1659" s="199" t="s">
        <v>904</v>
      </c>
      <c r="B1659" s="200">
        <v>17500</v>
      </c>
      <c r="C1659" s="200">
        <v>0</v>
      </c>
      <c r="D1659" s="201" t="s">
        <v>443</v>
      </c>
      <c r="E1659" s="201" t="s">
        <v>639</v>
      </c>
      <c r="F1659" s="200" t="s">
        <v>397</v>
      </c>
      <c r="G1659" s="200" t="s">
        <v>689</v>
      </c>
    </row>
    <row r="1660" spans="1:7" hidden="1">
      <c r="A1660" s="199" t="s">
        <v>905</v>
      </c>
      <c r="B1660" s="200">
        <v>86400</v>
      </c>
      <c r="C1660" s="200">
        <v>0</v>
      </c>
      <c r="D1660" s="201" t="s">
        <v>441</v>
      </c>
      <c r="E1660" s="201" t="s">
        <v>639</v>
      </c>
      <c r="F1660" s="200" t="s">
        <v>653</v>
      </c>
      <c r="G1660" s="200" t="s">
        <v>689</v>
      </c>
    </row>
    <row r="1661" spans="1:7" hidden="1">
      <c r="A1661" s="199" t="s">
        <v>906</v>
      </c>
      <c r="B1661" s="200">
        <v>9000</v>
      </c>
      <c r="C1661" s="200">
        <v>0</v>
      </c>
      <c r="D1661" s="201" t="s">
        <v>443</v>
      </c>
      <c r="E1661" s="201" t="s">
        <v>639</v>
      </c>
      <c r="F1661" s="200" t="s">
        <v>397</v>
      </c>
      <c r="G1661" s="200" t="s">
        <v>689</v>
      </c>
    </row>
    <row r="1662" spans="1:7" hidden="1">
      <c r="A1662" s="199" t="s">
        <v>907</v>
      </c>
      <c r="B1662" s="200">
        <v>13400</v>
      </c>
      <c r="C1662" s="200">
        <v>0</v>
      </c>
      <c r="D1662" s="201" t="s">
        <v>443</v>
      </c>
      <c r="E1662" s="201" t="s">
        <v>639</v>
      </c>
      <c r="F1662" s="200" t="s">
        <v>397</v>
      </c>
      <c r="G1662" s="200" t="s">
        <v>689</v>
      </c>
    </row>
    <row r="1663" spans="1:7" hidden="1">
      <c r="A1663" s="199" t="s">
        <v>908</v>
      </c>
      <c r="B1663" s="200">
        <v>55600</v>
      </c>
      <c r="C1663" s="200">
        <v>0</v>
      </c>
      <c r="D1663" s="201" t="s">
        <v>441</v>
      </c>
      <c r="E1663" s="201" t="s">
        <v>639</v>
      </c>
      <c r="F1663" s="200" t="s">
        <v>653</v>
      </c>
      <c r="G1663" s="200" t="s">
        <v>689</v>
      </c>
    </row>
    <row r="1664" spans="1:7" hidden="1">
      <c r="A1664" s="199" t="s">
        <v>909</v>
      </c>
      <c r="B1664" s="200">
        <v>75200</v>
      </c>
      <c r="C1664" s="200">
        <v>0</v>
      </c>
      <c r="D1664" s="201" t="s">
        <v>441</v>
      </c>
      <c r="E1664" s="201" t="s">
        <v>639</v>
      </c>
      <c r="F1664" s="200" t="s">
        <v>653</v>
      </c>
      <c r="G1664" s="200" t="s">
        <v>689</v>
      </c>
    </row>
    <row r="1665" spans="1:7" hidden="1">
      <c r="A1665" s="199" t="s">
        <v>910</v>
      </c>
      <c r="B1665" s="200">
        <v>89600</v>
      </c>
      <c r="C1665" s="200">
        <v>0</v>
      </c>
      <c r="D1665" s="201" t="s">
        <v>443</v>
      </c>
      <c r="E1665" s="201" t="s">
        <v>639</v>
      </c>
      <c r="F1665" s="200" t="s">
        <v>397</v>
      </c>
      <c r="G1665" s="200" t="s">
        <v>689</v>
      </c>
    </row>
    <row r="1666" spans="1:7" hidden="1">
      <c r="A1666" s="199" t="s">
        <v>911</v>
      </c>
      <c r="B1666" s="200">
        <v>7800</v>
      </c>
      <c r="C1666" s="200">
        <v>0</v>
      </c>
      <c r="D1666" s="201" t="s">
        <v>443</v>
      </c>
      <c r="E1666" s="201" t="s">
        <v>639</v>
      </c>
      <c r="F1666" s="200" t="s">
        <v>397</v>
      </c>
      <c r="G1666" s="200" t="s">
        <v>689</v>
      </c>
    </row>
    <row r="1667" spans="1:7" hidden="1">
      <c r="A1667" s="202" t="s">
        <v>912</v>
      </c>
      <c r="B1667" s="203">
        <v>2800</v>
      </c>
      <c r="C1667" s="203">
        <v>0</v>
      </c>
      <c r="D1667" s="202" t="s">
        <v>443</v>
      </c>
      <c r="E1667" s="202" t="s">
        <v>639</v>
      </c>
      <c r="F1667" s="202" t="s">
        <v>397</v>
      </c>
      <c r="G1667" s="202" t="s">
        <v>689</v>
      </c>
    </row>
    <row r="1668" spans="1:7" hidden="1">
      <c r="A1668" s="202" t="s">
        <v>913</v>
      </c>
      <c r="B1668" s="203">
        <v>220200</v>
      </c>
      <c r="C1668" s="203">
        <v>0</v>
      </c>
      <c r="D1668" s="202" t="s">
        <v>441</v>
      </c>
      <c r="E1668" s="202" t="s">
        <v>639</v>
      </c>
      <c r="F1668" s="202" t="s">
        <v>653</v>
      </c>
      <c r="G1668" s="202" t="s">
        <v>689</v>
      </c>
    </row>
    <row r="1669" spans="1:7" hidden="1">
      <c r="A1669" s="202" t="s">
        <v>914</v>
      </c>
      <c r="B1669" s="203">
        <v>366900</v>
      </c>
      <c r="C1669" s="203">
        <v>0</v>
      </c>
      <c r="D1669" s="202" t="s">
        <v>441</v>
      </c>
      <c r="E1669" s="202" t="s">
        <v>639</v>
      </c>
      <c r="F1669" s="202" t="s">
        <v>653</v>
      </c>
      <c r="G1669" s="202" t="s">
        <v>689</v>
      </c>
    </row>
    <row r="1670" spans="1:7" hidden="1">
      <c r="A1670" s="202" t="s">
        <v>915</v>
      </c>
      <c r="B1670" s="203">
        <v>3000</v>
      </c>
      <c r="C1670" s="203">
        <v>0</v>
      </c>
      <c r="D1670" s="202" t="s">
        <v>443</v>
      </c>
      <c r="E1670" s="202" t="s">
        <v>639</v>
      </c>
      <c r="F1670" s="202" t="s">
        <v>397</v>
      </c>
      <c r="G1670" s="202" t="s">
        <v>689</v>
      </c>
    </row>
    <row r="1671" spans="1:7" hidden="1">
      <c r="A1671" s="202" t="s">
        <v>916</v>
      </c>
      <c r="B1671" s="203">
        <v>9000</v>
      </c>
      <c r="C1671" s="203">
        <v>0</v>
      </c>
      <c r="D1671" s="202" t="s">
        <v>443</v>
      </c>
      <c r="E1671" s="202" t="s">
        <v>639</v>
      </c>
      <c r="F1671" s="202" t="s">
        <v>397</v>
      </c>
      <c r="G1671" s="202" t="s">
        <v>689</v>
      </c>
    </row>
    <row r="1672" spans="1:7" hidden="1">
      <c r="A1672" s="202" t="s">
        <v>917</v>
      </c>
      <c r="B1672" s="203">
        <v>83300</v>
      </c>
      <c r="C1672" s="203">
        <v>0</v>
      </c>
      <c r="D1672" s="202" t="s">
        <v>441</v>
      </c>
      <c r="E1672" s="202" t="s">
        <v>639</v>
      </c>
      <c r="F1672" s="202" t="s">
        <v>653</v>
      </c>
      <c r="G1672" s="202" t="s">
        <v>689</v>
      </c>
    </row>
    <row r="1673" spans="1:7" hidden="1">
      <c r="A1673" s="202" t="s">
        <v>918</v>
      </c>
      <c r="B1673" s="203">
        <v>159300</v>
      </c>
      <c r="C1673" s="203">
        <v>0</v>
      </c>
      <c r="D1673" s="202" t="s">
        <v>441</v>
      </c>
      <c r="E1673" s="202" t="s">
        <v>639</v>
      </c>
      <c r="F1673" s="202" t="s">
        <v>653</v>
      </c>
      <c r="G1673" s="202" t="s">
        <v>689</v>
      </c>
    </row>
    <row r="1674" spans="1:7" hidden="1">
      <c r="A1674" s="202" t="s">
        <v>919</v>
      </c>
      <c r="B1674" s="203">
        <v>4600</v>
      </c>
      <c r="C1674" s="203">
        <v>0</v>
      </c>
      <c r="D1674" s="202" t="s">
        <v>443</v>
      </c>
      <c r="E1674" s="202" t="s">
        <v>639</v>
      </c>
      <c r="F1674" s="202" t="s">
        <v>397</v>
      </c>
      <c r="G1674" s="202" t="s">
        <v>689</v>
      </c>
    </row>
    <row r="1675" spans="1:7" hidden="1">
      <c r="A1675" s="202" t="s">
        <v>920</v>
      </c>
      <c r="B1675" s="203">
        <v>8100</v>
      </c>
      <c r="C1675" s="203">
        <v>0</v>
      </c>
      <c r="D1675" s="202" t="s">
        <v>443</v>
      </c>
      <c r="E1675" s="202" t="s">
        <v>639</v>
      </c>
      <c r="F1675" s="202" t="s">
        <v>397</v>
      </c>
      <c r="G1675" s="202" t="s">
        <v>689</v>
      </c>
    </row>
    <row r="1676" spans="1:7" hidden="1">
      <c r="A1676" s="202" t="s">
        <v>921</v>
      </c>
      <c r="B1676" s="203">
        <v>35700</v>
      </c>
      <c r="C1676" s="203">
        <v>0</v>
      </c>
      <c r="D1676" s="202" t="s">
        <v>441</v>
      </c>
      <c r="E1676" s="202" t="s">
        <v>639</v>
      </c>
      <c r="F1676" s="202" t="s">
        <v>653</v>
      </c>
      <c r="G1676" s="202" t="s">
        <v>689</v>
      </c>
    </row>
    <row r="1677" spans="1:7" hidden="1">
      <c r="A1677" s="202" t="s">
        <v>922</v>
      </c>
      <c r="B1677" s="203">
        <v>41000</v>
      </c>
      <c r="C1677" s="203">
        <v>0</v>
      </c>
      <c r="D1677" s="202" t="s">
        <v>441</v>
      </c>
      <c r="E1677" s="202" t="s">
        <v>639</v>
      </c>
      <c r="F1677" s="202" t="s">
        <v>653</v>
      </c>
      <c r="G1677" s="202" t="s">
        <v>689</v>
      </c>
    </row>
    <row r="1678" spans="1:7" hidden="1">
      <c r="A1678" s="202" t="s">
        <v>923</v>
      </c>
      <c r="B1678" s="203">
        <v>119100</v>
      </c>
      <c r="C1678" s="203">
        <v>0</v>
      </c>
      <c r="D1678" s="202" t="s">
        <v>441</v>
      </c>
      <c r="E1678" s="202" t="s">
        <v>639</v>
      </c>
      <c r="F1678" s="202" t="s">
        <v>653</v>
      </c>
      <c r="G1678" s="202" t="s">
        <v>689</v>
      </c>
    </row>
    <row r="1679" spans="1:7" hidden="1">
      <c r="A1679" s="202" t="s">
        <v>924</v>
      </c>
      <c r="B1679" s="203">
        <v>21000</v>
      </c>
      <c r="C1679" s="203">
        <v>0</v>
      </c>
      <c r="D1679" s="202" t="s">
        <v>441</v>
      </c>
      <c r="E1679" s="202" t="s">
        <v>639</v>
      </c>
      <c r="F1679" s="202" t="s">
        <v>653</v>
      </c>
      <c r="G1679" s="202" t="s">
        <v>689</v>
      </c>
    </row>
    <row r="1680" spans="1:7" hidden="1">
      <c r="A1680" s="202" t="s">
        <v>925</v>
      </c>
      <c r="B1680" s="203">
        <v>52300</v>
      </c>
      <c r="C1680" s="203">
        <v>0</v>
      </c>
      <c r="D1680" s="202" t="s">
        <v>441</v>
      </c>
      <c r="E1680" s="202" t="s">
        <v>639</v>
      </c>
      <c r="F1680" s="202" t="s">
        <v>653</v>
      </c>
      <c r="G1680" s="202" t="s">
        <v>689</v>
      </c>
    </row>
    <row r="1681" spans="1:7" hidden="1">
      <c r="A1681" s="202" t="s">
        <v>926</v>
      </c>
      <c r="B1681" s="203">
        <v>8900</v>
      </c>
      <c r="C1681" s="203">
        <v>0</v>
      </c>
      <c r="D1681" s="202" t="s">
        <v>443</v>
      </c>
      <c r="E1681" s="202" t="s">
        <v>639</v>
      </c>
      <c r="F1681" s="202" t="s">
        <v>397</v>
      </c>
      <c r="G1681" s="202" t="s">
        <v>689</v>
      </c>
    </row>
    <row r="1682" spans="1:7" hidden="1">
      <c r="A1682" s="202" t="s">
        <v>927</v>
      </c>
      <c r="B1682" s="203">
        <v>102600</v>
      </c>
      <c r="C1682" s="203">
        <v>0</v>
      </c>
      <c r="D1682" s="202" t="s">
        <v>441</v>
      </c>
      <c r="E1682" s="202" t="s">
        <v>639</v>
      </c>
      <c r="F1682" s="202" t="s">
        <v>653</v>
      </c>
      <c r="G1682" s="202" t="s">
        <v>689</v>
      </c>
    </row>
    <row r="1683" spans="1:7" hidden="1">
      <c r="A1683" s="202" t="s">
        <v>928</v>
      </c>
      <c r="B1683" s="203">
        <v>42500</v>
      </c>
      <c r="C1683" s="203">
        <v>0</v>
      </c>
      <c r="D1683" s="202" t="s">
        <v>441</v>
      </c>
      <c r="E1683" s="202" t="s">
        <v>639</v>
      </c>
      <c r="F1683" s="202" t="s">
        <v>653</v>
      </c>
      <c r="G1683" s="202" t="s">
        <v>689</v>
      </c>
    </row>
    <row r="1684" spans="1:7" hidden="1">
      <c r="A1684" s="202" t="s">
        <v>929</v>
      </c>
      <c r="B1684" s="203">
        <v>84800</v>
      </c>
      <c r="C1684" s="203">
        <v>0</v>
      </c>
      <c r="D1684" s="202" t="s">
        <v>441</v>
      </c>
      <c r="E1684" s="202" t="s">
        <v>639</v>
      </c>
      <c r="F1684" s="202" t="s">
        <v>653</v>
      </c>
      <c r="G1684" s="202" t="s">
        <v>689</v>
      </c>
    </row>
    <row r="1685" spans="1:7" hidden="1">
      <c r="A1685" s="202" t="s">
        <v>930</v>
      </c>
      <c r="B1685" s="203">
        <v>50900</v>
      </c>
      <c r="C1685" s="203">
        <v>0</v>
      </c>
      <c r="D1685" s="202" t="s">
        <v>441</v>
      </c>
      <c r="E1685" s="202" t="s">
        <v>639</v>
      </c>
      <c r="F1685" s="202" t="s">
        <v>653</v>
      </c>
      <c r="G1685" s="202" t="s">
        <v>689</v>
      </c>
    </row>
    <row r="1686" spans="1:7" hidden="1">
      <c r="A1686" s="202" t="s">
        <v>931</v>
      </c>
      <c r="B1686" s="203">
        <v>10800</v>
      </c>
      <c r="C1686" s="203">
        <v>0</v>
      </c>
      <c r="D1686" s="202" t="s">
        <v>443</v>
      </c>
      <c r="E1686" s="202" t="s">
        <v>639</v>
      </c>
      <c r="F1686" s="202" t="s">
        <v>397</v>
      </c>
      <c r="G1686" s="202" t="s">
        <v>689</v>
      </c>
    </row>
    <row r="1687" spans="1:7" hidden="1">
      <c r="A1687" s="202" t="s">
        <v>932</v>
      </c>
      <c r="B1687" s="203">
        <v>71600</v>
      </c>
      <c r="C1687" s="203">
        <v>0</v>
      </c>
      <c r="D1687" s="202" t="s">
        <v>441</v>
      </c>
      <c r="E1687" s="202" t="s">
        <v>639</v>
      </c>
      <c r="F1687" s="202" t="s">
        <v>410</v>
      </c>
      <c r="G1687" s="202" t="s">
        <v>689</v>
      </c>
    </row>
    <row r="1688" spans="1:7" hidden="1">
      <c r="A1688" s="202" t="s">
        <v>933</v>
      </c>
      <c r="B1688" s="203">
        <v>135500</v>
      </c>
      <c r="C1688" s="203">
        <v>0</v>
      </c>
      <c r="D1688" s="202" t="s">
        <v>441</v>
      </c>
      <c r="E1688" s="202" t="s">
        <v>639</v>
      </c>
      <c r="F1688" s="202" t="s">
        <v>653</v>
      </c>
      <c r="G1688" s="202" t="s">
        <v>689</v>
      </c>
    </row>
    <row r="1689" spans="1:7" hidden="1">
      <c r="A1689" s="202" t="s">
        <v>934</v>
      </c>
      <c r="B1689" s="203">
        <v>51600</v>
      </c>
      <c r="C1689" s="203">
        <v>0</v>
      </c>
      <c r="D1689" s="202" t="s">
        <v>443</v>
      </c>
      <c r="E1689" s="202" t="s">
        <v>639</v>
      </c>
      <c r="F1689" s="202" t="s">
        <v>397</v>
      </c>
      <c r="G1689" s="202" t="s">
        <v>689</v>
      </c>
    </row>
    <row r="1690" spans="1:7" hidden="1">
      <c r="A1690" s="202" t="s">
        <v>935</v>
      </c>
      <c r="B1690" s="203">
        <v>37500</v>
      </c>
      <c r="C1690" s="203">
        <v>0</v>
      </c>
      <c r="D1690" s="202" t="s">
        <v>441</v>
      </c>
      <c r="E1690" s="202" t="s">
        <v>639</v>
      </c>
      <c r="F1690" s="202" t="s">
        <v>653</v>
      </c>
      <c r="G1690" s="202" t="s">
        <v>689</v>
      </c>
    </row>
    <row r="1691" spans="1:7" hidden="1">
      <c r="A1691" s="202" t="s">
        <v>936</v>
      </c>
      <c r="B1691" s="203">
        <v>30700</v>
      </c>
      <c r="C1691" s="203">
        <v>0</v>
      </c>
      <c r="D1691" s="202" t="s">
        <v>441</v>
      </c>
      <c r="E1691" s="202" t="s">
        <v>639</v>
      </c>
      <c r="F1691" s="202" t="s">
        <v>410</v>
      </c>
      <c r="G1691" s="202" t="s">
        <v>689</v>
      </c>
    </row>
    <row r="1692" spans="1:7" hidden="1">
      <c r="A1692" s="202" t="s">
        <v>937</v>
      </c>
      <c r="B1692" s="203">
        <v>100800</v>
      </c>
      <c r="C1692" s="203">
        <v>0</v>
      </c>
      <c r="D1692" s="202" t="s">
        <v>441</v>
      </c>
      <c r="E1692" s="202" t="s">
        <v>639</v>
      </c>
      <c r="F1692" s="202" t="s">
        <v>653</v>
      </c>
      <c r="G1692" s="202" t="s">
        <v>689</v>
      </c>
    </row>
    <row r="1693" spans="1:7" hidden="1">
      <c r="A1693" s="202" t="s">
        <v>938</v>
      </c>
      <c r="B1693" s="203">
        <v>-146800</v>
      </c>
      <c r="C1693" s="203">
        <v>0</v>
      </c>
      <c r="D1693" s="202" t="s">
        <v>441</v>
      </c>
      <c r="E1693" s="202" t="s">
        <v>639</v>
      </c>
      <c r="F1693" s="202" t="s">
        <v>653</v>
      </c>
      <c r="G1693" s="202" t="s">
        <v>689</v>
      </c>
    </row>
    <row r="1694" spans="1:7" hidden="1">
      <c r="A1694" s="202" t="s">
        <v>939</v>
      </c>
      <c r="B1694" s="203">
        <v>-134300</v>
      </c>
      <c r="C1694" s="203">
        <v>0</v>
      </c>
      <c r="D1694" s="202" t="s">
        <v>441</v>
      </c>
      <c r="E1694" s="202" t="s">
        <v>639</v>
      </c>
      <c r="F1694" s="202" t="s">
        <v>653</v>
      </c>
      <c r="G1694" s="202" t="s">
        <v>689</v>
      </c>
    </row>
    <row r="1695" spans="1:7" hidden="1">
      <c r="A1695" s="202" t="s">
        <v>940</v>
      </c>
      <c r="B1695" s="203">
        <v>-13000</v>
      </c>
      <c r="C1695" s="203">
        <v>0</v>
      </c>
      <c r="D1695" s="202" t="s">
        <v>443</v>
      </c>
      <c r="E1695" s="202" t="s">
        <v>639</v>
      </c>
      <c r="F1695" s="202" t="s">
        <v>397</v>
      </c>
      <c r="G1695" s="202" t="s">
        <v>689</v>
      </c>
    </row>
    <row r="1696" spans="1:7" hidden="1">
      <c r="A1696" s="202" t="s">
        <v>941</v>
      </c>
      <c r="B1696" s="203">
        <v>-74500</v>
      </c>
      <c r="C1696" s="203">
        <v>0</v>
      </c>
      <c r="D1696" s="202" t="s">
        <v>441</v>
      </c>
      <c r="E1696" s="202" t="s">
        <v>639</v>
      </c>
      <c r="F1696" s="202" t="s">
        <v>653</v>
      </c>
      <c r="G1696" s="202" t="s">
        <v>689</v>
      </c>
    </row>
    <row r="1697" spans="1:7" hidden="1">
      <c r="A1697" s="202" t="s">
        <v>942</v>
      </c>
      <c r="B1697" s="203">
        <v>-71100</v>
      </c>
      <c r="C1697" s="203">
        <v>0</v>
      </c>
      <c r="D1697" s="202" t="s">
        <v>441</v>
      </c>
      <c r="E1697" s="202" t="s">
        <v>639</v>
      </c>
      <c r="F1697" s="202" t="s">
        <v>653</v>
      </c>
      <c r="G1697" s="202" t="s">
        <v>689</v>
      </c>
    </row>
    <row r="1698" spans="1:7" hidden="1">
      <c r="A1698" s="202" t="s">
        <v>943</v>
      </c>
      <c r="B1698" s="203">
        <v>-101500</v>
      </c>
      <c r="C1698" s="203">
        <v>0</v>
      </c>
      <c r="D1698" s="202" t="s">
        <v>441</v>
      </c>
      <c r="E1698" s="202" t="s">
        <v>639</v>
      </c>
      <c r="F1698" s="202" t="s">
        <v>410</v>
      </c>
      <c r="G1698" s="202" t="s">
        <v>689</v>
      </c>
    </row>
    <row r="1699" spans="1:7" hidden="1">
      <c r="A1699" s="202" t="s">
        <v>944</v>
      </c>
      <c r="B1699" s="203">
        <v>2800</v>
      </c>
      <c r="C1699" s="203">
        <v>0</v>
      </c>
      <c r="D1699" s="202" t="s">
        <v>443</v>
      </c>
      <c r="E1699" s="202" t="s">
        <v>639</v>
      </c>
      <c r="F1699" s="202" t="s">
        <v>397</v>
      </c>
      <c r="G1699" s="202" t="s">
        <v>689</v>
      </c>
    </row>
    <row r="1700" spans="1:7" hidden="1">
      <c r="A1700" s="202" t="s">
        <v>945</v>
      </c>
      <c r="B1700" s="203">
        <v>2800</v>
      </c>
      <c r="C1700" s="203">
        <v>0</v>
      </c>
      <c r="D1700" s="202" t="s">
        <v>443</v>
      </c>
      <c r="E1700" s="202" t="s">
        <v>639</v>
      </c>
      <c r="F1700" s="202" t="s">
        <v>397</v>
      </c>
      <c r="G1700" s="202" t="s">
        <v>689</v>
      </c>
    </row>
    <row r="1701" spans="1:7" hidden="1">
      <c r="A1701" s="202" t="s">
        <v>946</v>
      </c>
      <c r="B1701" s="203">
        <v>-39700</v>
      </c>
      <c r="C1701" s="203">
        <v>0</v>
      </c>
      <c r="D1701" s="202" t="s">
        <v>443</v>
      </c>
      <c r="E1701" s="202" t="s">
        <v>639</v>
      </c>
      <c r="F1701" s="202" t="s">
        <v>397</v>
      </c>
      <c r="G1701" s="202" t="s">
        <v>689</v>
      </c>
    </row>
    <row r="1702" spans="1:7" hidden="1">
      <c r="A1702" s="202" t="s">
        <v>947</v>
      </c>
      <c r="B1702" s="203">
        <v>-89700</v>
      </c>
      <c r="C1702" s="203">
        <v>0</v>
      </c>
      <c r="D1702" s="202" t="s">
        <v>441</v>
      </c>
      <c r="E1702" s="202" t="s">
        <v>639</v>
      </c>
      <c r="F1702" s="202" t="s">
        <v>653</v>
      </c>
      <c r="G1702" s="202" t="s">
        <v>689</v>
      </c>
    </row>
    <row r="1703" spans="1:7" hidden="1">
      <c r="A1703" s="202" t="s">
        <v>948</v>
      </c>
      <c r="B1703" s="203">
        <v>-12300</v>
      </c>
      <c r="C1703" s="203">
        <v>0</v>
      </c>
      <c r="D1703" s="202" t="s">
        <v>443</v>
      </c>
      <c r="E1703" s="202" t="s">
        <v>639</v>
      </c>
      <c r="F1703" s="202" t="s">
        <v>397</v>
      </c>
      <c r="G1703" s="202" t="s">
        <v>689</v>
      </c>
    </row>
    <row r="1704" spans="1:7" hidden="1">
      <c r="A1704" s="202" t="s">
        <v>949</v>
      </c>
      <c r="B1704" s="203">
        <v>-35000</v>
      </c>
      <c r="C1704" s="203">
        <v>0</v>
      </c>
      <c r="D1704" s="202" t="s">
        <v>441</v>
      </c>
      <c r="E1704" s="202" t="s">
        <v>639</v>
      </c>
      <c r="F1704" s="202" t="s">
        <v>410</v>
      </c>
      <c r="G1704" s="202" t="s">
        <v>689</v>
      </c>
    </row>
    <row r="1705" spans="1:7" hidden="1">
      <c r="A1705" s="202" t="s">
        <v>950</v>
      </c>
      <c r="B1705" s="203">
        <v>9900</v>
      </c>
      <c r="C1705" s="203">
        <v>0</v>
      </c>
      <c r="D1705" s="202" t="s">
        <v>441</v>
      </c>
      <c r="E1705" s="202" t="s">
        <v>639</v>
      </c>
      <c r="F1705" s="202" t="s">
        <v>653</v>
      </c>
      <c r="G1705" s="202" t="s">
        <v>689</v>
      </c>
    </row>
    <row r="1706" spans="1:7" hidden="1">
      <c r="A1706" s="202" t="s">
        <v>951</v>
      </c>
      <c r="B1706" s="203">
        <v>-9100</v>
      </c>
      <c r="C1706" s="203">
        <v>0</v>
      </c>
      <c r="D1706" s="202" t="s">
        <v>443</v>
      </c>
      <c r="E1706" s="202" t="s">
        <v>639</v>
      </c>
      <c r="F1706" s="202" t="s">
        <v>397</v>
      </c>
      <c r="G1706" s="202" t="s">
        <v>689</v>
      </c>
    </row>
    <row r="1707" spans="1:7" hidden="1">
      <c r="A1707" s="202" t="s">
        <v>952</v>
      </c>
      <c r="B1707" s="203">
        <v>42400</v>
      </c>
      <c r="C1707" s="203">
        <v>0</v>
      </c>
      <c r="D1707" s="202" t="s">
        <v>441</v>
      </c>
      <c r="E1707" s="202" t="s">
        <v>639</v>
      </c>
      <c r="F1707" s="202" t="s">
        <v>653</v>
      </c>
      <c r="G1707" s="202" t="s">
        <v>689</v>
      </c>
    </row>
    <row r="1708" spans="1:7" hidden="1">
      <c r="A1708" s="202" t="s">
        <v>953</v>
      </c>
      <c r="B1708" s="203">
        <v>12700</v>
      </c>
      <c r="C1708" s="203">
        <v>0</v>
      </c>
      <c r="D1708" s="202" t="s">
        <v>441</v>
      </c>
      <c r="E1708" s="202" t="s">
        <v>639</v>
      </c>
      <c r="F1708" s="202" t="s">
        <v>653</v>
      </c>
      <c r="G1708" s="202" t="s">
        <v>689</v>
      </c>
    </row>
    <row r="1709" spans="1:7" hidden="1">
      <c r="A1709" s="202" t="s">
        <v>954</v>
      </c>
      <c r="B1709" s="203">
        <v>3300</v>
      </c>
      <c r="C1709" s="203">
        <v>0</v>
      </c>
      <c r="D1709" s="202" t="s">
        <v>443</v>
      </c>
      <c r="E1709" s="202" t="s">
        <v>639</v>
      </c>
      <c r="F1709" s="202" t="s">
        <v>397</v>
      </c>
      <c r="G1709" s="202" t="s">
        <v>689</v>
      </c>
    </row>
    <row r="1710" spans="1:7" hidden="1">
      <c r="A1710" s="202" t="s">
        <v>955</v>
      </c>
      <c r="B1710" s="203">
        <v>2000</v>
      </c>
      <c r="C1710" s="203">
        <v>0</v>
      </c>
      <c r="D1710" s="202" t="s">
        <v>443</v>
      </c>
      <c r="E1710" s="202" t="s">
        <v>639</v>
      </c>
      <c r="F1710" s="202" t="s">
        <v>397</v>
      </c>
      <c r="G1710" s="202" t="s">
        <v>689</v>
      </c>
    </row>
    <row r="1711" spans="1:7" hidden="1">
      <c r="A1711" s="202" t="s">
        <v>956</v>
      </c>
      <c r="B1711" s="203">
        <v>5100</v>
      </c>
      <c r="C1711" s="203">
        <v>0</v>
      </c>
      <c r="D1711" s="202" t="s">
        <v>443</v>
      </c>
      <c r="E1711" s="202" t="s">
        <v>639</v>
      </c>
      <c r="F1711" s="202" t="s">
        <v>397</v>
      </c>
      <c r="G1711" s="202" t="s">
        <v>689</v>
      </c>
    </row>
    <row r="1712" spans="1:7" hidden="1">
      <c r="A1712" s="202" t="s">
        <v>957</v>
      </c>
      <c r="B1712" s="203">
        <v>2300</v>
      </c>
      <c r="C1712" s="203">
        <v>0</v>
      </c>
      <c r="D1712" s="202" t="s">
        <v>443</v>
      </c>
      <c r="E1712" s="202" t="s">
        <v>639</v>
      </c>
      <c r="F1712" s="202" t="s">
        <v>397</v>
      </c>
      <c r="G1712" s="202" t="s">
        <v>689</v>
      </c>
    </row>
    <row r="1713" spans="1:7" hidden="1">
      <c r="A1713" s="202" t="s">
        <v>958</v>
      </c>
      <c r="B1713" s="203">
        <v>5800</v>
      </c>
      <c r="C1713" s="203">
        <v>0</v>
      </c>
      <c r="D1713" s="202" t="s">
        <v>443</v>
      </c>
      <c r="E1713" s="202" t="s">
        <v>639</v>
      </c>
      <c r="F1713" s="202" t="s">
        <v>397</v>
      </c>
      <c r="G1713" s="202" t="s">
        <v>689</v>
      </c>
    </row>
    <row r="1714" spans="1:7" hidden="1">
      <c r="A1714" s="202" t="s">
        <v>959</v>
      </c>
      <c r="B1714" s="203">
        <v>2100</v>
      </c>
      <c r="C1714" s="203">
        <v>0</v>
      </c>
      <c r="D1714" s="202" t="s">
        <v>443</v>
      </c>
      <c r="E1714" s="202" t="s">
        <v>639</v>
      </c>
      <c r="F1714" s="202" t="s">
        <v>397</v>
      </c>
      <c r="G1714" s="202" t="s">
        <v>689</v>
      </c>
    </row>
    <row r="1715" spans="1:7" hidden="1">
      <c r="A1715" s="202" t="s">
        <v>960</v>
      </c>
      <c r="B1715" s="203">
        <v>7100</v>
      </c>
      <c r="C1715" s="203">
        <v>0</v>
      </c>
      <c r="D1715" s="202" t="s">
        <v>441</v>
      </c>
      <c r="E1715" s="202" t="s">
        <v>639</v>
      </c>
      <c r="F1715" s="202" t="s">
        <v>653</v>
      </c>
      <c r="G1715" s="202" t="s">
        <v>689</v>
      </c>
    </row>
    <row r="1716" spans="1:7" hidden="1">
      <c r="A1716" s="202" t="s">
        <v>961</v>
      </c>
      <c r="B1716" s="203">
        <v>2300</v>
      </c>
      <c r="C1716" s="203">
        <v>0</v>
      </c>
      <c r="D1716" s="202" t="s">
        <v>443</v>
      </c>
      <c r="E1716" s="202" t="s">
        <v>639</v>
      </c>
      <c r="F1716" s="202" t="s">
        <v>397</v>
      </c>
      <c r="G1716" s="202" t="s">
        <v>689</v>
      </c>
    </row>
    <row r="1717" spans="1:7" hidden="1">
      <c r="A1717" s="202" t="s">
        <v>962</v>
      </c>
      <c r="B1717" s="203">
        <v>2500</v>
      </c>
      <c r="C1717" s="203">
        <v>0</v>
      </c>
      <c r="D1717" s="202" t="s">
        <v>443</v>
      </c>
      <c r="E1717" s="202" t="s">
        <v>639</v>
      </c>
      <c r="F1717" s="202" t="s">
        <v>397</v>
      </c>
      <c r="G1717" s="202" t="s">
        <v>689</v>
      </c>
    </row>
    <row r="1718" spans="1:7" hidden="1">
      <c r="A1718" s="202" t="s">
        <v>963</v>
      </c>
      <c r="B1718" s="203">
        <v>1900</v>
      </c>
      <c r="C1718" s="203">
        <v>0</v>
      </c>
      <c r="D1718" s="202" t="s">
        <v>443</v>
      </c>
      <c r="E1718" s="202" t="s">
        <v>639</v>
      </c>
      <c r="F1718" s="202" t="s">
        <v>397</v>
      </c>
      <c r="G1718" s="202" t="s">
        <v>689</v>
      </c>
    </row>
    <row r="1719" spans="1:7" hidden="1">
      <c r="A1719" s="202" t="s">
        <v>964</v>
      </c>
      <c r="B1719" s="203">
        <v>2700</v>
      </c>
      <c r="C1719" s="203">
        <v>0</v>
      </c>
      <c r="D1719" s="202" t="s">
        <v>443</v>
      </c>
      <c r="E1719" s="202" t="s">
        <v>639</v>
      </c>
      <c r="F1719" s="202" t="s">
        <v>397</v>
      </c>
      <c r="G1719" s="202" t="s">
        <v>689</v>
      </c>
    </row>
    <row r="1720" spans="1:7" hidden="1">
      <c r="A1720" s="202" t="s">
        <v>965</v>
      </c>
      <c r="B1720" s="203">
        <v>2900</v>
      </c>
      <c r="C1720" s="203">
        <v>0</v>
      </c>
      <c r="D1720" s="202" t="s">
        <v>443</v>
      </c>
      <c r="E1720" s="202" t="s">
        <v>639</v>
      </c>
      <c r="F1720" s="202" t="s">
        <v>397</v>
      </c>
      <c r="G1720" s="202" t="s">
        <v>689</v>
      </c>
    </row>
    <row r="1721" spans="1:7" hidden="1">
      <c r="A1721" s="202" t="s">
        <v>966</v>
      </c>
      <c r="B1721" s="203">
        <v>13700</v>
      </c>
      <c r="C1721" s="203">
        <v>0</v>
      </c>
      <c r="D1721" s="202" t="s">
        <v>441</v>
      </c>
      <c r="E1721" s="202" t="s">
        <v>639</v>
      </c>
      <c r="F1721" s="202" t="s">
        <v>653</v>
      </c>
      <c r="G1721" s="202" t="s">
        <v>689</v>
      </c>
    </row>
    <row r="1722" spans="1:7" hidden="1">
      <c r="A1722" s="202" t="s">
        <v>967</v>
      </c>
      <c r="B1722" s="203">
        <v>2100</v>
      </c>
      <c r="C1722" s="203">
        <v>0</v>
      </c>
      <c r="D1722" s="202" t="s">
        <v>443</v>
      </c>
      <c r="E1722" s="202" t="s">
        <v>639</v>
      </c>
      <c r="F1722" s="202" t="s">
        <v>397</v>
      </c>
      <c r="G1722" s="202" t="s">
        <v>689</v>
      </c>
    </row>
    <row r="1723" spans="1:7" hidden="1">
      <c r="A1723" s="202" t="s">
        <v>968</v>
      </c>
      <c r="B1723" s="203">
        <v>2500</v>
      </c>
      <c r="C1723" s="203">
        <v>0</v>
      </c>
      <c r="D1723" s="202" t="s">
        <v>443</v>
      </c>
      <c r="E1723" s="202" t="s">
        <v>639</v>
      </c>
      <c r="F1723" s="202" t="s">
        <v>397</v>
      </c>
      <c r="G1723" s="202" t="s">
        <v>689</v>
      </c>
    </row>
    <row r="1724" spans="1:7" hidden="1">
      <c r="A1724" s="202" t="s">
        <v>969</v>
      </c>
      <c r="B1724" s="203">
        <v>3100</v>
      </c>
      <c r="C1724" s="203">
        <v>0</v>
      </c>
      <c r="D1724" s="202" t="s">
        <v>443</v>
      </c>
      <c r="E1724" s="202" t="s">
        <v>639</v>
      </c>
      <c r="F1724" s="202" t="s">
        <v>397</v>
      </c>
      <c r="G1724" s="202" t="s">
        <v>689</v>
      </c>
    </row>
    <row r="1725" spans="1:7" hidden="1">
      <c r="A1725" s="202" t="s">
        <v>970</v>
      </c>
      <c r="B1725" s="203">
        <v>3100</v>
      </c>
      <c r="C1725" s="203">
        <v>0</v>
      </c>
      <c r="D1725" s="202" t="s">
        <v>443</v>
      </c>
      <c r="E1725" s="202" t="s">
        <v>639</v>
      </c>
      <c r="F1725" s="202" t="s">
        <v>397</v>
      </c>
      <c r="G1725" s="202" t="s">
        <v>689</v>
      </c>
    </row>
    <row r="1726" spans="1:7" hidden="1">
      <c r="A1726" s="202" t="s">
        <v>971</v>
      </c>
      <c r="B1726" s="203">
        <v>-900000</v>
      </c>
      <c r="C1726" s="203">
        <v>0</v>
      </c>
      <c r="D1726" s="202" t="s">
        <v>441</v>
      </c>
      <c r="E1726" s="202" t="s">
        <v>972</v>
      </c>
      <c r="F1726" s="202" t="s">
        <v>395</v>
      </c>
      <c r="G1726" s="202" t="s">
        <v>689</v>
      </c>
    </row>
    <row r="1727" spans="1:7" hidden="1">
      <c r="A1727" s="202" t="s">
        <v>973</v>
      </c>
      <c r="B1727" s="203">
        <v>-1835000</v>
      </c>
      <c r="C1727" s="203">
        <v>0</v>
      </c>
      <c r="D1727" s="202" t="s">
        <v>441</v>
      </c>
      <c r="E1727" s="202" t="s">
        <v>972</v>
      </c>
      <c r="F1727" s="202" t="s">
        <v>395</v>
      </c>
      <c r="G1727" s="202" t="s">
        <v>689</v>
      </c>
    </row>
    <row r="1728" spans="1:7" hidden="1">
      <c r="A1728" s="202" t="s">
        <v>974</v>
      </c>
      <c r="B1728" s="203">
        <v>7100</v>
      </c>
      <c r="C1728" s="203">
        <v>0</v>
      </c>
      <c r="D1728" s="202" t="s">
        <v>443</v>
      </c>
      <c r="E1728" s="202" t="s">
        <v>639</v>
      </c>
      <c r="F1728" s="202" t="s">
        <v>397</v>
      </c>
      <c r="G1728" s="202" t="s">
        <v>689</v>
      </c>
    </row>
    <row r="1729" spans="1:7" hidden="1">
      <c r="A1729" s="202" t="s">
        <v>975</v>
      </c>
      <c r="B1729" s="203">
        <v>-158500</v>
      </c>
      <c r="C1729" s="203">
        <v>0</v>
      </c>
      <c r="D1729" s="202" t="s">
        <v>441</v>
      </c>
      <c r="E1729" s="202" t="s">
        <v>639</v>
      </c>
      <c r="F1729" s="202" t="s">
        <v>653</v>
      </c>
      <c r="G1729" s="202" t="s">
        <v>689</v>
      </c>
    </row>
    <row r="1730" spans="1:7" hidden="1">
      <c r="A1730" s="202" t="s">
        <v>976</v>
      </c>
      <c r="B1730" s="203">
        <v>-73800</v>
      </c>
      <c r="C1730" s="203">
        <v>0</v>
      </c>
      <c r="D1730" s="202" t="s">
        <v>443</v>
      </c>
      <c r="E1730" s="202" t="s">
        <v>639</v>
      </c>
      <c r="F1730" s="202" t="s">
        <v>397</v>
      </c>
      <c r="G1730" s="202" t="s">
        <v>689</v>
      </c>
    </row>
    <row r="1731" spans="1:7" hidden="1">
      <c r="A1731" s="202" t="s">
        <v>977</v>
      </c>
      <c r="B1731" s="203">
        <v>-224400</v>
      </c>
      <c r="C1731" s="203">
        <v>0</v>
      </c>
      <c r="D1731" s="202" t="s">
        <v>441</v>
      </c>
      <c r="E1731" s="202" t="s">
        <v>639</v>
      </c>
      <c r="F1731" s="202" t="s">
        <v>410</v>
      </c>
      <c r="G1731" s="202" t="s">
        <v>689</v>
      </c>
    </row>
    <row r="1732" spans="1:7" hidden="1">
      <c r="A1732" s="202" t="s">
        <v>978</v>
      </c>
      <c r="B1732" s="203">
        <v>-7586</v>
      </c>
      <c r="C1732" s="203">
        <v>0</v>
      </c>
      <c r="D1732" s="202" t="s">
        <v>443</v>
      </c>
      <c r="E1732" s="202" t="s">
        <v>639</v>
      </c>
      <c r="F1732" s="202" t="s">
        <v>397</v>
      </c>
      <c r="G1732" s="202" t="s">
        <v>689</v>
      </c>
    </row>
    <row r="1733" spans="1:7" hidden="1">
      <c r="A1733" s="202" t="s">
        <v>979</v>
      </c>
      <c r="B1733" s="203">
        <v>600</v>
      </c>
      <c r="C1733" s="203">
        <v>0</v>
      </c>
      <c r="D1733" s="202" t="s">
        <v>441</v>
      </c>
      <c r="E1733" s="202" t="s">
        <v>639</v>
      </c>
      <c r="F1733" s="202" t="s">
        <v>653</v>
      </c>
      <c r="G1733" s="202" t="s">
        <v>689</v>
      </c>
    </row>
    <row r="1734" spans="1:7" hidden="1">
      <c r="A1734" s="202" t="s">
        <v>980</v>
      </c>
      <c r="B1734" s="203">
        <v>26200</v>
      </c>
      <c r="C1734" s="203">
        <v>0</v>
      </c>
      <c r="D1734" s="202" t="s">
        <v>441</v>
      </c>
      <c r="E1734" s="202" t="s">
        <v>639</v>
      </c>
      <c r="F1734" s="202" t="s">
        <v>653</v>
      </c>
      <c r="G1734" s="202" t="s">
        <v>689</v>
      </c>
    </row>
    <row r="1735" spans="1:7" hidden="1">
      <c r="A1735" s="202" t="s">
        <v>981</v>
      </c>
      <c r="B1735" s="203">
        <v>1100</v>
      </c>
      <c r="C1735" s="203">
        <v>0</v>
      </c>
      <c r="D1735" s="202" t="s">
        <v>441</v>
      </c>
      <c r="E1735" s="202" t="s">
        <v>639</v>
      </c>
      <c r="F1735" s="202" t="s">
        <v>653</v>
      </c>
      <c r="G1735" s="202" t="s">
        <v>689</v>
      </c>
    </row>
    <row r="1736" spans="1:7" hidden="1">
      <c r="A1736" s="202" t="s">
        <v>982</v>
      </c>
      <c r="B1736" s="203">
        <v>28400</v>
      </c>
      <c r="C1736" s="203">
        <v>0</v>
      </c>
      <c r="D1736" s="202" t="s">
        <v>441</v>
      </c>
      <c r="E1736" s="202" t="s">
        <v>639</v>
      </c>
      <c r="F1736" s="202" t="s">
        <v>653</v>
      </c>
      <c r="G1736" s="202" t="s">
        <v>689</v>
      </c>
    </row>
    <row r="1737" spans="1:7" hidden="1">
      <c r="A1737" s="202" t="s">
        <v>983</v>
      </c>
      <c r="B1737" s="203">
        <v>2700</v>
      </c>
      <c r="C1737" s="203">
        <v>0</v>
      </c>
      <c r="D1737" s="202" t="s">
        <v>443</v>
      </c>
      <c r="E1737" s="202" t="s">
        <v>639</v>
      </c>
      <c r="F1737" s="202" t="s">
        <v>397</v>
      </c>
      <c r="G1737" s="202" t="s">
        <v>689</v>
      </c>
    </row>
    <row r="1738" spans="1:7" hidden="1">
      <c r="A1738" s="202" t="s">
        <v>984</v>
      </c>
      <c r="B1738" s="203">
        <v>37000</v>
      </c>
      <c r="C1738" s="203">
        <v>0</v>
      </c>
      <c r="D1738" s="202" t="s">
        <v>441</v>
      </c>
      <c r="E1738" s="202" t="s">
        <v>639</v>
      </c>
      <c r="F1738" s="202" t="s">
        <v>653</v>
      </c>
      <c r="G1738" s="202" t="s">
        <v>689</v>
      </c>
    </row>
    <row r="1739" spans="1:7" hidden="1">
      <c r="A1739" s="202" t="s">
        <v>985</v>
      </c>
      <c r="B1739" s="203">
        <v>8000</v>
      </c>
      <c r="C1739" s="203">
        <v>0</v>
      </c>
      <c r="D1739" s="202" t="s">
        <v>443</v>
      </c>
      <c r="E1739" s="202" t="s">
        <v>639</v>
      </c>
      <c r="F1739" s="202" t="s">
        <v>397</v>
      </c>
      <c r="G1739" s="202" t="s">
        <v>689</v>
      </c>
    </row>
    <row r="1740" spans="1:7" hidden="1">
      <c r="A1740" s="202" t="s">
        <v>986</v>
      </c>
      <c r="B1740" s="203">
        <v>29700</v>
      </c>
      <c r="C1740" s="203">
        <v>0</v>
      </c>
      <c r="D1740" s="202" t="s">
        <v>441</v>
      </c>
      <c r="E1740" s="202" t="s">
        <v>639</v>
      </c>
      <c r="F1740" s="202" t="s">
        <v>653</v>
      </c>
      <c r="G1740" s="202" t="s">
        <v>689</v>
      </c>
    </row>
    <row r="1741" spans="1:7" hidden="1">
      <c r="A1741" s="202" t="s">
        <v>987</v>
      </c>
      <c r="B1741" s="203">
        <v>34100</v>
      </c>
      <c r="C1741" s="203">
        <v>0</v>
      </c>
      <c r="D1741" s="202" t="s">
        <v>441</v>
      </c>
      <c r="E1741" s="202" t="s">
        <v>639</v>
      </c>
      <c r="F1741" s="202" t="s">
        <v>653</v>
      </c>
      <c r="G1741" s="202" t="s">
        <v>689</v>
      </c>
    </row>
    <row r="1742" spans="1:7" hidden="1">
      <c r="A1742" s="202" t="s">
        <v>988</v>
      </c>
      <c r="B1742" s="203">
        <v>19600</v>
      </c>
      <c r="C1742" s="203">
        <v>0</v>
      </c>
      <c r="D1742" s="202" t="s">
        <v>441</v>
      </c>
      <c r="E1742" s="202" t="s">
        <v>639</v>
      </c>
      <c r="F1742" s="202" t="s">
        <v>653</v>
      </c>
      <c r="G1742" s="202" t="s">
        <v>689</v>
      </c>
    </row>
    <row r="1743" spans="1:7" hidden="1">
      <c r="A1743" s="202" t="s">
        <v>989</v>
      </c>
      <c r="B1743" s="203">
        <v>1000</v>
      </c>
      <c r="C1743" s="203">
        <v>0</v>
      </c>
      <c r="D1743" s="202" t="s">
        <v>443</v>
      </c>
      <c r="E1743" s="202" t="s">
        <v>639</v>
      </c>
      <c r="F1743" s="202" t="s">
        <v>397</v>
      </c>
      <c r="G1743" s="202" t="s">
        <v>689</v>
      </c>
    </row>
    <row r="1744" spans="1:7" hidden="1">
      <c r="A1744" s="202" t="s">
        <v>990</v>
      </c>
      <c r="B1744" s="203">
        <v>27100</v>
      </c>
      <c r="C1744" s="203">
        <v>0</v>
      </c>
      <c r="D1744" s="202" t="s">
        <v>441</v>
      </c>
      <c r="E1744" s="202" t="s">
        <v>639</v>
      </c>
      <c r="F1744" s="202" t="s">
        <v>653</v>
      </c>
      <c r="G1744" s="202" t="s">
        <v>689</v>
      </c>
    </row>
    <row r="1745" spans="1:7" hidden="1">
      <c r="A1745" s="202" t="s">
        <v>991</v>
      </c>
      <c r="B1745" s="203">
        <v>37300</v>
      </c>
      <c r="C1745" s="203">
        <v>0</v>
      </c>
      <c r="D1745" s="202" t="s">
        <v>441</v>
      </c>
      <c r="E1745" s="202" t="s">
        <v>639</v>
      </c>
      <c r="F1745" s="202" t="s">
        <v>653</v>
      </c>
      <c r="G1745" s="202" t="s">
        <v>689</v>
      </c>
    </row>
    <row r="1746" spans="1:7" hidden="1">
      <c r="A1746" s="202" t="s">
        <v>992</v>
      </c>
      <c r="B1746" s="203">
        <v>25700</v>
      </c>
      <c r="C1746" s="203">
        <v>0</v>
      </c>
      <c r="D1746" s="202" t="s">
        <v>441</v>
      </c>
      <c r="E1746" s="202" t="s">
        <v>639</v>
      </c>
      <c r="F1746" s="202" t="s">
        <v>653</v>
      </c>
      <c r="G1746" s="202" t="s">
        <v>689</v>
      </c>
    </row>
    <row r="1747" spans="1:7" hidden="1">
      <c r="A1747" s="202" t="s">
        <v>993</v>
      </c>
      <c r="B1747" s="203">
        <v>18400</v>
      </c>
      <c r="C1747" s="203">
        <v>0</v>
      </c>
      <c r="D1747" s="202" t="s">
        <v>441</v>
      </c>
      <c r="E1747" s="202" t="s">
        <v>639</v>
      </c>
      <c r="F1747" s="202" t="s">
        <v>653</v>
      </c>
      <c r="G1747" s="202" t="s">
        <v>689</v>
      </c>
    </row>
    <row r="1748" spans="1:7" hidden="1">
      <c r="A1748" s="202" t="s">
        <v>994</v>
      </c>
      <c r="B1748" s="203">
        <v>2400</v>
      </c>
      <c r="C1748" s="203">
        <v>0</v>
      </c>
      <c r="D1748" s="202" t="s">
        <v>443</v>
      </c>
      <c r="E1748" s="202" t="s">
        <v>639</v>
      </c>
      <c r="F1748" s="202" t="s">
        <v>397</v>
      </c>
      <c r="G1748" s="202" t="s">
        <v>689</v>
      </c>
    </row>
    <row r="1749" spans="1:7" hidden="1">
      <c r="A1749" s="202" t="s">
        <v>995</v>
      </c>
      <c r="B1749" s="203">
        <v>6700</v>
      </c>
      <c r="C1749" s="203">
        <v>0</v>
      </c>
      <c r="D1749" s="202" t="s">
        <v>441</v>
      </c>
      <c r="E1749" s="202" t="s">
        <v>639</v>
      </c>
      <c r="F1749" s="202" t="s">
        <v>653</v>
      </c>
      <c r="G1749" s="202" t="s">
        <v>689</v>
      </c>
    </row>
    <row r="1750" spans="1:7" hidden="1">
      <c r="A1750" s="202" t="s">
        <v>996</v>
      </c>
      <c r="B1750" s="203">
        <v>26500</v>
      </c>
      <c r="C1750" s="203">
        <v>0</v>
      </c>
      <c r="D1750" s="202" t="s">
        <v>441</v>
      </c>
      <c r="E1750" s="202" t="s">
        <v>639</v>
      </c>
      <c r="F1750" s="202" t="s">
        <v>653</v>
      </c>
      <c r="G1750" s="202" t="s">
        <v>689</v>
      </c>
    </row>
    <row r="1751" spans="1:7" hidden="1">
      <c r="A1751" s="202" t="s">
        <v>997</v>
      </c>
      <c r="B1751" s="203">
        <v>16900</v>
      </c>
      <c r="C1751" s="203">
        <v>0</v>
      </c>
      <c r="D1751" s="202" t="s">
        <v>441</v>
      </c>
      <c r="E1751" s="202" t="s">
        <v>639</v>
      </c>
      <c r="F1751" s="202" t="s">
        <v>653</v>
      </c>
      <c r="G1751" s="202" t="s">
        <v>689</v>
      </c>
    </row>
    <row r="1752" spans="1:7" hidden="1">
      <c r="A1752" s="202" t="s">
        <v>998</v>
      </c>
      <c r="B1752" s="203">
        <v>12300</v>
      </c>
      <c r="C1752" s="203">
        <v>0</v>
      </c>
      <c r="D1752" s="202" t="s">
        <v>441</v>
      </c>
      <c r="E1752" s="202" t="s">
        <v>639</v>
      </c>
      <c r="F1752" s="202" t="s">
        <v>653</v>
      </c>
      <c r="G1752" s="202" t="s">
        <v>689</v>
      </c>
    </row>
    <row r="1753" spans="1:7" hidden="1">
      <c r="A1753" s="202" t="s">
        <v>999</v>
      </c>
      <c r="B1753" s="203">
        <v>14500</v>
      </c>
      <c r="C1753" s="203">
        <v>0</v>
      </c>
      <c r="D1753" s="202" t="s">
        <v>443</v>
      </c>
      <c r="E1753" s="202" t="s">
        <v>639</v>
      </c>
      <c r="F1753" s="202" t="s">
        <v>397</v>
      </c>
      <c r="G1753" s="202" t="s">
        <v>689</v>
      </c>
    </row>
    <row r="1754" spans="1:7" hidden="1">
      <c r="A1754" s="202" t="s">
        <v>1000</v>
      </c>
      <c r="B1754" s="203">
        <v>26000</v>
      </c>
      <c r="C1754" s="203">
        <v>0</v>
      </c>
      <c r="D1754" s="202" t="s">
        <v>441</v>
      </c>
      <c r="E1754" s="202" t="s">
        <v>639</v>
      </c>
      <c r="F1754" s="202" t="s">
        <v>653</v>
      </c>
      <c r="G1754" s="202" t="s">
        <v>689</v>
      </c>
    </row>
    <row r="1755" spans="1:7" hidden="1">
      <c r="A1755" s="202" t="s">
        <v>1001</v>
      </c>
      <c r="B1755" s="203">
        <v>7756</v>
      </c>
      <c r="C1755" s="203">
        <v>0</v>
      </c>
      <c r="D1755" s="202" t="s">
        <v>441</v>
      </c>
      <c r="E1755" s="202" t="s">
        <v>639</v>
      </c>
      <c r="F1755" s="202" t="s">
        <v>653</v>
      </c>
      <c r="G1755" s="202" t="s">
        <v>689</v>
      </c>
    </row>
    <row r="1756" spans="1:7" hidden="1">
      <c r="A1756" s="202" t="s">
        <v>1002</v>
      </c>
      <c r="B1756" s="203">
        <v>12600</v>
      </c>
      <c r="C1756" s="203">
        <v>0</v>
      </c>
      <c r="D1756" s="202" t="s">
        <v>441</v>
      </c>
      <c r="E1756" s="202" t="s">
        <v>639</v>
      </c>
      <c r="F1756" s="202" t="s">
        <v>653</v>
      </c>
      <c r="G1756" s="202" t="s">
        <v>689</v>
      </c>
    </row>
    <row r="1757" spans="1:7" hidden="1">
      <c r="A1757" s="202" t="s">
        <v>1003</v>
      </c>
      <c r="B1757" s="203">
        <v>20645</v>
      </c>
      <c r="C1757" s="203">
        <v>0</v>
      </c>
      <c r="D1757" s="202" t="s">
        <v>441</v>
      </c>
      <c r="E1757" s="202" t="s">
        <v>639</v>
      </c>
      <c r="F1757" s="202" t="s">
        <v>653</v>
      </c>
      <c r="G1757" s="202" t="s">
        <v>689</v>
      </c>
    </row>
    <row r="1758" spans="1:7" hidden="1">
      <c r="A1758" s="202" t="s">
        <v>1004</v>
      </c>
      <c r="B1758" s="203">
        <v>47000</v>
      </c>
      <c r="C1758" s="203">
        <v>0</v>
      </c>
      <c r="D1758" s="202" t="s">
        <v>441</v>
      </c>
      <c r="E1758" s="202" t="s">
        <v>639</v>
      </c>
      <c r="F1758" s="202" t="s">
        <v>653</v>
      </c>
      <c r="G1758" s="202" t="s">
        <v>689</v>
      </c>
    </row>
    <row r="1759" spans="1:7" hidden="1">
      <c r="A1759" s="202" t="s">
        <v>1005</v>
      </c>
      <c r="B1759" s="203">
        <v>15761</v>
      </c>
      <c r="C1759" s="203">
        <v>0</v>
      </c>
      <c r="D1759" s="202" t="s">
        <v>441</v>
      </c>
      <c r="E1759" s="202" t="s">
        <v>639</v>
      </c>
      <c r="F1759" s="202" t="s">
        <v>653</v>
      </c>
      <c r="G1759" s="202" t="s">
        <v>689</v>
      </c>
    </row>
    <row r="1760" spans="1:7" hidden="1">
      <c r="A1760" s="202" t="s">
        <v>1006</v>
      </c>
      <c r="B1760" s="203">
        <v>5700</v>
      </c>
      <c r="C1760" s="203">
        <v>0</v>
      </c>
      <c r="D1760" s="202" t="s">
        <v>441</v>
      </c>
      <c r="E1760" s="202" t="s">
        <v>639</v>
      </c>
      <c r="F1760" s="202" t="s">
        <v>653</v>
      </c>
      <c r="G1760" s="202" t="s">
        <v>689</v>
      </c>
    </row>
    <row r="1761" spans="1:7" hidden="1">
      <c r="A1761" s="202" t="s">
        <v>1007</v>
      </c>
      <c r="B1761" s="203">
        <v>35900</v>
      </c>
      <c r="C1761" s="203">
        <v>0</v>
      </c>
      <c r="D1761" s="202" t="s">
        <v>441</v>
      </c>
      <c r="E1761" s="202" t="s">
        <v>639</v>
      </c>
      <c r="F1761" s="202" t="s">
        <v>653</v>
      </c>
      <c r="G1761" s="202" t="s">
        <v>689</v>
      </c>
    </row>
    <row r="1762" spans="1:7" hidden="1">
      <c r="A1762" s="202" t="s">
        <v>1008</v>
      </c>
      <c r="B1762" s="203">
        <v>11700</v>
      </c>
      <c r="C1762" s="203">
        <v>0</v>
      </c>
      <c r="D1762" s="202" t="s">
        <v>441</v>
      </c>
      <c r="E1762" s="202" t="s">
        <v>639</v>
      </c>
      <c r="F1762" s="202" t="s">
        <v>653</v>
      </c>
      <c r="G1762" s="202" t="s">
        <v>689</v>
      </c>
    </row>
    <row r="1763" spans="1:7" hidden="1">
      <c r="A1763" s="202" t="s">
        <v>1009</v>
      </c>
      <c r="B1763" s="203">
        <v>3500</v>
      </c>
      <c r="C1763" s="203">
        <v>0</v>
      </c>
      <c r="D1763" s="202" t="s">
        <v>441</v>
      </c>
      <c r="E1763" s="202" t="s">
        <v>639</v>
      </c>
      <c r="F1763" s="202" t="s">
        <v>653</v>
      </c>
      <c r="G1763" s="202" t="s">
        <v>689</v>
      </c>
    </row>
    <row r="1764" spans="1:7" hidden="1">
      <c r="A1764" s="202" t="s">
        <v>1010</v>
      </c>
      <c r="B1764" s="203">
        <v>2089</v>
      </c>
      <c r="C1764" s="203">
        <v>0</v>
      </c>
      <c r="D1764" s="202" t="s">
        <v>443</v>
      </c>
      <c r="E1764" s="202" t="s">
        <v>639</v>
      </c>
      <c r="F1764" s="202" t="s">
        <v>397</v>
      </c>
      <c r="G1764" s="202" t="s">
        <v>689</v>
      </c>
    </row>
    <row r="1765" spans="1:7" hidden="1">
      <c r="A1765" s="202" t="s">
        <v>1011</v>
      </c>
      <c r="B1765" s="203">
        <v>13100</v>
      </c>
      <c r="C1765" s="203">
        <v>0</v>
      </c>
      <c r="D1765" s="202" t="s">
        <v>441</v>
      </c>
      <c r="E1765" s="202" t="s">
        <v>639</v>
      </c>
      <c r="F1765" s="202" t="s">
        <v>653</v>
      </c>
      <c r="G1765" s="202" t="s">
        <v>689</v>
      </c>
    </row>
    <row r="1766" spans="1:7" hidden="1">
      <c r="A1766" s="202" t="s">
        <v>1012</v>
      </c>
      <c r="B1766" s="203">
        <v>21800</v>
      </c>
      <c r="C1766" s="203">
        <v>0</v>
      </c>
      <c r="D1766" s="202" t="s">
        <v>441</v>
      </c>
      <c r="E1766" s="202" t="s">
        <v>639</v>
      </c>
      <c r="F1766" s="202" t="s">
        <v>653</v>
      </c>
      <c r="G1766" s="202" t="s">
        <v>689</v>
      </c>
    </row>
    <row r="1767" spans="1:7" hidden="1">
      <c r="A1767" s="202" t="s">
        <v>1013</v>
      </c>
      <c r="B1767" s="203">
        <v>8600</v>
      </c>
      <c r="C1767" s="203">
        <v>0</v>
      </c>
      <c r="D1767" s="202" t="s">
        <v>441</v>
      </c>
      <c r="E1767" s="202" t="s">
        <v>639</v>
      </c>
      <c r="F1767" s="202" t="s">
        <v>653</v>
      </c>
      <c r="G1767" s="202" t="s">
        <v>689</v>
      </c>
    </row>
    <row r="1768" spans="1:7" hidden="1">
      <c r="A1768" s="202" t="s">
        <v>1014</v>
      </c>
      <c r="B1768" s="203">
        <v>17600</v>
      </c>
      <c r="C1768" s="203">
        <v>0</v>
      </c>
      <c r="D1768" s="202" t="s">
        <v>441</v>
      </c>
      <c r="E1768" s="202" t="s">
        <v>639</v>
      </c>
      <c r="F1768" s="202" t="s">
        <v>653</v>
      </c>
      <c r="G1768" s="202" t="s">
        <v>689</v>
      </c>
    </row>
    <row r="1769" spans="1:7" hidden="1">
      <c r="A1769" s="202" t="s">
        <v>1015</v>
      </c>
      <c r="B1769" s="203">
        <v>14800</v>
      </c>
      <c r="C1769" s="203">
        <v>0</v>
      </c>
      <c r="D1769" s="202" t="s">
        <v>441</v>
      </c>
      <c r="E1769" s="202" t="s">
        <v>639</v>
      </c>
      <c r="F1769" s="202" t="s">
        <v>653</v>
      </c>
      <c r="G1769" s="202" t="s">
        <v>689</v>
      </c>
    </row>
    <row r="1770" spans="1:7" hidden="1">
      <c r="A1770" s="202" t="s">
        <v>1016</v>
      </c>
      <c r="B1770" s="203">
        <v>16900</v>
      </c>
      <c r="C1770" s="203">
        <v>0</v>
      </c>
      <c r="D1770" s="202" t="s">
        <v>441</v>
      </c>
      <c r="E1770" s="202" t="s">
        <v>639</v>
      </c>
      <c r="F1770" s="202" t="s">
        <v>653</v>
      </c>
      <c r="G1770" s="202" t="s">
        <v>689</v>
      </c>
    </row>
    <row r="1771" spans="1:7" hidden="1">
      <c r="A1771" s="202" t="s">
        <v>1017</v>
      </c>
      <c r="B1771" s="203">
        <v>-15900</v>
      </c>
      <c r="C1771" s="203">
        <v>0</v>
      </c>
      <c r="D1771" s="202" t="s">
        <v>443</v>
      </c>
      <c r="E1771" s="202" t="s">
        <v>639</v>
      </c>
      <c r="F1771" s="202" t="s">
        <v>397</v>
      </c>
      <c r="G1771" s="202" t="s">
        <v>689</v>
      </c>
    </row>
    <row r="1772" spans="1:7" hidden="1">
      <c r="A1772" s="202" t="s">
        <v>1018</v>
      </c>
      <c r="B1772" s="203">
        <v>17400</v>
      </c>
      <c r="C1772" s="203">
        <v>0</v>
      </c>
      <c r="D1772" s="202" t="s">
        <v>441</v>
      </c>
      <c r="E1772" s="202" t="s">
        <v>639</v>
      </c>
      <c r="F1772" s="202" t="s">
        <v>653</v>
      </c>
      <c r="G1772" s="202" t="s">
        <v>689</v>
      </c>
    </row>
    <row r="1773" spans="1:7" hidden="1">
      <c r="A1773" s="202" t="s">
        <v>1019</v>
      </c>
      <c r="B1773" s="203">
        <v>125400</v>
      </c>
      <c r="C1773" s="203">
        <v>0</v>
      </c>
      <c r="D1773" s="202" t="s">
        <v>441</v>
      </c>
      <c r="E1773" s="202" t="s">
        <v>639</v>
      </c>
      <c r="F1773" s="202" t="s">
        <v>653</v>
      </c>
      <c r="G1773" s="202" t="s">
        <v>689</v>
      </c>
    </row>
    <row r="1774" spans="1:7" hidden="1">
      <c r="A1774" s="202" t="s">
        <v>1020</v>
      </c>
      <c r="B1774" s="203">
        <v>79000</v>
      </c>
      <c r="C1774" s="203">
        <v>0</v>
      </c>
      <c r="D1774" s="202" t="s">
        <v>441</v>
      </c>
      <c r="E1774" s="202" t="s">
        <v>639</v>
      </c>
      <c r="F1774" s="202" t="s">
        <v>653</v>
      </c>
      <c r="G1774" s="202" t="s">
        <v>689</v>
      </c>
    </row>
    <row r="1775" spans="1:7" hidden="1">
      <c r="A1775" s="202" t="s">
        <v>1021</v>
      </c>
      <c r="B1775" s="203">
        <v>47700</v>
      </c>
      <c r="C1775" s="203">
        <v>0</v>
      </c>
      <c r="D1775" s="202" t="s">
        <v>441</v>
      </c>
      <c r="E1775" s="202" t="s">
        <v>639</v>
      </c>
      <c r="F1775" s="202" t="s">
        <v>653</v>
      </c>
      <c r="G1775" s="202" t="s">
        <v>689</v>
      </c>
    </row>
    <row r="1776" spans="1:7" hidden="1">
      <c r="A1776" s="202" t="s">
        <v>1022</v>
      </c>
      <c r="B1776" s="203">
        <v>100000</v>
      </c>
      <c r="C1776" s="203">
        <v>0</v>
      </c>
      <c r="D1776" s="202" t="s">
        <v>441</v>
      </c>
      <c r="E1776" s="202" t="s">
        <v>639</v>
      </c>
      <c r="F1776" s="202" t="s">
        <v>653</v>
      </c>
      <c r="G1776" s="202" t="s">
        <v>689</v>
      </c>
    </row>
    <row r="1777" spans="1:7" hidden="1">
      <c r="A1777" s="202" t="s">
        <v>1023</v>
      </c>
      <c r="B1777" s="203">
        <v>63000</v>
      </c>
      <c r="C1777" s="203">
        <v>0</v>
      </c>
      <c r="D1777" s="202" t="s">
        <v>441</v>
      </c>
      <c r="E1777" s="202" t="s">
        <v>639</v>
      </c>
      <c r="F1777" s="202" t="s">
        <v>653</v>
      </c>
      <c r="G1777" s="202" t="s">
        <v>689</v>
      </c>
    </row>
    <row r="1778" spans="1:7" hidden="1">
      <c r="A1778" s="202" t="s">
        <v>1024</v>
      </c>
      <c r="B1778" s="203">
        <v>19300</v>
      </c>
      <c r="C1778" s="203">
        <v>0</v>
      </c>
      <c r="D1778" s="202" t="s">
        <v>441</v>
      </c>
      <c r="E1778" s="202" t="s">
        <v>639</v>
      </c>
      <c r="F1778" s="202" t="s">
        <v>653</v>
      </c>
      <c r="G1778" s="202" t="s">
        <v>689</v>
      </c>
    </row>
    <row r="1779" spans="1:7" hidden="1">
      <c r="A1779" s="202" t="s">
        <v>1025</v>
      </c>
      <c r="B1779" s="203">
        <v>18300</v>
      </c>
      <c r="C1779" s="203">
        <v>0</v>
      </c>
      <c r="D1779" s="202" t="s">
        <v>441</v>
      </c>
      <c r="E1779" s="202" t="s">
        <v>639</v>
      </c>
      <c r="F1779" s="202" t="s">
        <v>653</v>
      </c>
      <c r="G1779" s="202" t="s">
        <v>689</v>
      </c>
    </row>
    <row r="1780" spans="1:7" hidden="1">
      <c r="A1780" s="202" t="s">
        <v>1026</v>
      </c>
      <c r="B1780" s="203">
        <v>11400</v>
      </c>
      <c r="C1780" s="203">
        <v>0</v>
      </c>
      <c r="D1780" s="202" t="s">
        <v>441</v>
      </c>
      <c r="E1780" s="202" t="s">
        <v>639</v>
      </c>
      <c r="F1780" s="202" t="s">
        <v>653</v>
      </c>
      <c r="G1780" s="202" t="s">
        <v>689</v>
      </c>
    </row>
    <row r="1781" spans="1:7" hidden="1">
      <c r="A1781" s="202" t="s">
        <v>1027</v>
      </c>
      <c r="B1781" s="203">
        <v>6400</v>
      </c>
      <c r="C1781" s="203">
        <v>0</v>
      </c>
      <c r="D1781" s="202" t="s">
        <v>441</v>
      </c>
      <c r="E1781" s="202" t="s">
        <v>639</v>
      </c>
      <c r="F1781" s="202" t="s">
        <v>653</v>
      </c>
      <c r="G1781" s="202" t="s">
        <v>689</v>
      </c>
    </row>
    <row r="1782" spans="1:7" hidden="1">
      <c r="A1782" s="202" t="s">
        <v>1028</v>
      </c>
      <c r="B1782" s="203">
        <v>10500</v>
      </c>
      <c r="C1782" s="203">
        <v>0</v>
      </c>
      <c r="D1782" s="202" t="s">
        <v>441</v>
      </c>
      <c r="E1782" s="202" t="s">
        <v>639</v>
      </c>
      <c r="F1782" s="202" t="s">
        <v>653</v>
      </c>
      <c r="G1782" s="202" t="s">
        <v>689</v>
      </c>
    </row>
    <row r="1783" spans="1:7" hidden="1">
      <c r="A1783" s="202" t="s">
        <v>1029</v>
      </c>
      <c r="B1783" s="203">
        <v>1200</v>
      </c>
      <c r="C1783" s="203">
        <v>0</v>
      </c>
      <c r="D1783" s="202" t="s">
        <v>443</v>
      </c>
      <c r="E1783" s="202" t="s">
        <v>639</v>
      </c>
      <c r="F1783" s="202" t="s">
        <v>397</v>
      </c>
      <c r="G1783" s="202" t="s">
        <v>689</v>
      </c>
    </row>
    <row r="1784" spans="1:7" hidden="1">
      <c r="A1784" s="202" t="s">
        <v>1030</v>
      </c>
      <c r="B1784" s="203">
        <v>9300</v>
      </c>
      <c r="C1784" s="203">
        <v>0</v>
      </c>
      <c r="D1784" s="202" t="s">
        <v>441</v>
      </c>
      <c r="E1784" s="202" t="s">
        <v>639</v>
      </c>
      <c r="F1784" s="202" t="s">
        <v>653</v>
      </c>
      <c r="G1784" s="202" t="s">
        <v>689</v>
      </c>
    </row>
    <row r="1785" spans="1:7" hidden="1">
      <c r="A1785" s="202" t="s">
        <v>1031</v>
      </c>
      <c r="B1785" s="203">
        <v>23100</v>
      </c>
      <c r="C1785" s="203">
        <v>0</v>
      </c>
      <c r="D1785" s="202" t="s">
        <v>441</v>
      </c>
      <c r="E1785" s="202" t="s">
        <v>639</v>
      </c>
      <c r="F1785" s="202" t="s">
        <v>653</v>
      </c>
      <c r="G1785" s="202" t="s">
        <v>689</v>
      </c>
    </row>
    <row r="1786" spans="1:7" hidden="1">
      <c r="A1786" s="202" t="s">
        <v>1032</v>
      </c>
      <c r="B1786" s="203">
        <v>12700</v>
      </c>
      <c r="C1786" s="203">
        <v>0</v>
      </c>
      <c r="D1786" s="202" t="s">
        <v>441</v>
      </c>
      <c r="E1786" s="202" t="s">
        <v>639</v>
      </c>
      <c r="F1786" s="202" t="s">
        <v>653</v>
      </c>
      <c r="G1786" s="202" t="s">
        <v>689</v>
      </c>
    </row>
    <row r="1787" spans="1:7" hidden="1">
      <c r="A1787" s="202" t="s">
        <v>1033</v>
      </c>
      <c r="B1787" s="203">
        <v>15000</v>
      </c>
      <c r="C1787" s="203">
        <v>0</v>
      </c>
      <c r="D1787" s="202" t="s">
        <v>441</v>
      </c>
      <c r="E1787" s="202" t="s">
        <v>639</v>
      </c>
      <c r="F1787" s="202" t="s">
        <v>653</v>
      </c>
      <c r="G1787" s="202" t="s">
        <v>689</v>
      </c>
    </row>
    <row r="1788" spans="1:7" hidden="1">
      <c r="A1788" s="202" t="s">
        <v>1034</v>
      </c>
      <c r="B1788" s="203">
        <v>2000</v>
      </c>
      <c r="C1788" s="203">
        <v>0</v>
      </c>
      <c r="D1788" s="202" t="s">
        <v>443</v>
      </c>
      <c r="E1788" s="202" t="s">
        <v>639</v>
      </c>
      <c r="F1788" s="202" t="s">
        <v>397</v>
      </c>
      <c r="G1788" s="202" t="s">
        <v>689</v>
      </c>
    </row>
    <row r="1789" spans="1:7" hidden="1">
      <c r="A1789" s="202" t="s">
        <v>1035</v>
      </c>
      <c r="B1789" s="203">
        <v>37400</v>
      </c>
      <c r="C1789" s="203">
        <v>0</v>
      </c>
      <c r="D1789" s="202" t="s">
        <v>441</v>
      </c>
      <c r="E1789" s="202" t="s">
        <v>639</v>
      </c>
      <c r="F1789" s="202" t="s">
        <v>653</v>
      </c>
      <c r="G1789" s="202" t="s">
        <v>689</v>
      </c>
    </row>
    <row r="1790" spans="1:7" hidden="1">
      <c r="A1790" s="202" t="s">
        <v>1036</v>
      </c>
      <c r="B1790" s="203">
        <v>2200</v>
      </c>
      <c r="C1790" s="203">
        <v>0</v>
      </c>
      <c r="D1790" s="202" t="s">
        <v>443</v>
      </c>
      <c r="E1790" s="202" t="s">
        <v>639</v>
      </c>
      <c r="F1790" s="202" t="s">
        <v>397</v>
      </c>
      <c r="G1790" s="202" t="s">
        <v>689</v>
      </c>
    </row>
    <row r="1791" spans="1:7" hidden="1">
      <c r="A1791" s="202" t="s">
        <v>1037</v>
      </c>
      <c r="B1791" s="203">
        <v>15900</v>
      </c>
      <c r="C1791" s="203">
        <v>0</v>
      </c>
      <c r="D1791" s="202" t="s">
        <v>443</v>
      </c>
      <c r="E1791" s="202" t="s">
        <v>639</v>
      </c>
      <c r="F1791" s="202" t="s">
        <v>397</v>
      </c>
      <c r="G1791" s="202" t="s">
        <v>689</v>
      </c>
    </row>
    <row r="1792" spans="1:7" hidden="1">
      <c r="A1792" s="202" t="s">
        <v>1038</v>
      </c>
      <c r="B1792" s="203">
        <v>6600</v>
      </c>
      <c r="C1792" s="203">
        <v>0</v>
      </c>
      <c r="D1792" s="202" t="s">
        <v>441</v>
      </c>
      <c r="E1792" s="202" t="s">
        <v>639</v>
      </c>
      <c r="F1792" s="202" t="s">
        <v>653</v>
      </c>
      <c r="G1792" s="202" t="s">
        <v>689</v>
      </c>
    </row>
    <row r="1793" spans="1:7" hidden="1">
      <c r="A1793" s="202" t="s">
        <v>1039</v>
      </c>
      <c r="B1793" s="203">
        <v>10700</v>
      </c>
      <c r="C1793" s="203">
        <v>0</v>
      </c>
      <c r="D1793" s="202" t="s">
        <v>441</v>
      </c>
      <c r="E1793" s="202" t="s">
        <v>639</v>
      </c>
      <c r="F1793" s="202" t="s">
        <v>653</v>
      </c>
      <c r="G1793" s="202" t="s">
        <v>689</v>
      </c>
    </row>
    <row r="1794" spans="1:7" hidden="1">
      <c r="A1794" s="202" t="s">
        <v>1040</v>
      </c>
      <c r="B1794" s="203">
        <v>2631</v>
      </c>
      <c r="C1794" s="203">
        <v>0</v>
      </c>
      <c r="D1794" s="202" t="s">
        <v>441</v>
      </c>
      <c r="E1794" s="202" t="s">
        <v>639</v>
      </c>
      <c r="F1794" s="202" t="s">
        <v>653</v>
      </c>
      <c r="G1794" s="202" t="s">
        <v>689</v>
      </c>
    </row>
    <row r="1795" spans="1:7" hidden="1">
      <c r="A1795" s="202" t="s">
        <v>1041</v>
      </c>
      <c r="B1795" s="203">
        <v>10200</v>
      </c>
      <c r="C1795" s="203">
        <v>0</v>
      </c>
      <c r="D1795" s="202" t="s">
        <v>441</v>
      </c>
      <c r="E1795" s="202" t="s">
        <v>639</v>
      </c>
      <c r="F1795" s="202" t="s">
        <v>653</v>
      </c>
      <c r="G1795" s="202" t="s">
        <v>689</v>
      </c>
    </row>
    <row r="1796" spans="1:7" hidden="1">
      <c r="A1796" s="202" t="s">
        <v>1042</v>
      </c>
      <c r="B1796" s="203">
        <v>12300</v>
      </c>
      <c r="C1796" s="203">
        <v>0</v>
      </c>
      <c r="D1796" s="202" t="s">
        <v>441</v>
      </c>
      <c r="E1796" s="202" t="s">
        <v>639</v>
      </c>
      <c r="F1796" s="202" t="s">
        <v>653</v>
      </c>
      <c r="G1796" s="202" t="s">
        <v>689</v>
      </c>
    </row>
    <row r="1797" spans="1:7" hidden="1">
      <c r="A1797" s="202" t="s">
        <v>1043</v>
      </c>
      <c r="B1797" s="203">
        <v>26000</v>
      </c>
      <c r="C1797" s="203">
        <v>0</v>
      </c>
      <c r="D1797" s="202" t="s">
        <v>441</v>
      </c>
      <c r="E1797" s="202" t="s">
        <v>639</v>
      </c>
      <c r="F1797" s="202" t="s">
        <v>653</v>
      </c>
      <c r="G1797" s="202" t="s">
        <v>689</v>
      </c>
    </row>
    <row r="1798" spans="1:7" hidden="1">
      <c r="A1798" s="202" t="s">
        <v>1044</v>
      </c>
      <c r="B1798" s="203">
        <v>42400</v>
      </c>
      <c r="C1798" s="203">
        <v>0</v>
      </c>
      <c r="D1798" s="202" t="s">
        <v>441</v>
      </c>
      <c r="E1798" s="202" t="s">
        <v>639</v>
      </c>
      <c r="F1798" s="202" t="s">
        <v>653</v>
      </c>
      <c r="G1798" s="202" t="s">
        <v>689</v>
      </c>
    </row>
    <row r="1799" spans="1:7" hidden="1">
      <c r="A1799" s="202" t="s">
        <v>1045</v>
      </c>
      <c r="B1799" s="203">
        <v>45433</v>
      </c>
      <c r="C1799" s="203">
        <v>0</v>
      </c>
      <c r="D1799" s="202" t="s">
        <v>441</v>
      </c>
      <c r="E1799" s="202" t="s">
        <v>639</v>
      </c>
      <c r="F1799" s="202" t="s">
        <v>653</v>
      </c>
      <c r="G1799" s="202" t="s">
        <v>689</v>
      </c>
    </row>
    <row r="1800" spans="1:7" hidden="1">
      <c r="A1800" s="202" t="s">
        <v>1046</v>
      </c>
      <c r="B1800" s="203">
        <v>40900</v>
      </c>
      <c r="C1800" s="203">
        <v>0</v>
      </c>
      <c r="D1800" s="202" t="s">
        <v>441</v>
      </c>
      <c r="E1800" s="202" t="s">
        <v>639</v>
      </c>
      <c r="F1800" s="202" t="s">
        <v>653</v>
      </c>
      <c r="G1800" s="202" t="s">
        <v>689</v>
      </c>
    </row>
    <row r="1801" spans="1:7" hidden="1">
      <c r="A1801" s="202" t="s">
        <v>1047</v>
      </c>
      <c r="B1801" s="203">
        <v>5000</v>
      </c>
      <c r="C1801" s="203">
        <v>0</v>
      </c>
      <c r="D1801" s="202" t="s">
        <v>443</v>
      </c>
      <c r="E1801" s="202" t="s">
        <v>639</v>
      </c>
      <c r="F1801" s="202" t="s">
        <v>397</v>
      </c>
      <c r="G1801" s="202" t="s">
        <v>689</v>
      </c>
    </row>
    <row r="1802" spans="1:7" hidden="1">
      <c r="A1802" s="202" t="s">
        <v>1048</v>
      </c>
      <c r="B1802" s="203">
        <v>32800</v>
      </c>
      <c r="C1802" s="203">
        <v>0</v>
      </c>
      <c r="D1802" s="202" t="s">
        <v>441</v>
      </c>
      <c r="E1802" s="202" t="s">
        <v>639</v>
      </c>
      <c r="F1802" s="202" t="s">
        <v>653</v>
      </c>
      <c r="G1802" s="202" t="s">
        <v>689</v>
      </c>
    </row>
    <row r="1803" spans="1:7" hidden="1">
      <c r="A1803" s="202" t="s">
        <v>1049</v>
      </c>
      <c r="B1803" s="203">
        <v>11700</v>
      </c>
      <c r="C1803" s="203">
        <v>0</v>
      </c>
      <c r="D1803" s="202" t="s">
        <v>441</v>
      </c>
      <c r="E1803" s="202" t="s">
        <v>639</v>
      </c>
      <c r="F1803" s="202" t="s">
        <v>653</v>
      </c>
      <c r="G1803" s="202" t="s">
        <v>689</v>
      </c>
    </row>
    <row r="1804" spans="1:7" hidden="1">
      <c r="A1804" s="202" t="s">
        <v>1050</v>
      </c>
      <c r="B1804" s="203">
        <v>23400</v>
      </c>
      <c r="C1804" s="203">
        <v>0</v>
      </c>
      <c r="D1804" s="202" t="s">
        <v>441</v>
      </c>
      <c r="E1804" s="202" t="s">
        <v>639</v>
      </c>
      <c r="F1804" s="202" t="s">
        <v>653</v>
      </c>
      <c r="G1804" s="202" t="s">
        <v>689</v>
      </c>
    </row>
    <row r="1805" spans="1:7" hidden="1">
      <c r="A1805" s="202" t="s">
        <v>1051</v>
      </c>
      <c r="B1805" s="203">
        <v>8000</v>
      </c>
      <c r="C1805" s="203">
        <v>0</v>
      </c>
      <c r="D1805" s="202" t="s">
        <v>441</v>
      </c>
      <c r="E1805" s="202" t="s">
        <v>639</v>
      </c>
      <c r="F1805" s="202" t="s">
        <v>653</v>
      </c>
      <c r="G1805" s="202" t="s">
        <v>689</v>
      </c>
    </row>
    <row r="1806" spans="1:7" hidden="1">
      <c r="A1806" s="202" t="s">
        <v>1052</v>
      </c>
      <c r="B1806" s="203">
        <v>11800</v>
      </c>
      <c r="C1806" s="203">
        <v>0</v>
      </c>
      <c r="D1806" s="202" t="s">
        <v>441</v>
      </c>
      <c r="E1806" s="202" t="s">
        <v>639</v>
      </c>
      <c r="F1806" s="202" t="s">
        <v>653</v>
      </c>
      <c r="G1806" s="202" t="s">
        <v>689</v>
      </c>
    </row>
    <row r="1807" spans="1:7" hidden="1">
      <c r="A1807" s="202" t="s">
        <v>1053</v>
      </c>
      <c r="B1807" s="203">
        <v>13400</v>
      </c>
      <c r="C1807" s="203">
        <v>0</v>
      </c>
      <c r="D1807" s="202" t="s">
        <v>441</v>
      </c>
      <c r="E1807" s="202" t="s">
        <v>639</v>
      </c>
      <c r="F1807" s="202" t="s">
        <v>653</v>
      </c>
      <c r="G1807" s="202" t="s">
        <v>689</v>
      </c>
    </row>
    <row r="1808" spans="1:7" hidden="1">
      <c r="A1808" s="202" t="s">
        <v>1054</v>
      </c>
      <c r="B1808" s="203">
        <v>2900</v>
      </c>
      <c r="C1808" s="203">
        <v>0</v>
      </c>
      <c r="D1808" s="202" t="s">
        <v>443</v>
      </c>
      <c r="E1808" s="202" t="s">
        <v>639</v>
      </c>
      <c r="F1808" s="202" t="s">
        <v>397</v>
      </c>
      <c r="G1808" s="202" t="s">
        <v>689</v>
      </c>
    </row>
    <row r="1809" spans="1:7" hidden="1">
      <c r="A1809" s="202" t="s">
        <v>1055</v>
      </c>
      <c r="B1809" s="203">
        <v>57400</v>
      </c>
      <c r="C1809" s="203">
        <v>0</v>
      </c>
      <c r="D1809" s="202" t="s">
        <v>441</v>
      </c>
      <c r="E1809" s="202" t="s">
        <v>639</v>
      </c>
      <c r="F1809" s="202" t="s">
        <v>653</v>
      </c>
      <c r="G1809" s="202" t="s">
        <v>689</v>
      </c>
    </row>
    <row r="1810" spans="1:7" hidden="1">
      <c r="A1810" s="202" t="s">
        <v>1056</v>
      </c>
      <c r="B1810" s="203">
        <v>3600</v>
      </c>
      <c r="C1810" s="203">
        <v>0</v>
      </c>
      <c r="D1810" s="202" t="s">
        <v>443</v>
      </c>
      <c r="E1810" s="202" t="s">
        <v>639</v>
      </c>
      <c r="F1810" s="202" t="s">
        <v>397</v>
      </c>
      <c r="G1810" s="202" t="s">
        <v>689</v>
      </c>
    </row>
    <row r="1811" spans="1:7" hidden="1">
      <c r="A1811" s="202" t="s">
        <v>1057</v>
      </c>
      <c r="B1811" s="203">
        <v>13100</v>
      </c>
      <c r="C1811" s="203">
        <v>0</v>
      </c>
      <c r="D1811" s="202" t="s">
        <v>441</v>
      </c>
      <c r="E1811" s="202" t="s">
        <v>639</v>
      </c>
      <c r="F1811" s="202" t="s">
        <v>653</v>
      </c>
      <c r="G1811" s="202" t="s">
        <v>689</v>
      </c>
    </row>
    <row r="1812" spans="1:7" hidden="1">
      <c r="A1812" s="202" t="s">
        <v>1058</v>
      </c>
      <c r="B1812" s="203">
        <v>6300</v>
      </c>
      <c r="C1812" s="203">
        <v>0</v>
      </c>
      <c r="D1812" s="202" t="s">
        <v>441</v>
      </c>
      <c r="E1812" s="202" t="s">
        <v>639</v>
      </c>
      <c r="F1812" s="202" t="s">
        <v>653</v>
      </c>
      <c r="G1812" s="202" t="s">
        <v>689</v>
      </c>
    </row>
    <row r="1813" spans="1:7" hidden="1">
      <c r="A1813" s="202" t="s">
        <v>1059</v>
      </c>
      <c r="B1813" s="203">
        <v>17700</v>
      </c>
      <c r="C1813" s="203">
        <v>0</v>
      </c>
      <c r="D1813" s="202" t="s">
        <v>441</v>
      </c>
      <c r="E1813" s="202" t="s">
        <v>639</v>
      </c>
      <c r="F1813" s="202" t="s">
        <v>653</v>
      </c>
      <c r="G1813" s="202" t="s">
        <v>689</v>
      </c>
    </row>
    <row r="1814" spans="1:7" hidden="1">
      <c r="A1814" s="202" t="s">
        <v>1060</v>
      </c>
      <c r="B1814" s="203">
        <v>29643</v>
      </c>
      <c r="C1814" s="203">
        <v>0</v>
      </c>
      <c r="D1814" s="202" t="s">
        <v>441</v>
      </c>
      <c r="E1814" s="202" t="s">
        <v>639</v>
      </c>
      <c r="F1814" s="202" t="s">
        <v>653</v>
      </c>
      <c r="G1814" s="202" t="s">
        <v>689</v>
      </c>
    </row>
    <row r="1815" spans="1:7" hidden="1">
      <c r="A1815" s="202" t="s">
        <v>1061</v>
      </c>
      <c r="B1815" s="203">
        <v>39000</v>
      </c>
      <c r="C1815" s="203">
        <v>0</v>
      </c>
      <c r="D1815" s="202" t="s">
        <v>443</v>
      </c>
      <c r="E1815" s="202" t="s">
        <v>639</v>
      </c>
      <c r="F1815" s="202" t="s">
        <v>397</v>
      </c>
      <c r="G1815" s="202" t="s">
        <v>689</v>
      </c>
    </row>
    <row r="1816" spans="1:7" hidden="1">
      <c r="A1816" s="202" t="s">
        <v>1062</v>
      </c>
      <c r="B1816" s="203">
        <v>4900</v>
      </c>
      <c r="C1816" s="203">
        <v>0</v>
      </c>
      <c r="D1816" s="202" t="s">
        <v>443</v>
      </c>
      <c r="E1816" s="202" t="s">
        <v>639</v>
      </c>
      <c r="F1816" s="202" t="s">
        <v>397</v>
      </c>
      <c r="G1816" s="202" t="s">
        <v>689</v>
      </c>
    </row>
    <row r="1817" spans="1:7" hidden="1">
      <c r="A1817" s="202" t="s">
        <v>1063</v>
      </c>
      <c r="B1817" s="203">
        <v>2700</v>
      </c>
      <c r="C1817" s="203">
        <v>0</v>
      </c>
      <c r="D1817" s="202" t="s">
        <v>443</v>
      </c>
      <c r="E1817" s="202" t="s">
        <v>639</v>
      </c>
      <c r="F1817" s="202" t="s">
        <v>397</v>
      </c>
      <c r="G1817" s="202" t="s">
        <v>689</v>
      </c>
    </row>
    <row r="1818" spans="1:7" hidden="1">
      <c r="A1818" s="202" t="s">
        <v>1064</v>
      </c>
      <c r="B1818" s="203">
        <v>5354</v>
      </c>
      <c r="C1818" s="203">
        <v>0</v>
      </c>
      <c r="D1818" s="202" t="s">
        <v>441</v>
      </c>
      <c r="E1818" s="202" t="s">
        <v>639</v>
      </c>
      <c r="F1818" s="202" t="s">
        <v>653</v>
      </c>
      <c r="G1818" s="202" t="s">
        <v>689</v>
      </c>
    </row>
    <row r="1819" spans="1:7" hidden="1">
      <c r="A1819" s="202" t="s">
        <v>1065</v>
      </c>
      <c r="B1819" s="203">
        <v>7300</v>
      </c>
      <c r="C1819" s="203">
        <v>0</v>
      </c>
      <c r="D1819" s="202" t="s">
        <v>441</v>
      </c>
      <c r="E1819" s="202" t="s">
        <v>639</v>
      </c>
      <c r="F1819" s="202" t="s">
        <v>653</v>
      </c>
      <c r="G1819" s="202" t="s">
        <v>689</v>
      </c>
    </row>
    <row r="1820" spans="1:7" hidden="1">
      <c r="A1820" s="202" t="s">
        <v>1066</v>
      </c>
      <c r="B1820" s="203">
        <v>1078</v>
      </c>
      <c r="C1820" s="203">
        <v>0</v>
      </c>
      <c r="D1820" s="202" t="s">
        <v>441</v>
      </c>
      <c r="E1820" s="202" t="s">
        <v>639</v>
      </c>
      <c r="F1820" s="202" t="s">
        <v>653</v>
      </c>
      <c r="G1820" s="202" t="s">
        <v>689</v>
      </c>
    </row>
    <row r="1821" spans="1:7" hidden="1">
      <c r="A1821" s="202" t="s">
        <v>1067</v>
      </c>
      <c r="B1821" s="203">
        <v>213</v>
      </c>
      <c r="C1821" s="203">
        <v>0</v>
      </c>
      <c r="D1821" s="202" t="s">
        <v>443</v>
      </c>
      <c r="E1821" s="202" t="s">
        <v>639</v>
      </c>
      <c r="F1821" s="202" t="s">
        <v>397</v>
      </c>
      <c r="G1821" s="202" t="s">
        <v>689</v>
      </c>
    </row>
    <row r="1822" spans="1:7" hidden="1">
      <c r="A1822" s="202" t="s">
        <v>1068</v>
      </c>
      <c r="B1822" s="203">
        <v>-26900</v>
      </c>
      <c r="C1822" s="203">
        <v>0</v>
      </c>
      <c r="D1822" s="202" t="s">
        <v>441</v>
      </c>
      <c r="E1822" s="202" t="s">
        <v>639</v>
      </c>
      <c r="F1822" s="202" t="s">
        <v>410</v>
      </c>
      <c r="G1822" s="202" t="s">
        <v>689</v>
      </c>
    </row>
    <row r="1823" spans="1:7" hidden="1">
      <c r="A1823" s="202" t="s">
        <v>1069</v>
      </c>
      <c r="B1823" s="203">
        <v>-38300</v>
      </c>
      <c r="C1823" s="203">
        <v>0</v>
      </c>
      <c r="D1823" s="202" t="s">
        <v>441</v>
      </c>
      <c r="E1823" s="202" t="s">
        <v>639</v>
      </c>
      <c r="F1823" s="202" t="s">
        <v>653</v>
      </c>
      <c r="G1823" s="202" t="s">
        <v>689</v>
      </c>
    </row>
    <row r="1824" spans="1:7" hidden="1">
      <c r="A1824" s="202" t="s">
        <v>1070</v>
      </c>
      <c r="B1824" s="203">
        <v>-13000</v>
      </c>
      <c r="C1824" s="203">
        <v>0</v>
      </c>
      <c r="D1824" s="202" t="s">
        <v>443</v>
      </c>
      <c r="E1824" s="202" t="s">
        <v>639</v>
      </c>
      <c r="F1824" s="202" t="s">
        <v>397</v>
      </c>
      <c r="G1824" s="202" t="s">
        <v>689</v>
      </c>
    </row>
    <row r="1825" spans="1:7" hidden="1">
      <c r="A1825" s="202" t="s">
        <v>1071</v>
      </c>
      <c r="B1825" s="203">
        <v>-800</v>
      </c>
      <c r="C1825" s="203">
        <v>0</v>
      </c>
      <c r="D1825" s="202" t="s">
        <v>441</v>
      </c>
      <c r="E1825" s="202" t="s">
        <v>639</v>
      </c>
      <c r="F1825" s="202" t="s">
        <v>653</v>
      </c>
      <c r="G1825" s="202" t="s">
        <v>689</v>
      </c>
    </row>
    <row r="1826" spans="1:7" hidden="1">
      <c r="A1826" s="202" t="s">
        <v>1072</v>
      </c>
      <c r="B1826" s="203">
        <v>-28000</v>
      </c>
      <c r="C1826" s="203">
        <v>0</v>
      </c>
      <c r="D1826" s="202" t="s">
        <v>441</v>
      </c>
      <c r="E1826" s="202" t="s">
        <v>639</v>
      </c>
      <c r="F1826" s="202" t="s">
        <v>653</v>
      </c>
      <c r="G1826" s="202" t="s">
        <v>689</v>
      </c>
    </row>
    <row r="1827" spans="1:7" hidden="1">
      <c r="A1827" s="202" t="s">
        <v>1073</v>
      </c>
      <c r="B1827" s="203">
        <v>-7200</v>
      </c>
      <c r="C1827" s="203">
        <v>0</v>
      </c>
      <c r="D1827" s="202" t="s">
        <v>443</v>
      </c>
      <c r="E1827" s="202" t="s">
        <v>639</v>
      </c>
      <c r="F1827" s="202" t="s">
        <v>397</v>
      </c>
      <c r="G1827" s="202" t="s">
        <v>689</v>
      </c>
    </row>
    <row r="1828" spans="1:7" hidden="1">
      <c r="A1828" s="202" t="s">
        <v>1074</v>
      </c>
      <c r="B1828" s="203">
        <v>-50708</v>
      </c>
      <c r="C1828" s="203">
        <v>0</v>
      </c>
      <c r="D1828" s="202" t="s">
        <v>441</v>
      </c>
      <c r="E1828" s="202" t="s">
        <v>639</v>
      </c>
      <c r="F1828" s="202" t="s">
        <v>653</v>
      </c>
      <c r="G1828" s="202" t="s">
        <v>689</v>
      </c>
    </row>
    <row r="1829" spans="1:7" hidden="1">
      <c r="A1829" s="202" t="s">
        <v>1075</v>
      </c>
      <c r="B1829" s="203">
        <v>-11300</v>
      </c>
      <c r="C1829" s="203">
        <v>0</v>
      </c>
      <c r="D1829" s="202" t="s">
        <v>443</v>
      </c>
      <c r="E1829" s="202" t="s">
        <v>639</v>
      </c>
      <c r="F1829" s="202" t="s">
        <v>397</v>
      </c>
      <c r="G1829" s="202" t="s">
        <v>689</v>
      </c>
    </row>
    <row r="1830" spans="1:7" hidden="1">
      <c r="A1830" s="202" t="s">
        <v>1076</v>
      </c>
      <c r="B1830" s="203">
        <v>23100</v>
      </c>
      <c r="C1830" s="203">
        <v>0</v>
      </c>
      <c r="D1830" s="202" t="s">
        <v>441</v>
      </c>
      <c r="E1830" s="202" t="s">
        <v>639</v>
      </c>
      <c r="F1830" s="202" t="s">
        <v>653</v>
      </c>
      <c r="G1830" s="202" t="s">
        <v>689</v>
      </c>
    </row>
    <row r="1831" spans="1:7" hidden="1">
      <c r="A1831" s="202" t="s">
        <v>1077</v>
      </c>
      <c r="B1831" s="203">
        <v>3300</v>
      </c>
      <c r="C1831" s="203">
        <v>0</v>
      </c>
      <c r="D1831" s="202" t="s">
        <v>443</v>
      </c>
      <c r="E1831" s="202" t="s">
        <v>639</v>
      </c>
      <c r="F1831" s="202" t="s">
        <v>397</v>
      </c>
      <c r="G1831" s="202" t="s">
        <v>689</v>
      </c>
    </row>
    <row r="1832" spans="1:7" hidden="1">
      <c r="A1832" s="202" t="s">
        <v>1078</v>
      </c>
      <c r="B1832" s="203">
        <v>7900</v>
      </c>
      <c r="C1832" s="203">
        <v>0</v>
      </c>
      <c r="D1832" s="202" t="s">
        <v>441</v>
      </c>
      <c r="E1832" s="202" t="s">
        <v>639</v>
      </c>
      <c r="F1832" s="202" t="s">
        <v>653</v>
      </c>
      <c r="G1832" s="202" t="s">
        <v>689</v>
      </c>
    </row>
    <row r="1833" spans="1:7" hidden="1">
      <c r="A1833" s="202" t="s">
        <v>1079</v>
      </c>
      <c r="B1833" s="203">
        <v>62700</v>
      </c>
      <c r="C1833" s="203">
        <v>0</v>
      </c>
      <c r="D1833" s="202" t="s">
        <v>441</v>
      </c>
      <c r="E1833" s="202" t="s">
        <v>639</v>
      </c>
      <c r="F1833" s="202" t="s">
        <v>653</v>
      </c>
      <c r="G1833" s="202" t="s">
        <v>689</v>
      </c>
    </row>
    <row r="1834" spans="1:7" hidden="1">
      <c r="A1834" s="202" t="s">
        <v>1080</v>
      </c>
      <c r="B1834" s="203">
        <v>18650</v>
      </c>
      <c r="C1834" s="203">
        <v>0</v>
      </c>
      <c r="D1834" s="202" t="s">
        <v>443</v>
      </c>
      <c r="E1834" s="202" t="s">
        <v>639</v>
      </c>
      <c r="F1834" s="202" t="s">
        <v>397</v>
      </c>
      <c r="G1834" s="202" t="s">
        <v>689</v>
      </c>
    </row>
    <row r="1835" spans="1:7" hidden="1">
      <c r="A1835" s="202" t="s">
        <v>1081</v>
      </c>
      <c r="B1835" s="203">
        <v>28800</v>
      </c>
      <c r="C1835" s="203">
        <v>0</v>
      </c>
      <c r="D1835" s="202" t="s">
        <v>441</v>
      </c>
      <c r="E1835" s="202" t="s">
        <v>639</v>
      </c>
      <c r="F1835" s="202" t="s">
        <v>653</v>
      </c>
      <c r="G1835" s="202" t="s">
        <v>689</v>
      </c>
    </row>
    <row r="1836" spans="1:7" hidden="1">
      <c r="A1836" s="202" t="s">
        <v>1082</v>
      </c>
      <c r="B1836" s="203">
        <v>42700</v>
      </c>
      <c r="C1836" s="203">
        <v>0</v>
      </c>
      <c r="D1836" s="202" t="s">
        <v>443</v>
      </c>
      <c r="E1836" s="202" t="s">
        <v>639</v>
      </c>
      <c r="F1836" s="202" t="s">
        <v>397</v>
      </c>
      <c r="G1836" s="202" t="s">
        <v>689</v>
      </c>
    </row>
    <row r="1837" spans="1:7" hidden="1">
      <c r="A1837" s="202" t="s">
        <v>1083</v>
      </c>
      <c r="B1837" s="203">
        <v>19240</v>
      </c>
      <c r="C1837" s="203">
        <v>0</v>
      </c>
      <c r="D1837" s="202" t="s">
        <v>441</v>
      </c>
      <c r="E1837" s="202" t="s">
        <v>639</v>
      </c>
      <c r="F1837" s="202" t="s">
        <v>653</v>
      </c>
      <c r="G1837" s="202" t="s">
        <v>689</v>
      </c>
    </row>
    <row r="1838" spans="1:7" hidden="1">
      <c r="A1838" s="202" t="s">
        <v>1084</v>
      </c>
      <c r="B1838" s="203">
        <v>60000</v>
      </c>
      <c r="C1838" s="203">
        <v>0</v>
      </c>
      <c r="D1838" s="202" t="s">
        <v>441</v>
      </c>
      <c r="E1838" s="202" t="s">
        <v>639</v>
      </c>
      <c r="F1838" s="202" t="s">
        <v>653</v>
      </c>
      <c r="G1838" s="202" t="s">
        <v>689</v>
      </c>
    </row>
    <row r="1839" spans="1:7" hidden="1">
      <c r="A1839" s="202" t="s">
        <v>1085</v>
      </c>
      <c r="B1839" s="203">
        <v>18000</v>
      </c>
      <c r="C1839" s="203">
        <v>0</v>
      </c>
      <c r="D1839" s="202" t="s">
        <v>443</v>
      </c>
      <c r="E1839" s="202" t="s">
        <v>639</v>
      </c>
      <c r="F1839" s="202" t="s">
        <v>397</v>
      </c>
      <c r="G1839" s="202" t="s">
        <v>689</v>
      </c>
    </row>
    <row r="1840" spans="1:7" hidden="1">
      <c r="A1840" s="202" t="s">
        <v>1086</v>
      </c>
      <c r="B1840" s="203">
        <v>104600</v>
      </c>
      <c r="C1840" s="203">
        <v>0</v>
      </c>
      <c r="D1840" s="202" t="s">
        <v>441</v>
      </c>
      <c r="E1840" s="202" t="s">
        <v>639</v>
      </c>
      <c r="F1840" s="202" t="s">
        <v>653</v>
      </c>
      <c r="G1840" s="202" t="s">
        <v>689</v>
      </c>
    </row>
    <row r="1841" spans="1:7" hidden="1">
      <c r="A1841" s="202" t="s">
        <v>1087</v>
      </c>
      <c r="B1841" s="203">
        <v>2700</v>
      </c>
      <c r="C1841" s="203">
        <v>0</v>
      </c>
      <c r="D1841" s="202" t="s">
        <v>443</v>
      </c>
      <c r="E1841" s="202" t="s">
        <v>639</v>
      </c>
      <c r="F1841" s="202" t="s">
        <v>397</v>
      </c>
      <c r="G1841" s="202" t="s">
        <v>689</v>
      </c>
    </row>
    <row r="1842" spans="1:7" hidden="1">
      <c r="A1842" s="202" t="s">
        <v>1088</v>
      </c>
      <c r="B1842" s="203">
        <v>9200</v>
      </c>
      <c r="C1842" s="203">
        <v>0</v>
      </c>
      <c r="D1842" s="202" t="s">
        <v>443</v>
      </c>
      <c r="E1842" s="202" t="s">
        <v>639</v>
      </c>
      <c r="F1842" s="202" t="s">
        <v>397</v>
      </c>
      <c r="G1842" s="202" t="s">
        <v>689</v>
      </c>
    </row>
    <row r="1843" spans="1:7" hidden="1">
      <c r="A1843" s="202" t="s">
        <v>1089</v>
      </c>
      <c r="B1843" s="203">
        <v>4600</v>
      </c>
      <c r="C1843" s="203">
        <v>0</v>
      </c>
      <c r="D1843" s="202" t="s">
        <v>443</v>
      </c>
      <c r="E1843" s="202" t="s">
        <v>639</v>
      </c>
      <c r="F1843" s="202" t="s">
        <v>397</v>
      </c>
      <c r="G1843" s="202" t="s">
        <v>689</v>
      </c>
    </row>
    <row r="1844" spans="1:7" hidden="1">
      <c r="A1844" s="202" t="s">
        <v>1090</v>
      </c>
      <c r="B1844" s="203">
        <v>18800</v>
      </c>
      <c r="C1844" s="203">
        <v>0</v>
      </c>
      <c r="D1844" s="202" t="s">
        <v>443</v>
      </c>
      <c r="E1844" s="202" t="s">
        <v>639</v>
      </c>
      <c r="F1844" s="202" t="s">
        <v>397</v>
      </c>
      <c r="G1844" s="202" t="s">
        <v>689</v>
      </c>
    </row>
    <row r="1845" spans="1:7" hidden="1">
      <c r="A1845" s="202" t="s">
        <v>1091</v>
      </c>
      <c r="B1845" s="203">
        <v>9000</v>
      </c>
      <c r="C1845" s="203">
        <v>0</v>
      </c>
      <c r="D1845" s="202" t="s">
        <v>443</v>
      </c>
      <c r="E1845" s="202" t="s">
        <v>639</v>
      </c>
      <c r="F1845" s="202" t="s">
        <v>397</v>
      </c>
      <c r="G1845" s="202" t="s">
        <v>689</v>
      </c>
    </row>
    <row r="1846" spans="1:7" hidden="1">
      <c r="A1846" s="202" t="s">
        <v>1092</v>
      </c>
      <c r="B1846" s="203">
        <v>8900</v>
      </c>
      <c r="C1846" s="203">
        <v>0</v>
      </c>
      <c r="D1846" s="202" t="s">
        <v>443</v>
      </c>
      <c r="E1846" s="202" t="s">
        <v>639</v>
      </c>
      <c r="F1846" s="202" t="s">
        <v>397</v>
      </c>
      <c r="G1846" s="202" t="s">
        <v>689</v>
      </c>
    </row>
    <row r="1847" spans="1:7" hidden="1">
      <c r="A1847" s="202" t="s">
        <v>1093</v>
      </c>
      <c r="B1847" s="203">
        <v>-15200</v>
      </c>
      <c r="C1847" s="203">
        <v>0</v>
      </c>
      <c r="D1847" s="202" t="s">
        <v>441</v>
      </c>
      <c r="E1847" s="202" t="s">
        <v>639</v>
      </c>
      <c r="F1847" s="202" t="s">
        <v>653</v>
      </c>
      <c r="G1847" s="202" t="s">
        <v>689</v>
      </c>
    </row>
    <row r="1848" spans="1:7" hidden="1">
      <c r="A1848" s="202" t="s">
        <v>1093</v>
      </c>
      <c r="B1848" s="203">
        <v>17900</v>
      </c>
      <c r="C1848" s="203">
        <v>0</v>
      </c>
      <c r="D1848" s="202" t="s">
        <v>475</v>
      </c>
      <c r="E1848" s="202" t="s">
        <v>639</v>
      </c>
      <c r="F1848" s="202" t="s">
        <v>653</v>
      </c>
      <c r="G1848" s="202" t="s">
        <v>689</v>
      </c>
    </row>
    <row r="1849" spans="1:7" hidden="1">
      <c r="A1849" s="202" t="s">
        <v>1094</v>
      </c>
      <c r="B1849" s="203">
        <v>9100</v>
      </c>
      <c r="C1849" s="203">
        <v>0</v>
      </c>
      <c r="D1849" s="202" t="s">
        <v>443</v>
      </c>
      <c r="E1849" s="202" t="s">
        <v>639</v>
      </c>
      <c r="F1849" s="202" t="s">
        <v>397</v>
      </c>
      <c r="G1849" s="202" t="s">
        <v>689</v>
      </c>
    </row>
    <row r="1850" spans="1:7" hidden="1">
      <c r="A1850" s="202" t="s">
        <v>1095</v>
      </c>
      <c r="B1850" s="203">
        <v>32400</v>
      </c>
      <c r="C1850" s="203">
        <v>0</v>
      </c>
      <c r="D1850" s="202" t="s">
        <v>441</v>
      </c>
      <c r="E1850" s="202" t="s">
        <v>639</v>
      </c>
      <c r="F1850" s="202" t="s">
        <v>653</v>
      </c>
      <c r="G1850" s="202" t="s">
        <v>689</v>
      </c>
    </row>
    <row r="1851" spans="1:7" hidden="1">
      <c r="A1851" s="202" t="s">
        <v>1096</v>
      </c>
      <c r="B1851" s="203">
        <v>50000</v>
      </c>
      <c r="C1851" s="203">
        <v>0</v>
      </c>
      <c r="D1851" s="202" t="s">
        <v>441</v>
      </c>
      <c r="E1851" s="202" t="s">
        <v>639</v>
      </c>
      <c r="F1851" s="202" t="s">
        <v>653</v>
      </c>
      <c r="G1851" s="202" t="s">
        <v>689</v>
      </c>
    </row>
    <row r="1852" spans="1:7" hidden="1">
      <c r="A1852" s="202" t="s">
        <v>1097</v>
      </c>
      <c r="B1852" s="203">
        <v>10000</v>
      </c>
      <c r="C1852" s="203">
        <v>0</v>
      </c>
      <c r="D1852" s="202" t="s">
        <v>443</v>
      </c>
      <c r="E1852" s="202" t="s">
        <v>639</v>
      </c>
      <c r="F1852" s="202" t="s">
        <v>397</v>
      </c>
      <c r="G1852" s="202" t="s">
        <v>689</v>
      </c>
    </row>
    <row r="1853" spans="1:7" hidden="1">
      <c r="A1853" s="202" t="s">
        <v>1098</v>
      </c>
      <c r="B1853" s="203">
        <v>7300</v>
      </c>
      <c r="C1853" s="203">
        <v>0</v>
      </c>
      <c r="D1853" s="202" t="s">
        <v>443</v>
      </c>
      <c r="E1853" s="202" t="s">
        <v>639</v>
      </c>
      <c r="F1853" s="202" t="s">
        <v>397</v>
      </c>
      <c r="G1853" s="202" t="s">
        <v>689</v>
      </c>
    </row>
    <row r="1854" spans="1:7" hidden="1">
      <c r="A1854" s="202" t="s">
        <v>1099</v>
      </c>
      <c r="B1854" s="203">
        <v>18900</v>
      </c>
      <c r="C1854" s="203">
        <v>0</v>
      </c>
      <c r="D1854" s="202" t="s">
        <v>443</v>
      </c>
      <c r="E1854" s="202" t="s">
        <v>639</v>
      </c>
      <c r="F1854" s="202" t="s">
        <v>397</v>
      </c>
      <c r="G1854" s="202" t="s">
        <v>689</v>
      </c>
    </row>
    <row r="1855" spans="1:7" hidden="1">
      <c r="A1855" s="202" t="s">
        <v>1100</v>
      </c>
      <c r="B1855" s="203">
        <v>8100</v>
      </c>
      <c r="C1855" s="203">
        <v>0</v>
      </c>
      <c r="D1855" s="202" t="s">
        <v>443</v>
      </c>
      <c r="E1855" s="202" t="s">
        <v>639</v>
      </c>
      <c r="F1855" s="202" t="s">
        <v>397</v>
      </c>
      <c r="G1855" s="202" t="s">
        <v>689</v>
      </c>
    </row>
    <row r="1856" spans="1:7" hidden="1">
      <c r="A1856" s="202" t="s">
        <v>1101</v>
      </c>
      <c r="B1856" s="203">
        <v>17900</v>
      </c>
      <c r="C1856" s="203">
        <v>0</v>
      </c>
      <c r="D1856" s="202" t="s">
        <v>475</v>
      </c>
      <c r="E1856" s="202" t="s">
        <v>639</v>
      </c>
      <c r="F1856" s="202" t="s">
        <v>397</v>
      </c>
      <c r="G1856" s="202" t="s">
        <v>689</v>
      </c>
    </row>
    <row r="1857" spans="1:7" hidden="1">
      <c r="A1857" s="202" t="s">
        <v>1102</v>
      </c>
      <c r="B1857" s="203">
        <v>66600</v>
      </c>
      <c r="C1857" s="203">
        <v>0</v>
      </c>
      <c r="D1857" s="202" t="s">
        <v>443</v>
      </c>
      <c r="E1857" s="202" t="s">
        <v>639</v>
      </c>
      <c r="F1857" s="202" t="s">
        <v>397</v>
      </c>
      <c r="G1857" s="202" t="s">
        <v>689</v>
      </c>
    </row>
    <row r="1858" spans="1:7" hidden="1">
      <c r="A1858" s="202" t="s">
        <v>1103</v>
      </c>
      <c r="B1858" s="203">
        <v>-16800</v>
      </c>
      <c r="C1858" s="203">
        <v>0</v>
      </c>
      <c r="D1858" s="202" t="s">
        <v>441</v>
      </c>
      <c r="E1858" s="202" t="s">
        <v>639</v>
      </c>
      <c r="F1858" s="202" t="s">
        <v>410</v>
      </c>
      <c r="G1858" s="202" t="s">
        <v>689</v>
      </c>
    </row>
    <row r="1859" spans="1:7" hidden="1">
      <c r="A1859" s="202" t="s">
        <v>1104</v>
      </c>
      <c r="B1859" s="203">
        <v>8400</v>
      </c>
      <c r="C1859" s="203">
        <v>0</v>
      </c>
      <c r="D1859" s="202" t="s">
        <v>443</v>
      </c>
      <c r="E1859" s="202" t="s">
        <v>639</v>
      </c>
      <c r="F1859" s="202" t="s">
        <v>397</v>
      </c>
      <c r="G1859" s="202" t="s">
        <v>689</v>
      </c>
    </row>
    <row r="1860" spans="1:7" hidden="1">
      <c r="A1860" s="202" t="s">
        <v>1105</v>
      </c>
      <c r="B1860" s="203">
        <v>35200</v>
      </c>
      <c r="C1860" s="203">
        <v>0</v>
      </c>
      <c r="D1860" s="202" t="s">
        <v>441</v>
      </c>
      <c r="E1860" s="202" t="s">
        <v>639</v>
      </c>
      <c r="F1860" s="202" t="s">
        <v>653</v>
      </c>
      <c r="G1860" s="202" t="s">
        <v>689</v>
      </c>
    </row>
    <row r="1861" spans="1:7" hidden="1">
      <c r="A1861" s="202" t="s">
        <v>1106</v>
      </c>
      <c r="B1861" s="203">
        <v>9160</v>
      </c>
      <c r="C1861" s="203">
        <v>0</v>
      </c>
      <c r="D1861" s="202" t="s">
        <v>443</v>
      </c>
      <c r="E1861" s="202" t="s">
        <v>639</v>
      </c>
      <c r="F1861" s="202" t="s">
        <v>397</v>
      </c>
      <c r="G1861" s="202" t="s">
        <v>689</v>
      </c>
    </row>
    <row r="1862" spans="1:7" hidden="1">
      <c r="A1862" s="202" t="s">
        <v>1107</v>
      </c>
      <c r="B1862" s="203">
        <v>75800</v>
      </c>
      <c r="C1862" s="203">
        <v>0</v>
      </c>
      <c r="D1862" s="202" t="s">
        <v>443</v>
      </c>
      <c r="E1862" s="202" t="s">
        <v>639</v>
      </c>
      <c r="F1862" s="202" t="s">
        <v>397</v>
      </c>
      <c r="G1862" s="202" t="s">
        <v>689</v>
      </c>
    </row>
    <row r="1863" spans="1:7" hidden="1">
      <c r="A1863" s="202" t="s">
        <v>1108</v>
      </c>
      <c r="B1863" s="203">
        <v>17900</v>
      </c>
      <c r="C1863" s="203">
        <v>0</v>
      </c>
      <c r="D1863" s="202" t="s">
        <v>441</v>
      </c>
      <c r="E1863" s="202" t="s">
        <v>639</v>
      </c>
      <c r="F1863" s="202" t="s">
        <v>653</v>
      </c>
      <c r="G1863" s="202" t="s">
        <v>689</v>
      </c>
    </row>
    <row r="1864" spans="1:7" hidden="1">
      <c r="A1864" s="202" t="s">
        <v>638</v>
      </c>
      <c r="B1864" s="203">
        <v>-111794</v>
      </c>
      <c r="C1864" s="203">
        <v>0</v>
      </c>
      <c r="D1864" s="202" t="s">
        <v>441</v>
      </c>
      <c r="E1864" s="202" t="s">
        <v>639</v>
      </c>
      <c r="F1864" s="202" t="s">
        <v>394</v>
      </c>
      <c r="G1864" s="202" t="s">
        <v>689</v>
      </c>
    </row>
    <row r="1865" spans="1:7" hidden="1">
      <c r="A1865" s="202" t="s">
        <v>377</v>
      </c>
      <c r="B1865" s="203">
        <v>560</v>
      </c>
      <c r="C1865" s="203">
        <v>0</v>
      </c>
      <c r="D1865" s="202" t="s">
        <v>283</v>
      </c>
      <c r="E1865" s="202" t="s">
        <v>640</v>
      </c>
      <c r="F1865" s="202" t="s">
        <v>394</v>
      </c>
      <c r="G1865" s="202" t="s">
        <v>689</v>
      </c>
    </row>
    <row r="1866" spans="1:7">
      <c r="A1866" s="202" t="s">
        <v>377</v>
      </c>
      <c r="B1866" s="203">
        <v>560</v>
      </c>
      <c r="C1866" s="203">
        <v>0</v>
      </c>
      <c r="D1866" s="202" t="s">
        <v>282</v>
      </c>
      <c r="E1866" s="202" t="s">
        <v>640</v>
      </c>
      <c r="F1866" s="202" t="s">
        <v>394</v>
      </c>
      <c r="G1866" s="202" t="s">
        <v>689</v>
      </c>
    </row>
    <row r="1867" spans="1:7" hidden="1">
      <c r="A1867" s="202" t="s">
        <v>641</v>
      </c>
      <c r="B1867" s="203">
        <v>187</v>
      </c>
      <c r="C1867" s="203">
        <v>0</v>
      </c>
      <c r="D1867" s="202" t="s">
        <v>443</v>
      </c>
      <c r="E1867" s="202" t="s">
        <v>640</v>
      </c>
      <c r="F1867" s="202" t="s">
        <v>394</v>
      </c>
      <c r="G1867" s="202" t="s">
        <v>689</v>
      </c>
    </row>
    <row r="1868" spans="1:7" hidden="1">
      <c r="A1868" s="202" t="s">
        <v>642</v>
      </c>
      <c r="B1868" s="203">
        <v>-143</v>
      </c>
      <c r="C1868" s="203">
        <v>0</v>
      </c>
      <c r="D1868" s="202" t="s">
        <v>443</v>
      </c>
      <c r="E1868" s="202" t="s">
        <v>640</v>
      </c>
      <c r="F1868" s="202" t="s">
        <v>394</v>
      </c>
      <c r="G1868" s="202" t="s">
        <v>689</v>
      </c>
    </row>
    <row r="1869" spans="1:7" hidden="1">
      <c r="A1869" s="202" t="s">
        <v>643</v>
      </c>
      <c r="B1869" s="203">
        <v>-127</v>
      </c>
      <c r="C1869" s="203">
        <v>0</v>
      </c>
      <c r="D1869" s="202" t="s">
        <v>443</v>
      </c>
      <c r="E1869" s="202" t="s">
        <v>640</v>
      </c>
      <c r="F1869" s="202" t="s">
        <v>394</v>
      </c>
      <c r="G1869" s="202" t="s">
        <v>689</v>
      </c>
    </row>
    <row r="1870" spans="1:7" hidden="1">
      <c r="A1870" s="202" t="s">
        <v>644</v>
      </c>
      <c r="B1870" s="203">
        <v>-2186</v>
      </c>
      <c r="C1870" s="203">
        <v>0</v>
      </c>
      <c r="D1870" s="202" t="s">
        <v>441</v>
      </c>
      <c r="E1870" s="202" t="s">
        <v>640</v>
      </c>
      <c r="F1870" s="202" t="s">
        <v>394</v>
      </c>
      <c r="G1870" s="202" t="s">
        <v>689</v>
      </c>
    </row>
    <row r="1871" spans="1:7" hidden="1">
      <c r="A1871" s="202" t="s">
        <v>378</v>
      </c>
      <c r="B1871" s="203">
        <v>110</v>
      </c>
      <c r="C1871" s="203">
        <v>0</v>
      </c>
      <c r="D1871" s="202" t="s">
        <v>283</v>
      </c>
      <c r="E1871" s="202" t="s">
        <v>640</v>
      </c>
      <c r="F1871" s="202" t="s">
        <v>394</v>
      </c>
      <c r="G1871" s="202" t="s">
        <v>689</v>
      </c>
    </row>
    <row r="1872" spans="1:7">
      <c r="A1872" s="202" t="s">
        <v>378</v>
      </c>
      <c r="B1872" s="203">
        <v>110</v>
      </c>
      <c r="C1872" s="203">
        <v>0</v>
      </c>
      <c r="D1872" s="202" t="s">
        <v>282</v>
      </c>
      <c r="E1872" s="202" t="s">
        <v>640</v>
      </c>
      <c r="F1872" s="202" t="s">
        <v>394</v>
      </c>
      <c r="G1872" s="202" t="s">
        <v>689</v>
      </c>
    </row>
    <row r="1873" spans="1:7" hidden="1">
      <c r="A1873" s="202" t="s">
        <v>380</v>
      </c>
      <c r="B1873" s="203">
        <v>439</v>
      </c>
      <c r="C1873" s="203">
        <v>0</v>
      </c>
      <c r="D1873" s="202" t="s">
        <v>283</v>
      </c>
      <c r="E1873" s="202" t="s">
        <v>640</v>
      </c>
      <c r="F1873" s="202" t="s">
        <v>394</v>
      </c>
      <c r="G1873" s="202" t="s">
        <v>689</v>
      </c>
    </row>
    <row r="1874" spans="1:7">
      <c r="A1874" s="202" t="s">
        <v>380</v>
      </c>
      <c r="B1874" s="203">
        <v>439</v>
      </c>
      <c r="C1874" s="203">
        <v>0</v>
      </c>
      <c r="D1874" s="202" t="s">
        <v>282</v>
      </c>
      <c r="E1874" s="202" t="s">
        <v>640</v>
      </c>
      <c r="F1874" s="202" t="s">
        <v>394</v>
      </c>
      <c r="G1874" s="202" t="s">
        <v>689</v>
      </c>
    </row>
    <row r="1875" spans="1:7" hidden="1">
      <c r="A1875" s="202" t="s">
        <v>381</v>
      </c>
      <c r="B1875" s="203">
        <v>450</v>
      </c>
      <c r="C1875" s="203">
        <v>0</v>
      </c>
      <c r="D1875" s="202" t="s">
        <v>283</v>
      </c>
      <c r="E1875" s="202" t="s">
        <v>640</v>
      </c>
      <c r="F1875" s="202" t="s">
        <v>394</v>
      </c>
      <c r="G1875" s="202" t="s">
        <v>689</v>
      </c>
    </row>
    <row r="1876" spans="1:7">
      <c r="A1876" s="202" t="s">
        <v>381</v>
      </c>
      <c r="B1876" s="203">
        <v>450</v>
      </c>
      <c r="C1876" s="203">
        <v>0</v>
      </c>
      <c r="D1876" s="202" t="s">
        <v>282</v>
      </c>
      <c r="E1876" s="202" t="s">
        <v>640</v>
      </c>
      <c r="F1876" s="202" t="s">
        <v>394</v>
      </c>
      <c r="G1876" s="202" t="s">
        <v>689</v>
      </c>
    </row>
    <row r="1877" spans="1:7" hidden="1">
      <c r="A1877" s="202" t="s">
        <v>1109</v>
      </c>
      <c r="B1877" s="203">
        <v>264800</v>
      </c>
      <c r="C1877" s="203">
        <v>0</v>
      </c>
      <c r="D1877" s="202" t="s">
        <v>441</v>
      </c>
      <c r="E1877" s="202" t="s">
        <v>639</v>
      </c>
      <c r="F1877" s="202" t="s">
        <v>653</v>
      </c>
      <c r="G1877" s="202" t="s">
        <v>689</v>
      </c>
    </row>
    <row r="1878" spans="1:7" hidden="1">
      <c r="A1878" s="202" t="s">
        <v>1110</v>
      </c>
      <c r="B1878" s="203">
        <v>28000</v>
      </c>
      <c r="C1878" s="203">
        <v>0</v>
      </c>
      <c r="D1878" s="202" t="s">
        <v>443</v>
      </c>
      <c r="E1878" s="202" t="s">
        <v>639</v>
      </c>
      <c r="F1878" s="202" t="s">
        <v>397</v>
      </c>
      <c r="G1878" s="202" t="s">
        <v>689</v>
      </c>
    </row>
    <row r="1879" spans="1:7" hidden="1">
      <c r="A1879" s="202" t="s">
        <v>1111</v>
      </c>
      <c r="B1879" s="203">
        <v>167000</v>
      </c>
      <c r="C1879" s="203">
        <v>0</v>
      </c>
      <c r="D1879" s="202" t="s">
        <v>441</v>
      </c>
      <c r="E1879" s="202" t="s">
        <v>639</v>
      </c>
      <c r="F1879" s="202" t="s">
        <v>653</v>
      </c>
      <c r="G1879" s="202" t="s">
        <v>689</v>
      </c>
    </row>
    <row r="1880" spans="1:7" hidden="1">
      <c r="A1880" s="202" t="s">
        <v>1112</v>
      </c>
      <c r="B1880" s="203">
        <v>44000</v>
      </c>
      <c r="C1880" s="203">
        <v>0</v>
      </c>
      <c r="D1880" s="202" t="s">
        <v>443</v>
      </c>
      <c r="E1880" s="202" t="s">
        <v>639</v>
      </c>
      <c r="F1880" s="202" t="s">
        <v>397</v>
      </c>
      <c r="G1880" s="202" t="s">
        <v>689</v>
      </c>
    </row>
    <row r="1881" spans="1:7" hidden="1">
      <c r="A1881" s="202" t="s">
        <v>1113</v>
      </c>
      <c r="B1881" s="203">
        <v>61900</v>
      </c>
      <c r="C1881" s="203">
        <v>0</v>
      </c>
      <c r="D1881" s="202" t="s">
        <v>443</v>
      </c>
      <c r="E1881" s="202" t="s">
        <v>639</v>
      </c>
      <c r="F1881" s="202" t="s">
        <v>397</v>
      </c>
      <c r="G1881" s="202" t="s">
        <v>689</v>
      </c>
    </row>
    <row r="1882" spans="1:7" hidden="1">
      <c r="A1882" s="202" t="s">
        <v>1114</v>
      </c>
      <c r="B1882" s="203">
        <v>54900</v>
      </c>
      <c r="C1882" s="203">
        <v>0</v>
      </c>
      <c r="D1882" s="202" t="s">
        <v>443</v>
      </c>
      <c r="E1882" s="202" t="s">
        <v>639</v>
      </c>
      <c r="F1882" s="202" t="s">
        <v>397</v>
      </c>
      <c r="G1882" s="202" t="s">
        <v>689</v>
      </c>
    </row>
    <row r="1883" spans="1:7" hidden="1">
      <c r="A1883" s="202" t="s">
        <v>1115</v>
      </c>
      <c r="B1883" s="203">
        <v>27700</v>
      </c>
      <c r="C1883" s="203">
        <v>0</v>
      </c>
      <c r="D1883" s="202" t="s">
        <v>443</v>
      </c>
      <c r="E1883" s="202" t="s">
        <v>639</v>
      </c>
      <c r="F1883" s="202" t="s">
        <v>397</v>
      </c>
      <c r="G1883" s="202" t="s">
        <v>689</v>
      </c>
    </row>
    <row r="1884" spans="1:7" hidden="1">
      <c r="A1884" s="202" t="s">
        <v>1116</v>
      </c>
      <c r="B1884" s="203">
        <v>102600</v>
      </c>
      <c r="C1884" s="203">
        <v>0</v>
      </c>
      <c r="D1884" s="202" t="s">
        <v>441</v>
      </c>
      <c r="E1884" s="202" t="s">
        <v>639</v>
      </c>
      <c r="F1884" s="202" t="s">
        <v>653</v>
      </c>
      <c r="G1884" s="202" t="s">
        <v>689</v>
      </c>
    </row>
    <row r="1885" spans="1:7" hidden="1">
      <c r="A1885" s="202" t="s">
        <v>1117</v>
      </c>
      <c r="B1885" s="203">
        <v>43000</v>
      </c>
      <c r="C1885" s="203">
        <v>0</v>
      </c>
      <c r="D1885" s="202" t="s">
        <v>443</v>
      </c>
      <c r="E1885" s="202" t="s">
        <v>639</v>
      </c>
      <c r="F1885" s="202" t="s">
        <v>397</v>
      </c>
      <c r="G1885" s="202" t="s">
        <v>689</v>
      </c>
    </row>
    <row r="1886" spans="1:7" hidden="1">
      <c r="A1886" s="202" t="s">
        <v>1118</v>
      </c>
      <c r="B1886" s="203">
        <v>55200</v>
      </c>
      <c r="C1886" s="203">
        <v>0</v>
      </c>
      <c r="D1886" s="202" t="s">
        <v>441</v>
      </c>
      <c r="E1886" s="202" t="s">
        <v>639</v>
      </c>
      <c r="F1886" s="202" t="s">
        <v>653</v>
      </c>
      <c r="G1886" s="202" t="s">
        <v>689</v>
      </c>
    </row>
    <row r="1887" spans="1:7" hidden="1">
      <c r="A1887" s="202" t="s">
        <v>1119</v>
      </c>
      <c r="B1887" s="203">
        <v>19200</v>
      </c>
      <c r="C1887" s="203">
        <v>0</v>
      </c>
      <c r="D1887" s="202" t="s">
        <v>443</v>
      </c>
      <c r="E1887" s="202" t="s">
        <v>639</v>
      </c>
      <c r="F1887" s="202" t="s">
        <v>397</v>
      </c>
      <c r="G1887" s="202" t="s">
        <v>689</v>
      </c>
    </row>
    <row r="1888" spans="1:7" hidden="1">
      <c r="A1888" s="202" t="s">
        <v>1120</v>
      </c>
      <c r="B1888" s="203">
        <v>37400</v>
      </c>
      <c r="C1888" s="203">
        <v>0</v>
      </c>
      <c r="D1888" s="202" t="s">
        <v>441</v>
      </c>
      <c r="E1888" s="202" t="s">
        <v>639</v>
      </c>
      <c r="F1888" s="202" t="s">
        <v>653</v>
      </c>
      <c r="G1888" s="202" t="s">
        <v>689</v>
      </c>
    </row>
    <row r="1889" spans="1:7" hidden="1">
      <c r="A1889" s="202" t="s">
        <v>1121</v>
      </c>
      <c r="B1889" s="203">
        <v>9400</v>
      </c>
      <c r="C1889" s="203">
        <v>0</v>
      </c>
      <c r="D1889" s="202" t="s">
        <v>441</v>
      </c>
      <c r="E1889" s="202" t="s">
        <v>639</v>
      </c>
      <c r="F1889" s="202" t="s">
        <v>653</v>
      </c>
      <c r="G1889" s="202" t="s">
        <v>689</v>
      </c>
    </row>
    <row r="1890" spans="1:7" hidden="1">
      <c r="A1890" s="202" t="s">
        <v>1122</v>
      </c>
      <c r="B1890" s="203">
        <v>17700</v>
      </c>
      <c r="C1890" s="203">
        <v>0</v>
      </c>
      <c r="D1890" s="202" t="s">
        <v>441</v>
      </c>
      <c r="E1890" s="202" t="s">
        <v>639</v>
      </c>
      <c r="F1890" s="202" t="s">
        <v>653</v>
      </c>
      <c r="G1890" s="202" t="s">
        <v>689</v>
      </c>
    </row>
    <row r="1891" spans="1:7" hidden="1">
      <c r="A1891" s="202" t="s">
        <v>1123</v>
      </c>
      <c r="B1891" s="203">
        <v>30100</v>
      </c>
      <c r="C1891" s="203">
        <v>0</v>
      </c>
      <c r="D1891" s="202" t="s">
        <v>441</v>
      </c>
      <c r="E1891" s="202" t="s">
        <v>639</v>
      </c>
      <c r="F1891" s="202" t="s">
        <v>653</v>
      </c>
      <c r="G1891" s="202" t="s">
        <v>689</v>
      </c>
    </row>
    <row r="1892" spans="1:7" hidden="1">
      <c r="A1892" s="202" t="s">
        <v>1124</v>
      </c>
      <c r="B1892" s="203">
        <v>29300</v>
      </c>
      <c r="C1892" s="203">
        <v>0</v>
      </c>
      <c r="D1892" s="202" t="s">
        <v>441</v>
      </c>
      <c r="E1892" s="202" t="s">
        <v>639</v>
      </c>
      <c r="F1892" s="202" t="s">
        <v>653</v>
      </c>
      <c r="G1892" s="202" t="s">
        <v>689</v>
      </c>
    </row>
    <row r="1893" spans="1:7" hidden="1">
      <c r="A1893" s="202" t="s">
        <v>1125</v>
      </c>
      <c r="B1893" s="203">
        <v>-2600</v>
      </c>
      <c r="C1893" s="203">
        <v>0</v>
      </c>
      <c r="D1893" s="202" t="s">
        <v>443</v>
      </c>
      <c r="E1893" s="202" t="s">
        <v>639</v>
      </c>
      <c r="F1893" s="202" t="s">
        <v>397</v>
      </c>
      <c r="G1893" s="202" t="s">
        <v>689</v>
      </c>
    </row>
    <row r="1894" spans="1:7" hidden="1">
      <c r="A1894" s="202" t="s">
        <v>1126</v>
      </c>
      <c r="B1894" s="203">
        <v>16700</v>
      </c>
      <c r="C1894" s="203">
        <v>0</v>
      </c>
      <c r="D1894" s="202" t="s">
        <v>441</v>
      </c>
      <c r="E1894" s="202" t="s">
        <v>639</v>
      </c>
      <c r="F1894" s="202" t="s">
        <v>653</v>
      </c>
      <c r="G1894" s="202" t="s">
        <v>689</v>
      </c>
    </row>
    <row r="1895" spans="1:7" hidden="1">
      <c r="A1895" s="202" t="s">
        <v>1127</v>
      </c>
      <c r="B1895" s="203">
        <v>44000</v>
      </c>
      <c r="C1895" s="203">
        <v>0</v>
      </c>
      <c r="D1895" s="202" t="s">
        <v>441</v>
      </c>
      <c r="E1895" s="202" t="s">
        <v>639</v>
      </c>
      <c r="F1895" s="202" t="s">
        <v>653</v>
      </c>
      <c r="G1895" s="202" t="s">
        <v>689</v>
      </c>
    </row>
    <row r="1896" spans="1:7" hidden="1">
      <c r="A1896" s="202" t="s">
        <v>1128</v>
      </c>
      <c r="B1896" s="203">
        <v>57400</v>
      </c>
      <c r="C1896" s="203">
        <v>0</v>
      </c>
      <c r="D1896" s="202" t="s">
        <v>441</v>
      </c>
      <c r="E1896" s="202" t="s">
        <v>639</v>
      </c>
      <c r="F1896" s="202" t="s">
        <v>653</v>
      </c>
      <c r="G1896" s="202" t="s">
        <v>689</v>
      </c>
    </row>
    <row r="1897" spans="1:7" hidden="1">
      <c r="A1897" s="202" t="s">
        <v>1129</v>
      </c>
      <c r="B1897" s="203">
        <v>9200</v>
      </c>
      <c r="C1897" s="203">
        <v>0</v>
      </c>
      <c r="D1897" s="202" t="s">
        <v>441</v>
      </c>
      <c r="E1897" s="202" t="s">
        <v>639</v>
      </c>
      <c r="F1897" s="202" t="s">
        <v>653</v>
      </c>
      <c r="G1897" s="202" t="s">
        <v>689</v>
      </c>
    </row>
    <row r="1898" spans="1:7" hidden="1">
      <c r="A1898" s="202" t="s">
        <v>1130</v>
      </c>
      <c r="B1898" s="203">
        <v>16400</v>
      </c>
      <c r="C1898" s="203">
        <v>0</v>
      </c>
      <c r="D1898" s="202" t="s">
        <v>441</v>
      </c>
      <c r="E1898" s="202" t="s">
        <v>639</v>
      </c>
      <c r="F1898" s="202" t="s">
        <v>653</v>
      </c>
      <c r="G1898" s="202" t="s">
        <v>689</v>
      </c>
    </row>
    <row r="1899" spans="1:7" hidden="1">
      <c r="A1899" s="202" t="s">
        <v>1131</v>
      </c>
      <c r="B1899" s="203">
        <v>16300</v>
      </c>
      <c r="C1899" s="203">
        <v>0</v>
      </c>
      <c r="D1899" s="202" t="s">
        <v>441</v>
      </c>
      <c r="E1899" s="202" t="s">
        <v>639</v>
      </c>
      <c r="F1899" s="202" t="s">
        <v>653</v>
      </c>
      <c r="G1899" s="202" t="s">
        <v>689</v>
      </c>
    </row>
    <row r="1900" spans="1:7" hidden="1">
      <c r="A1900" s="202" t="s">
        <v>1132</v>
      </c>
      <c r="B1900" s="203">
        <v>33500</v>
      </c>
      <c r="C1900" s="203">
        <v>0</v>
      </c>
      <c r="D1900" s="202" t="s">
        <v>441</v>
      </c>
      <c r="E1900" s="202" t="s">
        <v>639</v>
      </c>
      <c r="F1900" s="202" t="s">
        <v>653</v>
      </c>
      <c r="G1900" s="202" t="s">
        <v>689</v>
      </c>
    </row>
    <row r="1901" spans="1:7" hidden="1">
      <c r="A1901" s="202" t="s">
        <v>1133</v>
      </c>
      <c r="B1901" s="203">
        <v>25300</v>
      </c>
      <c r="C1901" s="203">
        <v>0</v>
      </c>
      <c r="D1901" s="202" t="s">
        <v>441</v>
      </c>
      <c r="E1901" s="202" t="s">
        <v>639</v>
      </c>
      <c r="F1901" s="202" t="s">
        <v>653</v>
      </c>
      <c r="G1901" s="202" t="s">
        <v>689</v>
      </c>
    </row>
    <row r="1902" spans="1:7" hidden="1">
      <c r="A1902" s="202" t="s">
        <v>1134</v>
      </c>
      <c r="B1902" s="203">
        <v>15600</v>
      </c>
      <c r="C1902" s="203">
        <v>0</v>
      </c>
      <c r="D1902" s="202" t="s">
        <v>441</v>
      </c>
      <c r="E1902" s="202" t="s">
        <v>639</v>
      </c>
      <c r="F1902" s="202" t="s">
        <v>653</v>
      </c>
      <c r="G1902" s="202" t="s">
        <v>689</v>
      </c>
    </row>
    <row r="1903" spans="1:7" hidden="1">
      <c r="A1903" s="202" t="s">
        <v>1135</v>
      </c>
      <c r="B1903" s="203">
        <v>7100</v>
      </c>
      <c r="C1903" s="203">
        <v>0</v>
      </c>
      <c r="D1903" s="202" t="s">
        <v>441</v>
      </c>
      <c r="E1903" s="202" t="s">
        <v>639</v>
      </c>
      <c r="F1903" s="202" t="s">
        <v>410</v>
      </c>
      <c r="G1903" s="202" t="s">
        <v>689</v>
      </c>
    </row>
    <row r="1904" spans="1:7" hidden="1">
      <c r="A1904" s="202" t="s">
        <v>1136</v>
      </c>
      <c r="B1904" s="203">
        <v>15000</v>
      </c>
      <c r="C1904" s="203">
        <v>0</v>
      </c>
      <c r="D1904" s="202" t="s">
        <v>441</v>
      </c>
      <c r="E1904" s="202" t="s">
        <v>639</v>
      </c>
      <c r="F1904" s="202" t="s">
        <v>653</v>
      </c>
      <c r="G1904" s="202" t="s">
        <v>689</v>
      </c>
    </row>
    <row r="1905" spans="1:7" hidden="1">
      <c r="A1905" s="202" t="s">
        <v>1137</v>
      </c>
      <c r="B1905" s="203">
        <v>20400</v>
      </c>
      <c r="C1905" s="203">
        <v>0</v>
      </c>
      <c r="D1905" s="202" t="s">
        <v>441</v>
      </c>
      <c r="E1905" s="202" t="s">
        <v>639</v>
      </c>
      <c r="F1905" s="202" t="s">
        <v>410</v>
      </c>
      <c r="G1905" s="202" t="s">
        <v>689</v>
      </c>
    </row>
    <row r="1906" spans="1:7" hidden="1">
      <c r="A1906" s="202" t="s">
        <v>1138</v>
      </c>
      <c r="B1906" s="203">
        <v>53900</v>
      </c>
      <c r="C1906" s="203">
        <v>0</v>
      </c>
      <c r="D1906" s="202" t="s">
        <v>441</v>
      </c>
      <c r="E1906" s="202" t="s">
        <v>639</v>
      </c>
      <c r="F1906" s="202" t="s">
        <v>653</v>
      </c>
      <c r="G1906" s="202" t="s">
        <v>689</v>
      </c>
    </row>
    <row r="1907" spans="1:7" hidden="1">
      <c r="A1907" s="202" t="s">
        <v>1139</v>
      </c>
      <c r="B1907" s="203">
        <v>55000</v>
      </c>
      <c r="C1907" s="203">
        <v>0</v>
      </c>
      <c r="D1907" s="202" t="s">
        <v>441</v>
      </c>
      <c r="E1907" s="202" t="s">
        <v>639</v>
      </c>
      <c r="F1907" s="202" t="s">
        <v>653</v>
      </c>
      <c r="G1907" s="202" t="s">
        <v>689</v>
      </c>
    </row>
    <row r="1908" spans="1:7" hidden="1">
      <c r="A1908" s="202" t="s">
        <v>1140</v>
      </c>
      <c r="B1908" s="203">
        <v>900</v>
      </c>
      <c r="C1908" s="203">
        <v>0</v>
      </c>
      <c r="D1908" s="202" t="s">
        <v>441</v>
      </c>
      <c r="E1908" s="202" t="s">
        <v>639</v>
      </c>
      <c r="F1908" s="202" t="s">
        <v>653</v>
      </c>
      <c r="G1908" s="202" t="s">
        <v>689</v>
      </c>
    </row>
    <row r="1909" spans="1:7" hidden="1">
      <c r="A1909" s="202" t="s">
        <v>1141</v>
      </c>
      <c r="B1909" s="203">
        <v>2090</v>
      </c>
      <c r="C1909" s="203">
        <v>0</v>
      </c>
      <c r="D1909" s="202" t="s">
        <v>443</v>
      </c>
      <c r="E1909" s="202" t="s">
        <v>639</v>
      </c>
      <c r="F1909" s="202" t="s">
        <v>397</v>
      </c>
      <c r="G1909" s="202" t="s">
        <v>689</v>
      </c>
    </row>
    <row r="1910" spans="1:7" hidden="1">
      <c r="A1910" s="202" t="s">
        <v>1142</v>
      </c>
      <c r="B1910" s="203">
        <v>4364</v>
      </c>
      <c r="C1910" s="203">
        <v>0</v>
      </c>
      <c r="D1910" s="202" t="s">
        <v>443</v>
      </c>
      <c r="E1910" s="202" t="s">
        <v>639</v>
      </c>
      <c r="F1910" s="202" t="s">
        <v>397</v>
      </c>
      <c r="G1910" s="202" t="s">
        <v>689</v>
      </c>
    </row>
    <row r="1911" spans="1:7" hidden="1">
      <c r="A1911" s="202" t="s">
        <v>1143</v>
      </c>
      <c r="B1911" s="203">
        <v>31800</v>
      </c>
      <c r="C1911" s="203">
        <v>0</v>
      </c>
      <c r="D1911" s="202" t="s">
        <v>441</v>
      </c>
      <c r="E1911" s="202" t="s">
        <v>639</v>
      </c>
      <c r="F1911" s="202" t="s">
        <v>653</v>
      </c>
      <c r="G1911" s="202" t="s">
        <v>689</v>
      </c>
    </row>
    <row r="1912" spans="1:7" hidden="1">
      <c r="A1912" s="202" t="s">
        <v>1144</v>
      </c>
      <c r="B1912" s="203">
        <v>2100</v>
      </c>
      <c r="C1912" s="203">
        <v>0</v>
      </c>
      <c r="D1912" s="202" t="s">
        <v>443</v>
      </c>
      <c r="E1912" s="202" t="s">
        <v>639</v>
      </c>
      <c r="F1912" s="202" t="s">
        <v>397</v>
      </c>
      <c r="G1912" s="202" t="s">
        <v>689</v>
      </c>
    </row>
    <row r="1913" spans="1:7" hidden="1">
      <c r="A1913" s="202" t="s">
        <v>1145</v>
      </c>
      <c r="B1913" s="203">
        <v>17500</v>
      </c>
      <c r="C1913" s="203">
        <v>0</v>
      </c>
      <c r="D1913" s="202" t="s">
        <v>441</v>
      </c>
      <c r="E1913" s="202" t="s">
        <v>639</v>
      </c>
      <c r="F1913" s="202" t="s">
        <v>653</v>
      </c>
      <c r="G1913" s="202" t="s">
        <v>689</v>
      </c>
    </row>
    <row r="1914" spans="1:7" hidden="1">
      <c r="A1914" s="202" t="s">
        <v>1146</v>
      </c>
      <c r="B1914" s="203">
        <v>2000</v>
      </c>
      <c r="C1914" s="203">
        <v>0</v>
      </c>
      <c r="D1914" s="202" t="s">
        <v>443</v>
      </c>
      <c r="E1914" s="202" t="s">
        <v>639</v>
      </c>
      <c r="F1914" s="202" t="s">
        <v>397</v>
      </c>
      <c r="G1914" s="202" t="s">
        <v>689</v>
      </c>
    </row>
    <row r="1915" spans="1:7" hidden="1">
      <c r="A1915" s="202" t="s">
        <v>1147</v>
      </c>
      <c r="B1915" s="203">
        <v>10500</v>
      </c>
      <c r="C1915" s="203">
        <v>0</v>
      </c>
      <c r="D1915" s="202" t="s">
        <v>441</v>
      </c>
      <c r="E1915" s="202" t="s">
        <v>639</v>
      </c>
      <c r="F1915" s="202" t="s">
        <v>653</v>
      </c>
      <c r="G1915" s="202" t="s">
        <v>689</v>
      </c>
    </row>
    <row r="1916" spans="1:7" hidden="1">
      <c r="A1916" s="202" t="s">
        <v>1148</v>
      </c>
      <c r="B1916" s="203">
        <v>10000</v>
      </c>
      <c r="C1916" s="203">
        <v>0</v>
      </c>
      <c r="D1916" s="202" t="s">
        <v>441</v>
      </c>
      <c r="E1916" s="202" t="s">
        <v>639</v>
      </c>
      <c r="F1916" s="202" t="s">
        <v>653</v>
      </c>
      <c r="G1916" s="202" t="s">
        <v>689</v>
      </c>
    </row>
    <row r="1917" spans="1:7" hidden="1">
      <c r="A1917" s="202" t="s">
        <v>1149</v>
      </c>
      <c r="B1917" s="203">
        <v>3400</v>
      </c>
      <c r="C1917" s="203">
        <v>0</v>
      </c>
      <c r="D1917" s="202" t="s">
        <v>443</v>
      </c>
      <c r="E1917" s="202" t="s">
        <v>639</v>
      </c>
      <c r="F1917" s="202" t="s">
        <v>397</v>
      </c>
      <c r="G1917" s="202" t="s">
        <v>689</v>
      </c>
    </row>
    <row r="1918" spans="1:7" hidden="1">
      <c r="A1918" s="202" t="s">
        <v>1150</v>
      </c>
      <c r="B1918" s="203">
        <v>10000</v>
      </c>
      <c r="C1918" s="203">
        <v>0</v>
      </c>
      <c r="D1918" s="202" t="s">
        <v>441</v>
      </c>
      <c r="E1918" s="202" t="s">
        <v>639</v>
      </c>
      <c r="F1918" s="202" t="s">
        <v>653</v>
      </c>
      <c r="G1918" s="202" t="s">
        <v>689</v>
      </c>
    </row>
    <row r="1919" spans="1:7" hidden="1">
      <c r="A1919" s="202" t="s">
        <v>1151</v>
      </c>
      <c r="B1919" s="203">
        <v>2400</v>
      </c>
      <c r="C1919" s="203">
        <v>0</v>
      </c>
      <c r="D1919" s="202" t="s">
        <v>443</v>
      </c>
      <c r="E1919" s="202" t="s">
        <v>639</v>
      </c>
      <c r="F1919" s="202" t="s">
        <v>397</v>
      </c>
      <c r="G1919" s="202" t="s">
        <v>689</v>
      </c>
    </row>
    <row r="1920" spans="1:7" hidden="1">
      <c r="A1920" s="202" t="s">
        <v>1152</v>
      </c>
      <c r="B1920" s="203">
        <v>5880</v>
      </c>
      <c r="C1920" s="203">
        <v>0</v>
      </c>
      <c r="D1920" s="202" t="s">
        <v>443</v>
      </c>
      <c r="E1920" s="202" t="s">
        <v>639</v>
      </c>
      <c r="F1920" s="202" t="s">
        <v>397</v>
      </c>
      <c r="G1920" s="202" t="s">
        <v>689</v>
      </c>
    </row>
    <row r="1921" spans="1:7" hidden="1">
      <c r="A1921" s="202" t="s">
        <v>1153</v>
      </c>
      <c r="B1921" s="203">
        <v>2900</v>
      </c>
      <c r="C1921" s="203">
        <v>0</v>
      </c>
      <c r="D1921" s="202" t="s">
        <v>443</v>
      </c>
      <c r="E1921" s="202" t="s">
        <v>639</v>
      </c>
      <c r="F1921" s="202" t="s">
        <v>397</v>
      </c>
      <c r="G1921" s="202" t="s">
        <v>689</v>
      </c>
    </row>
    <row r="1922" spans="1:7" hidden="1">
      <c r="A1922" s="202" t="s">
        <v>1154</v>
      </c>
      <c r="B1922" s="203">
        <v>5600</v>
      </c>
      <c r="C1922" s="203">
        <v>0</v>
      </c>
      <c r="D1922" s="202" t="s">
        <v>441</v>
      </c>
      <c r="E1922" s="202" t="s">
        <v>639</v>
      </c>
      <c r="F1922" s="202" t="s">
        <v>653</v>
      </c>
      <c r="G1922" s="202" t="s">
        <v>689</v>
      </c>
    </row>
    <row r="1923" spans="1:7" hidden="1">
      <c r="A1923" s="202" t="s">
        <v>1155</v>
      </c>
      <c r="B1923" s="203">
        <v>-40</v>
      </c>
      <c r="C1923" s="203">
        <v>0</v>
      </c>
      <c r="D1923" s="202" t="s">
        <v>441</v>
      </c>
      <c r="E1923" s="202" t="s">
        <v>640</v>
      </c>
      <c r="F1923" s="202" t="s">
        <v>410</v>
      </c>
      <c r="G1923" s="202" t="s">
        <v>689</v>
      </c>
    </row>
    <row r="1924" spans="1:7" hidden="1">
      <c r="A1924" s="202" t="s">
        <v>1156</v>
      </c>
      <c r="B1924" s="203">
        <v>-340</v>
      </c>
      <c r="C1924" s="203">
        <v>0</v>
      </c>
      <c r="D1924" s="202" t="s">
        <v>441</v>
      </c>
      <c r="E1924" s="202" t="s">
        <v>640</v>
      </c>
      <c r="F1924" s="202" t="s">
        <v>397</v>
      </c>
      <c r="G1924" s="202" t="s">
        <v>689</v>
      </c>
    </row>
    <row r="1925" spans="1:7" hidden="1">
      <c r="A1925" s="202" t="s">
        <v>1157</v>
      </c>
      <c r="B1925" s="203">
        <v>-417</v>
      </c>
      <c r="C1925" s="203">
        <v>0</v>
      </c>
      <c r="D1925" s="202" t="s">
        <v>441</v>
      </c>
      <c r="E1925" s="202" t="s">
        <v>640</v>
      </c>
      <c r="F1925" s="202" t="s">
        <v>410</v>
      </c>
      <c r="G1925" s="202" t="s">
        <v>689</v>
      </c>
    </row>
    <row r="1926" spans="1:7" hidden="1">
      <c r="A1926" s="202" t="s">
        <v>1157</v>
      </c>
      <c r="B1926" s="203">
        <v>-500</v>
      </c>
      <c r="C1926" s="203">
        <v>0</v>
      </c>
      <c r="D1926" s="202" t="s">
        <v>441</v>
      </c>
      <c r="E1926" s="202" t="s">
        <v>640</v>
      </c>
      <c r="F1926" s="202" t="s">
        <v>653</v>
      </c>
      <c r="G1926" s="202" t="s">
        <v>689</v>
      </c>
    </row>
    <row r="1927" spans="1:7" hidden="1">
      <c r="A1927" s="202" t="s">
        <v>1158</v>
      </c>
      <c r="B1927" s="203">
        <v>-410</v>
      </c>
      <c r="C1927" s="203">
        <v>0</v>
      </c>
      <c r="D1927" s="202" t="s">
        <v>441</v>
      </c>
      <c r="E1927" s="202" t="s">
        <v>640</v>
      </c>
      <c r="F1927" s="202" t="s">
        <v>397</v>
      </c>
      <c r="G1927" s="202" t="s">
        <v>689</v>
      </c>
    </row>
    <row r="1928" spans="1:7" hidden="1">
      <c r="A1928" s="202" t="s">
        <v>1159</v>
      </c>
      <c r="B1928" s="203">
        <v>-286</v>
      </c>
      <c r="C1928" s="203">
        <v>0</v>
      </c>
      <c r="D1928" s="202" t="s">
        <v>441</v>
      </c>
      <c r="E1928" s="202" t="s">
        <v>640</v>
      </c>
      <c r="F1928" s="202" t="s">
        <v>410</v>
      </c>
      <c r="G1928" s="202" t="s">
        <v>689</v>
      </c>
    </row>
    <row r="1929" spans="1:7" hidden="1">
      <c r="A1929" s="202" t="s">
        <v>1160</v>
      </c>
      <c r="B1929" s="203">
        <v>-410</v>
      </c>
      <c r="C1929" s="203">
        <v>0</v>
      </c>
      <c r="D1929" s="202" t="s">
        <v>441</v>
      </c>
      <c r="E1929" s="202" t="s">
        <v>640</v>
      </c>
      <c r="F1929" s="202" t="s">
        <v>397</v>
      </c>
      <c r="G1929" s="202" t="s">
        <v>689</v>
      </c>
    </row>
    <row r="1930" spans="1:7" hidden="1">
      <c r="A1930" s="202" t="s">
        <v>1161</v>
      </c>
      <c r="B1930" s="203">
        <v>-68</v>
      </c>
      <c r="C1930" s="203">
        <v>0</v>
      </c>
      <c r="D1930" s="202" t="s">
        <v>441</v>
      </c>
      <c r="E1930" s="202" t="s">
        <v>640</v>
      </c>
      <c r="F1930" s="202" t="s">
        <v>410</v>
      </c>
      <c r="G1930" s="202" t="s">
        <v>689</v>
      </c>
    </row>
    <row r="1931" spans="1:7" hidden="1">
      <c r="A1931" s="202" t="s">
        <v>1162</v>
      </c>
      <c r="B1931" s="203">
        <v>-20</v>
      </c>
      <c r="C1931" s="203">
        <v>0</v>
      </c>
      <c r="D1931" s="202" t="s">
        <v>441</v>
      </c>
      <c r="E1931" s="202" t="s">
        <v>640</v>
      </c>
      <c r="F1931" s="202" t="s">
        <v>410</v>
      </c>
      <c r="G1931" s="202" t="s">
        <v>689</v>
      </c>
    </row>
    <row r="1932" spans="1:7" hidden="1">
      <c r="A1932" s="202" t="s">
        <v>1163</v>
      </c>
      <c r="B1932" s="203">
        <v>-39</v>
      </c>
      <c r="C1932" s="203">
        <v>0</v>
      </c>
      <c r="D1932" s="202" t="s">
        <v>441</v>
      </c>
      <c r="E1932" s="202" t="s">
        <v>640</v>
      </c>
      <c r="F1932" s="202" t="s">
        <v>410</v>
      </c>
      <c r="G1932" s="202" t="s">
        <v>689</v>
      </c>
    </row>
    <row r="1933" spans="1:7" hidden="1">
      <c r="A1933" s="202" t="s">
        <v>1164</v>
      </c>
      <c r="B1933" s="203">
        <v>-103</v>
      </c>
      <c r="C1933" s="203">
        <v>0</v>
      </c>
      <c r="D1933" s="202" t="s">
        <v>441</v>
      </c>
      <c r="E1933" s="202" t="s">
        <v>640</v>
      </c>
      <c r="F1933" s="202" t="s">
        <v>410</v>
      </c>
      <c r="G1933" s="202" t="s">
        <v>689</v>
      </c>
    </row>
    <row r="1934" spans="1:7" hidden="1">
      <c r="A1934" s="202" t="s">
        <v>1165</v>
      </c>
      <c r="B1934" s="203">
        <v>-35</v>
      </c>
      <c r="C1934" s="203">
        <v>0</v>
      </c>
      <c r="D1934" s="202" t="s">
        <v>441</v>
      </c>
      <c r="E1934" s="202" t="s">
        <v>640</v>
      </c>
      <c r="F1934" s="202" t="s">
        <v>410</v>
      </c>
      <c r="G1934" s="202" t="s">
        <v>689</v>
      </c>
    </row>
    <row r="1935" spans="1:7" hidden="1">
      <c r="A1935" s="202" t="s">
        <v>1166</v>
      </c>
      <c r="B1935" s="203">
        <v>-95</v>
      </c>
      <c r="C1935" s="203">
        <v>0</v>
      </c>
      <c r="D1935" s="202" t="s">
        <v>441</v>
      </c>
      <c r="E1935" s="202" t="s">
        <v>640</v>
      </c>
      <c r="F1935" s="202" t="s">
        <v>410</v>
      </c>
      <c r="G1935" s="202" t="s">
        <v>689</v>
      </c>
    </row>
    <row r="1936" spans="1:7" hidden="1">
      <c r="A1936" s="202" t="s">
        <v>1167</v>
      </c>
      <c r="B1936" s="203">
        <v>-47</v>
      </c>
      <c r="C1936" s="203">
        <v>0</v>
      </c>
      <c r="D1936" s="202" t="s">
        <v>441</v>
      </c>
      <c r="E1936" s="202" t="s">
        <v>640</v>
      </c>
      <c r="F1936" s="202" t="s">
        <v>410</v>
      </c>
      <c r="G1936" s="202" t="s">
        <v>689</v>
      </c>
    </row>
    <row r="1937" spans="1:7" hidden="1">
      <c r="A1937" s="202" t="s">
        <v>1168</v>
      </c>
      <c r="B1937" s="203">
        <v>4100</v>
      </c>
      <c r="C1937" s="203">
        <v>0</v>
      </c>
      <c r="D1937" s="202" t="s">
        <v>443</v>
      </c>
      <c r="E1937" s="202" t="s">
        <v>639</v>
      </c>
      <c r="F1937" s="202" t="s">
        <v>397</v>
      </c>
      <c r="G1937" s="202" t="s">
        <v>689</v>
      </c>
    </row>
    <row r="1938" spans="1:7" hidden="1">
      <c r="A1938" s="202" t="s">
        <v>1169</v>
      </c>
      <c r="B1938" s="203">
        <v>4500</v>
      </c>
      <c r="C1938" s="203">
        <v>0</v>
      </c>
      <c r="D1938" s="202" t="s">
        <v>443</v>
      </c>
      <c r="E1938" s="202" t="s">
        <v>639</v>
      </c>
      <c r="F1938" s="202" t="s">
        <v>397</v>
      </c>
      <c r="G1938" s="202" t="s">
        <v>689</v>
      </c>
    </row>
    <row r="1939" spans="1:7" hidden="1">
      <c r="A1939" s="202" t="s">
        <v>1170</v>
      </c>
      <c r="B1939" s="203">
        <v>4800</v>
      </c>
      <c r="C1939" s="203">
        <v>0</v>
      </c>
      <c r="D1939" s="202" t="s">
        <v>443</v>
      </c>
      <c r="E1939" s="202" t="s">
        <v>639</v>
      </c>
      <c r="F1939" s="202" t="s">
        <v>397</v>
      </c>
      <c r="G1939" s="202" t="s">
        <v>689</v>
      </c>
    </row>
    <row r="1940" spans="1:7" hidden="1">
      <c r="A1940" s="202" t="s">
        <v>1171</v>
      </c>
      <c r="B1940" s="203">
        <v>12600</v>
      </c>
      <c r="C1940" s="203">
        <v>0</v>
      </c>
      <c r="D1940" s="202" t="s">
        <v>441</v>
      </c>
      <c r="E1940" s="202" t="s">
        <v>639</v>
      </c>
      <c r="F1940" s="202" t="s">
        <v>653</v>
      </c>
      <c r="G1940" s="202" t="s">
        <v>689</v>
      </c>
    </row>
    <row r="1941" spans="1:7" hidden="1">
      <c r="A1941" s="202" t="s">
        <v>1172</v>
      </c>
      <c r="B1941" s="203">
        <v>2600</v>
      </c>
      <c r="C1941" s="203">
        <v>0</v>
      </c>
      <c r="D1941" s="202" t="s">
        <v>443</v>
      </c>
      <c r="E1941" s="202" t="s">
        <v>639</v>
      </c>
      <c r="F1941" s="202" t="s">
        <v>397</v>
      </c>
      <c r="G1941" s="202" t="s">
        <v>689</v>
      </c>
    </row>
    <row r="1942" spans="1:7" hidden="1">
      <c r="A1942" s="202" t="s">
        <v>1173</v>
      </c>
      <c r="B1942" s="203">
        <v>5800</v>
      </c>
      <c r="C1942" s="203">
        <v>0</v>
      </c>
      <c r="D1942" s="202" t="s">
        <v>443</v>
      </c>
      <c r="E1942" s="202" t="s">
        <v>639</v>
      </c>
      <c r="F1942" s="202" t="s">
        <v>397</v>
      </c>
      <c r="G1942" s="202" t="s">
        <v>689</v>
      </c>
    </row>
    <row r="1943" spans="1:7" hidden="1">
      <c r="A1943" s="202" t="s">
        <v>1174</v>
      </c>
      <c r="B1943" s="203">
        <v>14800</v>
      </c>
      <c r="C1943" s="203">
        <v>0</v>
      </c>
      <c r="D1943" s="202" t="s">
        <v>441</v>
      </c>
      <c r="E1943" s="202" t="s">
        <v>639</v>
      </c>
      <c r="F1943" s="202" t="s">
        <v>653</v>
      </c>
      <c r="G1943" s="202" t="s">
        <v>689</v>
      </c>
    </row>
    <row r="1944" spans="1:7" hidden="1">
      <c r="A1944" s="202" t="s">
        <v>1175</v>
      </c>
      <c r="B1944" s="203">
        <v>1200</v>
      </c>
      <c r="C1944" s="203">
        <v>0</v>
      </c>
      <c r="D1944" s="202" t="s">
        <v>441</v>
      </c>
      <c r="E1944" s="202" t="s">
        <v>639</v>
      </c>
      <c r="F1944" s="202" t="s">
        <v>653</v>
      </c>
      <c r="G1944" s="202" t="s">
        <v>689</v>
      </c>
    </row>
    <row r="1945" spans="1:7" hidden="1">
      <c r="A1945" s="202" t="s">
        <v>1176</v>
      </c>
      <c r="B1945" s="203">
        <v>26900</v>
      </c>
      <c r="C1945" s="203">
        <v>0</v>
      </c>
      <c r="D1945" s="202" t="s">
        <v>441</v>
      </c>
      <c r="E1945" s="202" t="s">
        <v>639</v>
      </c>
      <c r="F1945" s="202" t="s">
        <v>653</v>
      </c>
      <c r="G1945" s="202" t="s">
        <v>689</v>
      </c>
    </row>
    <row r="1946" spans="1:7" hidden="1">
      <c r="A1946" s="202" t="s">
        <v>1177</v>
      </c>
      <c r="B1946" s="203">
        <v>1500</v>
      </c>
      <c r="C1946" s="203">
        <v>0</v>
      </c>
      <c r="D1946" s="202" t="s">
        <v>443</v>
      </c>
      <c r="E1946" s="202" t="s">
        <v>639</v>
      </c>
      <c r="F1946" s="202" t="s">
        <v>397</v>
      </c>
      <c r="G1946" s="202" t="s">
        <v>689</v>
      </c>
    </row>
    <row r="1947" spans="1:7" hidden="1">
      <c r="A1947" s="202" t="s">
        <v>1178</v>
      </c>
      <c r="B1947" s="203">
        <v>44500</v>
      </c>
      <c r="C1947" s="203">
        <v>0</v>
      </c>
      <c r="D1947" s="202" t="s">
        <v>441</v>
      </c>
      <c r="E1947" s="202" t="s">
        <v>639</v>
      </c>
      <c r="F1947" s="202" t="s">
        <v>653</v>
      </c>
      <c r="G1947" s="202" t="s">
        <v>689</v>
      </c>
    </row>
    <row r="1948" spans="1:7" hidden="1">
      <c r="A1948" s="202" t="s">
        <v>1179</v>
      </c>
      <c r="B1948" s="203">
        <v>10900</v>
      </c>
      <c r="C1948" s="203">
        <v>0</v>
      </c>
      <c r="D1948" s="202" t="s">
        <v>443</v>
      </c>
      <c r="E1948" s="202" t="s">
        <v>639</v>
      </c>
      <c r="F1948" s="202" t="s">
        <v>397</v>
      </c>
      <c r="G1948" s="202" t="s">
        <v>689</v>
      </c>
    </row>
    <row r="1949" spans="1:7" hidden="1">
      <c r="A1949" s="202" t="s">
        <v>1180</v>
      </c>
      <c r="B1949" s="203">
        <v>21122</v>
      </c>
      <c r="C1949" s="203">
        <v>0</v>
      </c>
      <c r="D1949" s="202" t="s">
        <v>441</v>
      </c>
      <c r="E1949" s="202" t="s">
        <v>639</v>
      </c>
      <c r="F1949" s="202" t="s">
        <v>653</v>
      </c>
      <c r="G1949" s="202" t="s">
        <v>689</v>
      </c>
    </row>
    <row r="1950" spans="1:7" hidden="1">
      <c r="A1950" s="202" t="s">
        <v>1181</v>
      </c>
      <c r="B1950" s="203">
        <v>56975</v>
      </c>
      <c r="C1950" s="203">
        <v>0</v>
      </c>
      <c r="D1950" s="202" t="s">
        <v>441</v>
      </c>
      <c r="E1950" s="202" t="s">
        <v>639</v>
      </c>
      <c r="F1950" s="202" t="s">
        <v>653</v>
      </c>
      <c r="G1950" s="202" t="s">
        <v>689</v>
      </c>
    </row>
    <row r="1951" spans="1:7" hidden="1">
      <c r="A1951" s="202" t="s">
        <v>1182</v>
      </c>
      <c r="B1951" s="203">
        <v>791910</v>
      </c>
      <c r="C1951" s="203">
        <v>0</v>
      </c>
      <c r="D1951" s="202" t="s">
        <v>441</v>
      </c>
      <c r="E1951" s="202" t="s">
        <v>639</v>
      </c>
      <c r="F1951" s="202" t="s">
        <v>653</v>
      </c>
      <c r="G1951" s="202" t="s">
        <v>689</v>
      </c>
    </row>
    <row r="1952" spans="1:7" hidden="1">
      <c r="A1952" s="202" t="s">
        <v>1183</v>
      </c>
      <c r="B1952" s="203">
        <v>29700</v>
      </c>
      <c r="C1952" s="203">
        <v>0</v>
      </c>
      <c r="D1952" s="202" t="s">
        <v>441</v>
      </c>
      <c r="E1952" s="202" t="s">
        <v>639</v>
      </c>
      <c r="F1952" s="202" t="s">
        <v>653</v>
      </c>
      <c r="G1952" s="202" t="s">
        <v>689</v>
      </c>
    </row>
    <row r="1953" spans="1:7" hidden="1">
      <c r="A1953" s="202" t="s">
        <v>1184</v>
      </c>
      <c r="B1953" s="203">
        <v>31900</v>
      </c>
      <c r="C1953" s="203">
        <v>0</v>
      </c>
      <c r="D1953" s="202" t="s">
        <v>441</v>
      </c>
      <c r="E1953" s="202" t="s">
        <v>639</v>
      </c>
      <c r="F1953" s="202" t="s">
        <v>653</v>
      </c>
      <c r="G1953" s="202" t="s">
        <v>689</v>
      </c>
    </row>
    <row r="1954" spans="1:7" hidden="1">
      <c r="A1954" s="202" t="s">
        <v>1185</v>
      </c>
      <c r="B1954" s="203">
        <v>106600</v>
      </c>
      <c r="C1954" s="203">
        <v>0</v>
      </c>
      <c r="D1954" s="202" t="s">
        <v>441</v>
      </c>
      <c r="E1954" s="202" t="s">
        <v>639</v>
      </c>
      <c r="F1954" s="202" t="s">
        <v>653</v>
      </c>
      <c r="G1954" s="202" t="s">
        <v>689</v>
      </c>
    </row>
    <row r="1955" spans="1:7" hidden="1">
      <c r="A1955" s="202" t="s">
        <v>1186</v>
      </c>
      <c r="B1955" s="203">
        <v>56700</v>
      </c>
      <c r="C1955" s="203">
        <v>0</v>
      </c>
      <c r="D1955" s="202" t="s">
        <v>441</v>
      </c>
      <c r="E1955" s="202" t="s">
        <v>639</v>
      </c>
      <c r="F1955" s="202" t="s">
        <v>653</v>
      </c>
      <c r="G1955" s="202" t="s">
        <v>689</v>
      </c>
    </row>
    <row r="1956" spans="1:7" hidden="1">
      <c r="A1956" s="202" t="s">
        <v>1187</v>
      </c>
      <c r="B1956" s="203">
        <v>143100</v>
      </c>
      <c r="C1956" s="203">
        <v>0</v>
      </c>
      <c r="D1956" s="202" t="s">
        <v>441</v>
      </c>
      <c r="E1956" s="202" t="s">
        <v>639</v>
      </c>
      <c r="F1956" s="202" t="s">
        <v>653</v>
      </c>
      <c r="G1956" s="202" t="s">
        <v>689</v>
      </c>
    </row>
    <row r="1957" spans="1:7" hidden="1">
      <c r="A1957" s="202" t="s">
        <v>1188</v>
      </c>
      <c r="B1957" s="203">
        <v>26400</v>
      </c>
      <c r="C1957" s="203">
        <v>0</v>
      </c>
      <c r="D1957" s="202" t="s">
        <v>441</v>
      </c>
      <c r="E1957" s="202" t="s">
        <v>639</v>
      </c>
      <c r="F1957" s="202" t="s">
        <v>653</v>
      </c>
      <c r="G1957" s="202" t="s">
        <v>689</v>
      </c>
    </row>
    <row r="1958" spans="1:7" hidden="1">
      <c r="A1958" s="202" t="s">
        <v>1189</v>
      </c>
      <c r="B1958" s="203">
        <v>259600</v>
      </c>
      <c r="C1958" s="203">
        <v>0</v>
      </c>
      <c r="D1958" s="202" t="s">
        <v>441</v>
      </c>
      <c r="E1958" s="202" t="s">
        <v>639</v>
      </c>
      <c r="F1958" s="202" t="s">
        <v>653</v>
      </c>
      <c r="G1958" s="202" t="s">
        <v>689</v>
      </c>
    </row>
    <row r="1959" spans="1:7" hidden="1">
      <c r="A1959" s="202" t="s">
        <v>1190</v>
      </c>
      <c r="B1959" s="203">
        <v>31400</v>
      </c>
      <c r="C1959" s="203">
        <v>0</v>
      </c>
      <c r="D1959" s="202" t="s">
        <v>441</v>
      </c>
      <c r="E1959" s="202" t="s">
        <v>639</v>
      </c>
      <c r="F1959" s="202" t="s">
        <v>653</v>
      </c>
      <c r="G1959" s="202" t="s">
        <v>689</v>
      </c>
    </row>
    <row r="1960" spans="1:7" hidden="1">
      <c r="A1960" s="202" t="s">
        <v>1191</v>
      </c>
      <c r="B1960" s="203">
        <v>25900</v>
      </c>
      <c r="C1960" s="203">
        <v>0</v>
      </c>
      <c r="D1960" s="202" t="s">
        <v>441</v>
      </c>
      <c r="E1960" s="202" t="s">
        <v>639</v>
      </c>
      <c r="F1960" s="202" t="s">
        <v>653</v>
      </c>
      <c r="G1960" s="202" t="s">
        <v>689</v>
      </c>
    </row>
    <row r="1961" spans="1:7" hidden="1">
      <c r="A1961" s="202" t="s">
        <v>1192</v>
      </c>
      <c r="B1961" s="203">
        <v>109200</v>
      </c>
      <c r="C1961" s="203">
        <v>0</v>
      </c>
      <c r="D1961" s="202" t="s">
        <v>441</v>
      </c>
      <c r="E1961" s="202" t="s">
        <v>639</v>
      </c>
      <c r="F1961" s="202" t="s">
        <v>653</v>
      </c>
      <c r="G1961" s="202" t="s">
        <v>689</v>
      </c>
    </row>
    <row r="1962" spans="1:7" hidden="1">
      <c r="A1962" s="202" t="s">
        <v>1193</v>
      </c>
      <c r="B1962" s="203">
        <v>50100</v>
      </c>
      <c r="C1962" s="203">
        <v>0</v>
      </c>
      <c r="D1962" s="202" t="s">
        <v>441</v>
      </c>
      <c r="E1962" s="202" t="s">
        <v>639</v>
      </c>
      <c r="F1962" s="202" t="s">
        <v>653</v>
      </c>
      <c r="G1962" s="202" t="s">
        <v>689</v>
      </c>
    </row>
    <row r="1963" spans="1:7" hidden="1">
      <c r="A1963" s="202" t="s">
        <v>1194</v>
      </c>
      <c r="B1963" s="203">
        <v>183800</v>
      </c>
      <c r="C1963" s="203">
        <v>0</v>
      </c>
      <c r="D1963" s="202" t="s">
        <v>441</v>
      </c>
      <c r="E1963" s="202" t="s">
        <v>639</v>
      </c>
      <c r="F1963" s="202" t="s">
        <v>653</v>
      </c>
      <c r="G1963" s="202" t="s">
        <v>689</v>
      </c>
    </row>
    <row r="1964" spans="1:7" hidden="1">
      <c r="A1964" s="202" t="s">
        <v>1195</v>
      </c>
      <c r="B1964" s="203">
        <v>24000</v>
      </c>
      <c r="C1964" s="203">
        <v>0</v>
      </c>
      <c r="D1964" s="202" t="s">
        <v>441</v>
      </c>
      <c r="E1964" s="202" t="s">
        <v>639</v>
      </c>
      <c r="F1964" s="202" t="s">
        <v>653</v>
      </c>
      <c r="G1964" s="202" t="s">
        <v>689</v>
      </c>
    </row>
    <row r="1965" spans="1:7" hidden="1">
      <c r="A1965" s="202" t="s">
        <v>1196</v>
      </c>
      <c r="B1965" s="203">
        <v>37700</v>
      </c>
      <c r="C1965" s="203">
        <v>0</v>
      </c>
      <c r="D1965" s="202" t="s">
        <v>441</v>
      </c>
      <c r="E1965" s="202" t="s">
        <v>639</v>
      </c>
      <c r="F1965" s="202" t="s">
        <v>653</v>
      </c>
      <c r="G1965" s="202" t="s">
        <v>689</v>
      </c>
    </row>
    <row r="1966" spans="1:7" hidden="1">
      <c r="A1966" s="202" t="s">
        <v>1197</v>
      </c>
      <c r="B1966" s="203">
        <v>50500</v>
      </c>
      <c r="C1966" s="203">
        <v>0</v>
      </c>
      <c r="D1966" s="202" t="s">
        <v>441</v>
      </c>
      <c r="E1966" s="202" t="s">
        <v>639</v>
      </c>
      <c r="F1966" s="202" t="s">
        <v>653</v>
      </c>
      <c r="G1966" s="202" t="s">
        <v>689</v>
      </c>
    </row>
    <row r="1967" spans="1:7" hidden="1">
      <c r="A1967" s="202" t="s">
        <v>1198</v>
      </c>
      <c r="B1967" s="203">
        <v>17400</v>
      </c>
      <c r="C1967" s="203">
        <v>0</v>
      </c>
      <c r="D1967" s="202" t="s">
        <v>441</v>
      </c>
      <c r="E1967" s="202" t="s">
        <v>639</v>
      </c>
      <c r="F1967" s="202" t="s">
        <v>653</v>
      </c>
      <c r="G1967" s="202" t="s">
        <v>689</v>
      </c>
    </row>
    <row r="1968" spans="1:7" hidden="1">
      <c r="A1968" s="202" t="s">
        <v>1199</v>
      </c>
      <c r="B1968" s="203">
        <v>3000</v>
      </c>
      <c r="C1968" s="203">
        <v>0</v>
      </c>
      <c r="D1968" s="202" t="s">
        <v>443</v>
      </c>
      <c r="E1968" s="202" t="s">
        <v>639</v>
      </c>
      <c r="F1968" s="202" t="s">
        <v>397</v>
      </c>
      <c r="G1968" s="202" t="s">
        <v>689</v>
      </c>
    </row>
    <row r="1969" spans="1:7" hidden="1">
      <c r="A1969" s="202" t="s">
        <v>1200</v>
      </c>
      <c r="B1969" s="203">
        <v>61600</v>
      </c>
      <c r="C1969" s="203">
        <v>0</v>
      </c>
      <c r="D1969" s="202" t="s">
        <v>441</v>
      </c>
      <c r="E1969" s="202" t="s">
        <v>639</v>
      </c>
      <c r="F1969" s="202" t="s">
        <v>653</v>
      </c>
      <c r="G1969" s="202" t="s">
        <v>689</v>
      </c>
    </row>
    <row r="1970" spans="1:7" hidden="1">
      <c r="A1970" s="202" t="s">
        <v>1201</v>
      </c>
      <c r="B1970" s="203">
        <v>25200</v>
      </c>
      <c r="C1970" s="203">
        <v>0</v>
      </c>
      <c r="D1970" s="202" t="s">
        <v>441</v>
      </c>
      <c r="E1970" s="202" t="s">
        <v>639</v>
      </c>
      <c r="F1970" s="202" t="s">
        <v>653</v>
      </c>
      <c r="G1970" s="202" t="s">
        <v>689</v>
      </c>
    </row>
    <row r="1971" spans="1:7" hidden="1">
      <c r="A1971" s="202" t="s">
        <v>1202</v>
      </c>
      <c r="B1971" s="203">
        <v>47000</v>
      </c>
      <c r="C1971" s="203">
        <v>0</v>
      </c>
      <c r="D1971" s="202" t="s">
        <v>441</v>
      </c>
      <c r="E1971" s="202" t="s">
        <v>639</v>
      </c>
      <c r="F1971" s="202" t="s">
        <v>653</v>
      </c>
      <c r="G1971" s="202" t="s">
        <v>689</v>
      </c>
    </row>
    <row r="1972" spans="1:7" hidden="1">
      <c r="A1972" s="202" t="s">
        <v>1203</v>
      </c>
      <c r="B1972" s="203">
        <v>3200</v>
      </c>
      <c r="C1972" s="203">
        <v>0</v>
      </c>
      <c r="D1972" s="202" t="s">
        <v>443</v>
      </c>
      <c r="E1972" s="202" t="s">
        <v>639</v>
      </c>
      <c r="F1972" s="202" t="s">
        <v>397</v>
      </c>
      <c r="G1972" s="202" t="s">
        <v>689</v>
      </c>
    </row>
    <row r="1973" spans="1:7" hidden="1">
      <c r="A1973" s="202" t="s">
        <v>1204</v>
      </c>
      <c r="B1973" s="203">
        <v>8400</v>
      </c>
      <c r="C1973" s="203">
        <v>0</v>
      </c>
      <c r="D1973" s="202" t="s">
        <v>443</v>
      </c>
      <c r="E1973" s="202" t="s">
        <v>639</v>
      </c>
      <c r="F1973" s="202" t="s">
        <v>397</v>
      </c>
      <c r="G1973" s="202" t="s">
        <v>689</v>
      </c>
    </row>
    <row r="1974" spans="1:7" hidden="1">
      <c r="A1974" s="202" t="s">
        <v>1205</v>
      </c>
      <c r="B1974" s="203">
        <v>13400</v>
      </c>
      <c r="C1974" s="203">
        <v>0</v>
      </c>
      <c r="D1974" s="202" t="s">
        <v>441</v>
      </c>
      <c r="E1974" s="202" t="s">
        <v>639</v>
      </c>
      <c r="F1974" s="202" t="s">
        <v>653</v>
      </c>
      <c r="G1974" s="202" t="s">
        <v>689</v>
      </c>
    </row>
    <row r="1975" spans="1:7" hidden="1">
      <c r="A1975" s="202" t="s">
        <v>1206</v>
      </c>
      <c r="B1975" s="203">
        <v>30000</v>
      </c>
      <c r="C1975" s="203">
        <v>0</v>
      </c>
      <c r="D1975" s="202" t="s">
        <v>441</v>
      </c>
      <c r="E1975" s="202" t="s">
        <v>639</v>
      </c>
      <c r="F1975" s="202" t="s">
        <v>653</v>
      </c>
      <c r="G1975" s="202" t="s">
        <v>689</v>
      </c>
    </row>
    <row r="1976" spans="1:7" hidden="1">
      <c r="A1976" s="202" t="s">
        <v>1207</v>
      </c>
      <c r="B1976" s="203">
        <v>25700</v>
      </c>
      <c r="C1976" s="203">
        <v>0</v>
      </c>
      <c r="D1976" s="202" t="s">
        <v>441</v>
      </c>
      <c r="E1976" s="202" t="s">
        <v>639</v>
      </c>
      <c r="F1976" s="202" t="s">
        <v>653</v>
      </c>
      <c r="G1976" s="202" t="s">
        <v>689</v>
      </c>
    </row>
    <row r="1977" spans="1:7" hidden="1">
      <c r="A1977" s="202" t="s">
        <v>1208</v>
      </c>
      <c r="B1977" s="203">
        <v>31000</v>
      </c>
      <c r="C1977" s="203">
        <v>0</v>
      </c>
      <c r="D1977" s="202" t="s">
        <v>441</v>
      </c>
      <c r="E1977" s="202" t="s">
        <v>639</v>
      </c>
      <c r="F1977" s="202" t="s">
        <v>410</v>
      </c>
      <c r="G1977" s="202" t="s">
        <v>689</v>
      </c>
    </row>
    <row r="1978" spans="1:7" hidden="1">
      <c r="A1978" s="202" t="s">
        <v>1209</v>
      </c>
      <c r="B1978" s="203">
        <v>25500</v>
      </c>
      <c r="C1978" s="203">
        <v>0</v>
      </c>
      <c r="D1978" s="202" t="s">
        <v>441</v>
      </c>
      <c r="E1978" s="202" t="s">
        <v>639</v>
      </c>
      <c r="F1978" s="202" t="s">
        <v>653</v>
      </c>
      <c r="G1978" s="202" t="s">
        <v>689</v>
      </c>
    </row>
    <row r="1979" spans="1:7" hidden="1">
      <c r="A1979" s="202" t="s">
        <v>1210</v>
      </c>
      <c r="B1979" s="203">
        <v>24300</v>
      </c>
      <c r="C1979" s="203">
        <v>0</v>
      </c>
      <c r="D1979" s="202" t="s">
        <v>441</v>
      </c>
      <c r="E1979" s="202" t="s">
        <v>639</v>
      </c>
      <c r="F1979" s="202" t="s">
        <v>653</v>
      </c>
      <c r="G1979" s="202" t="s">
        <v>689</v>
      </c>
    </row>
    <row r="1980" spans="1:7" hidden="1">
      <c r="A1980" s="202" t="s">
        <v>1211</v>
      </c>
      <c r="B1980" s="203">
        <v>2500</v>
      </c>
      <c r="C1980" s="203">
        <v>0</v>
      </c>
      <c r="D1980" s="202" t="s">
        <v>443</v>
      </c>
      <c r="E1980" s="202" t="s">
        <v>639</v>
      </c>
      <c r="F1980" s="202" t="s">
        <v>397</v>
      </c>
      <c r="G1980" s="202" t="s">
        <v>689</v>
      </c>
    </row>
    <row r="1981" spans="1:7" hidden="1">
      <c r="A1981" s="202" t="s">
        <v>1212</v>
      </c>
      <c r="B1981" s="203">
        <v>81400</v>
      </c>
      <c r="C1981" s="203">
        <v>0</v>
      </c>
      <c r="D1981" s="202" t="s">
        <v>441</v>
      </c>
      <c r="E1981" s="202" t="s">
        <v>639</v>
      </c>
      <c r="F1981" s="202" t="s">
        <v>653</v>
      </c>
      <c r="G1981" s="202" t="s">
        <v>689</v>
      </c>
    </row>
    <row r="1982" spans="1:7" hidden="1">
      <c r="A1982" s="202" t="s">
        <v>1213</v>
      </c>
      <c r="B1982" s="203">
        <v>26800</v>
      </c>
      <c r="C1982" s="203">
        <v>0</v>
      </c>
      <c r="D1982" s="202" t="s">
        <v>441</v>
      </c>
      <c r="E1982" s="202" t="s">
        <v>639</v>
      </c>
      <c r="F1982" s="202" t="s">
        <v>653</v>
      </c>
      <c r="G1982" s="202" t="s">
        <v>689</v>
      </c>
    </row>
    <row r="1983" spans="1:7" hidden="1">
      <c r="A1983" s="202" t="s">
        <v>1214</v>
      </c>
      <c r="B1983" s="203">
        <v>113600</v>
      </c>
      <c r="C1983" s="203">
        <v>0</v>
      </c>
      <c r="D1983" s="202" t="s">
        <v>441</v>
      </c>
      <c r="E1983" s="202" t="s">
        <v>639</v>
      </c>
      <c r="F1983" s="202" t="s">
        <v>410</v>
      </c>
      <c r="G1983" s="202" t="s">
        <v>689</v>
      </c>
    </row>
    <row r="1984" spans="1:7" hidden="1">
      <c r="A1984" s="202" t="s">
        <v>1215</v>
      </c>
      <c r="B1984" s="203">
        <v>5800</v>
      </c>
      <c r="C1984" s="203">
        <v>0</v>
      </c>
      <c r="D1984" s="202" t="s">
        <v>441</v>
      </c>
      <c r="E1984" s="202" t="s">
        <v>639</v>
      </c>
      <c r="F1984" s="202" t="s">
        <v>653</v>
      </c>
      <c r="G1984" s="202" t="s">
        <v>689</v>
      </c>
    </row>
    <row r="1985" spans="1:7" hidden="1">
      <c r="A1985" s="202" t="s">
        <v>1216</v>
      </c>
      <c r="B1985" s="203">
        <v>9300</v>
      </c>
      <c r="C1985" s="203">
        <v>0</v>
      </c>
      <c r="D1985" s="202" t="s">
        <v>443</v>
      </c>
      <c r="E1985" s="202" t="s">
        <v>639</v>
      </c>
      <c r="F1985" s="202" t="s">
        <v>397</v>
      </c>
      <c r="G1985" s="202" t="s">
        <v>689</v>
      </c>
    </row>
    <row r="1986" spans="1:7" hidden="1">
      <c r="A1986" s="202" t="s">
        <v>1217</v>
      </c>
      <c r="B1986" s="203">
        <v>74000</v>
      </c>
      <c r="C1986" s="203">
        <v>0</v>
      </c>
      <c r="D1986" s="202" t="s">
        <v>441</v>
      </c>
      <c r="E1986" s="202" t="s">
        <v>639</v>
      </c>
      <c r="F1986" s="202" t="s">
        <v>653</v>
      </c>
      <c r="G1986" s="202" t="s">
        <v>689</v>
      </c>
    </row>
    <row r="1987" spans="1:7" hidden="1">
      <c r="A1987" s="202" t="s">
        <v>1218</v>
      </c>
      <c r="B1987" s="203">
        <v>64000</v>
      </c>
      <c r="C1987" s="203">
        <v>0</v>
      </c>
      <c r="D1987" s="202" t="s">
        <v>441</v>
      </c>
      <c r="E1987" s="202" t="s">
        <v>639</v>
      </c>
      <c r="F1987" s="202" t="s">
        <v>653</v>
      </c>
      <c r="G1987" s="202" t="s">
        <v>689</v>
      </c>
    </row>
    <row r="1988" spans="1:7" hidden="1">
      <c r="A1988" s="202" t="s">
        <v>1219</v>
      </c>
      <c r="B1988" s="203">
        <v>153300</v>
      </c>
      <c r="C1988" s="203">
        <v>0</v>
      </c>
      <c r="D1988" s="202" t="s">
        <v>441</v>
      </c>
      <c r="E1988" s="202" t="s">
        <v>639</v>
      </c>
      <c r="F1988" s="202" t="s">
        <v>653</v>
      </c>
      <c r="G1988" s="202" t="s">
        <v>689</v>
      </c>
    </row>
    <row r="1989" spans="1:7" hidden="1">
      <c r="A1989" s="202" t="s">
        <v>1220</v>
      </c>
      <c r="B1989" s="203">
        <v>119000</v>
      </c>
      <c r="C1989" s="203">
        <v>0</v>
      </c>
      <c r="D1989" s="202" t="s">
        <v>441</v>
      </c>
      <c r="E1989" s="202" t="s">
        <v>639</v>
      </c>
      <c r="F1989" s="202" t="s">
        <v>653</v>
      </c>
      <c r="G1989" s="202" t="s">
        <v>689</v>
      </c>
    </row>
    <row r="1990" spans="1:7" hidden="1">
      <c r="A1990" s="202" t="s">
        <v>1221</v>
      </c>
      <c r="B1990" s="203">
        <v>58900</v>
      </c>
      <c r="C1990" s="203">
        <v>0</v>
      </c>
      <c r="D1990" s="202" t="s">
        <v>441</v>
      </c>
      <c r="E1990" s="202" t="s">
        <v>639</v>
      </c>
      <c r="F1990" s="202" t="s">
        <v>653</v>
      </c>
      <c r="G1990" s="202" t="s">
        <v>689</v>
      </c>
    </row>
    <row r="1991" spans="1:7" hidden="1">
      <c r="A1991" s="202" t="s">
        <v>1222</v>
      </c>
      <c r="B1991" s="203">
        <v>64700</v>
      </c>
      <c r="C1991" s="203">
        <v>0</v>
      </c>
      <c r="D1991" s="202" t="s">
        <v>443</v>
      </c>
      <c r="E1991" s="202" t="s">
        <v>639</v>
      </c>
      <c r="F1991" s="202" t="s">
        <v>397</v>
      </c>
      <c r="G1991" s="202" t="s">
        <v>689</v>
      </c>
    </row>
    <row r="1992" spans="1:7" hidden="1">
      <c r="A1992" s="202" t="s">
        <v>1223</v>
      </c>
      <c r="B1992" s="203">
        <v>2900</v>
      </c>
      <c r="C1992" s="203">
        <v>0</v>
      </c>
      <c r="D1992" s="202" t="s">
        <v>443</v>
      </c>
      <c r="E1992" s="202" t="s">
        <v>639</v>
      </c>
      <c r="F1992" s="202" t="s">
        <v>397</v>
      </c>
      <c r="G1992" s="202" t="s">
        <v>689</v>
      </c>
    </row>
    <row r="1993" spans="1:7" hidden="1">
      <c r="A1993" s="202" t="s">
        <v>1224</v>
      </c>
      <c r="B1993" s="203">
        <v>18800</v>
      </c>
      <c r="C1993" s="203">
        <v>0</v>
      </c>
      <c r="D1993" s="202" t="s">
        <v>441</v>
      </c>
      <c r="E1993" s="202" t="s">
        <v>639</v>
      </c>
      <c r="F1993" s="202" t="s">
        <v>653</v>
      </c>
      <c r="G1993" s="202" t="s">
        <v>689</v>
      </c>
    </row>
    <row r="1994" spans="1:7" hidden="1">
      <c r="A1994" s="202" t="s">
        <v>1225</v>
      </c>
      <c r="B1994" s="203">
        <v>7700</v>
      </c>
      <c r="C1994" s="203">
        <v>0</v>
      </c>
      <c r="D1994" s="202" t="s">
        <v>441</v>
      </c>
      <c r="E1994" s="202" t="s">
        <v>639</v>
      </c>
      <c r="F1994" s="202" t="s">
        <v>653</v>
      </c>
      <c r="G1994" s="202" t="s">
        <v>689</v>
      </c>
    </row>
    <row r="1995" spans="1:7" hidden="1">
      <c r="A1995" s="202" t="s">
        <v>1226</v>
      </c>
      <c r="B1995" s="203">
        <v>4000</v>
      </c>
      <c r="C1995" s="203">
        <v>0</v>
      </c>
      <c r="D1995" s="202" t="s">
        <v>443</v>
      </c>
      <c r="E1995" s="202" t="s">
        <v>639</v>
      </c>
      <c r="F1995" s="202" t="s">
        <v>397</v>
      </c>
      <c r="G1995" s="202" t="s">
        <v>689</v>
      </c>
    </row>
    <row r="1996" spans="1:7" hidden="1">
      <c r="A1996" s="202" t="s">
        <v>1227</v>
      </c>
      <c r="B1996" s="203">
        <v>13200</v>
      </c>
      <c r="C1996" s="203">
        <v>0</v>
      </c>
      <c r="D1996" s="202" t="s">
        <v>441</v>
      </c>
      <c r="E1996" s="202" t="s">
        <v>639</v>
      </c>
      <c r="F1996" s="202" t="s">
        <v>653</v>
      </c>
      <c r="G1996" s="202" t="s">
        <v>689</v>
      </c>
    </row>
    <row r="1997" spans="1:7" hidden="1">
      <c r="A1997" s="202" t="s">
        <v>1228</v>
      </c>
      <c r="B1997" s="203">
        <v>44300</v>
      </c>
      <c r="C1997" s="203">
        <v>0</v>
      </c>
      <c r="D1997" s="202" t="s">
        <v>441</v>
      </c>
      <c r="E1997" s="202" t="s">
        <v>639</v>
      </c>
      <c r="F1997" s="202" t="s">
        <v>653</v>
      </c>
      <c r="G1997" s="202" t="s">
        <v>689</v>
      </c>
    </row>
    <row r="1998" spans="1:7" hidden="1">
      <c r="A1998" s="202" t="s">
        <v>645</v>
      </c>
      <c r="B1998" s="203">
        <v>-118</v>
      </c>
      <c r="C1998" s="203">
        <v>0</v>
      </c>
      <c r="D1998" s="202" t="s">
        <v>441</v>
      </c>
      <c r="E1998" s="202" t="s">
        <v>639</v>
      </c>
      <c r="F1998" s="202" t="s">
        <v>410</v>
      </c>
      <c r="G1998" s="202" t="s">
        <v>689</v>
      </c>
    </row>
    <row r="1999" spans="1:7" hidden="1">
      <c r="A1999" s="202" t="s">
        <v>647</v>
      </c>
      <c r="B1999" s="203">
        <v>-619</v>
      </c>
      <c r="C1999" s="203">
        <v>0</v>
      </c>
      <c r="D1999" s="202" t="s">
        <v>441</v>
      </c>
      <c r="E1999" s="202" t="s">
        <v>639</v>
      </c>
      <c r="F1999" s="202" t="s">
        <v>410</v>
      </c>
      <c r="G1999" s="202" t="s">
        <v>689</v>
      </c>
    </row>
    <row r="2000" spans="1:7" hidden="1">
      <c r="A2000" s="202" t="s">
        <v>648</v>
      </c>
      <c r="B2000" s="203">
        <v>-157</v>
      </c>
      <c r="C2000" s="203">
        <v>0</v>
      </c>
      <c r="D2000" s="202" t="s">
        <v>441</v>
      </c>
      <c r="E2000" s="202" t="s">
        <v>639</v>
      </c>
      <c r="F2000" s="202" t="s">
        <v>410</v>
      </c>
      <c r="G2000" s="202" t="s">
        <v>689</v>
      </c>
    </row>
    <row r="2001" spans="1:7" hidden="1">
      <c r="A2001" s="202" t="s">
        <v>649</v>
      </c>
      <c r="B2001" s="203">
        <v>-169</v>
      </c>
      <c r="C2001" s="203">
        <v>0</v>
      </c>
      <c r="D2001" s="202" t="s">
        <v>441</v>
      </c>
      <c r="E2001" s="202" t="s">
        <v>639</v>
      </c>
      <c r="F2001" s="202" t="s">
        <v>410</v>
      </c>
      <c r="G2001" s="202" t="s">
        <v>689</v>
      </c>
    </row>
    <row r="2002" spans="1:7" hidden="1">
      <c r="A2002" s="202" t="s">
        <v>650</v>
      </c>
      <c r="B2002" s="203">
        <v>-168</v>
      </c>
      <c r="C2002" s="203">
        <v>0</v>
      </c>
      <c r="D2002" s="202" t="s">
        <v>441</v>
      </c>
      <c r="E2002" s="202" t="s">
        <v>639</v>
      </c>
      <c r="F2002" s="202" t="s">
        <v>410</v>
      </c>
      <c r="G2002" s="202" t="s">
        <v>689</v>
      </c>
    </row>
    <row r="2003" spans="1:7" hidden="1">
      <c r="A2003" s="202" t="s">
        <v>651</v>
      </c>
      <c r="B2003" s="203">
        <v>-234</v>
      </c>
      <c r="C2003" s="203">
        <v>0</v>
      </c>
      <c r="D2003" s="202" t="s">
        <v>441</v>
      </c>
      <c r="E2003" s="202" t="s">
        <v>639</v>
      </c>
      <c r="F2003" s="202" t="s">
        <v>410</v>
      </c>
      <c r="G2003" s="202" t="s">
        <v>689</v>
      </c>
    </row>
    <row r="2004" spans="1:7" hidden="1">
      <c r="A2004" s="202" t="s">
        <v>652</v>
      </c>
      <c r="B2004" s="203">
        <v>-118</v>
      </c>
      <c r="C2004" s="203">
        <v>0</v>
      </c>
      <c r="D2004" s="202" t="s">
        <v>441</v>
      </c>
      <c r="E2004" s="202" t="s">
        <v>639</v>
      </c>
      <c r="F2004" s="202" t="s">
        <v>410</v>
      </c>
      <c r="G2004" s="202" t="s">
        <v>689</v>
      </c>
    </row>
    <row r="2005" spans="1:7" hidden="1">
      <c r="A2005" s="202" t="s">
        <v>1229</v>
      </c>
      <c r="B2005" s="203">
        <v>93100</v>
      </c>
      <c r="C2005" s="203">
        <v>0</v>
      </c>
      <c r="D2005" s="202" t="s">
        <v>441</v>
      </c>
      <c r="E2005" s="202" t="s">
        <v>639</v>
      </c>
      <c r="F2005" s="202" t="s">
        <v>653</v>
      </c>
      <c r="G2005" s="202" t="s">
        <v>689</v>
      </c>
    </row>
    <row r="2006" spans="1:7" hidden="1">
      <c r="A2006" s="202" t="s">
        <v>1230</v>
      </c>
      <c r="B2006" s="203">
        <v>21000</v>
      </c>
      <c r="C2006" s="203">
        <v>0</v>
      </c>
      <c r="D2006" s="202" t="s">
        <v>441</v>
      </c>
      <c r="E2006" s="202" t="s">
        <v>639</v>
      </c>
      <c r="F2006" s="202" t="s">
        <v>653</v>
      </c>
      <c r="G2006" s="202" t="s">
        <v>689</v>
      </c>
    </row>
    <row r="2007" spans="1:7" hidden="1">
      <c r="A2007" s="202" t="s">
        <v>1231</v>
      </c>
      <c r="B2007" s="203">
        <v>33300</v>
      </c>
      <c r="C2007" s="203">
        <v>0</v>
      </c>
      <c r="D2007" s="202" t="s">
        <v>441</v>
      </c>
      <c r="E2007" s="202" t="s">
        <v>639</v>
      </c>
      <c r="F2007" s="202" t="s">
        <v>653</v>
      </c>
      <c r="G2007" s="202" t="s">
        <v>689</v>
      </c>
    </row>
    <row r="2008" spans="1:7" hidden="1">
      <c r="A2008" s="202" t="s">
        <v>1232</v>
      </c>
      <c r="B2008" s="203">
        <v>3000</v>
      </c>
      <c r="C2008" s="203">
        <v>0</v>
      </c>
      <c r="D2008" s="202" t="s">
        <v>443</v>
      </c>
      <c r="E2008" s="202" t="s">
        <v>639</v>
      </c>
      <c r="F2008" s="202" t="s">
        <v>397</v>
      </c>
      <c r="G2008" s="202" t="s">
        <v>689</v>
      </c>
    </row>
    <row r="2009" spans="1:7" hidden="1">
      <c r="A2009" s="202" t="s">
        <v>1233</v>
      </c>
      <c r="B2009" s="203">
        <v>900</v>
      </c>
      <c r="C2009" s="203">
        <v>0</v>
      </c>
      <c r="D2009" s="202" t="s">
        <v>443</v>
      </c>
      <c r="E2009" s="202" t="s">
        <v>639</v>
      </c>
      <c r="F2009" s="202" t="s">
        <v>397</v>
      </c>
      <c r="G2009" s="202" t="s">
        <v>689</v>
      </c>
    </row>
    <row r="2010" spans="1:7" hidden="1">
      <c r="A2010" s="202" t="s">
        <v>1234</v>
      </c>
      <c r="B2010" s="203">
        <v>16500</v>
      </c>
      <c r="C2010" s="203">
        <v>0</v>
      </c>
      <c r="D2010" s="202" t="s">
        <v>475</v>
      </c>
      <c r="E2010" s="202" t="s">
        <v>639</v>
      </c>
      <c r="F2010" s="202" t="s">
        <v>397</v>
      </c>
      <c r="G2010" s="202" t="s">
        <v>689</v>
      </c>
    </row>
    <row r="2011" spans="1:7" hidden="1">
      <c r="A2011" s="202" t="s">
        <v>1235</v>
      </c>
      <c r="B2011" s="203">
        <v>12800</v>
      </c>
      <c r="C2011" s="203">
        <v>0</v>
      </c>
      <c r="D2011" s="202" t="s">
        <v>441</v>
      </c>
      <c r="E2011" s="202" t="s">
        <v>639</v>
      </c>
      <c r="F2011" s="202" t="s">
        <v>653</v>
      </c>
      <c r="G2011" s="202" t="s">
        <v>689</v>
      </c>
    </row>
    <row r="2012" spans="1:7" hidden="1">
      <c r="A2012" s="202" t="s">
        <v>1236</v>
      </c>
      <c r="B2012" s="203">
        <v>4500</v>
      </c>
      <c r="C2012" s="203">
        <v>0</v>
      </c>
      <c r="D2012" s="202" t="s">
        <v>443</v>
      </c>
      <c r="E2012" s="202" t="s">
        <v>639</v>
      </c>
      <c r="F2012" s="202" t="s">
        <v>397</v>
      </c>
      <c r="G2012" s="202" t="s">
        <v>689</v>
      </c>
    </row>
    <row r="2013" spans="1:7" hidden="1">
      <c r="A2013" s="202" t="s">
        <v>1237</v>
      </c>
      <c r="B2013" s="203">
        <v>12400</v>
      </c>
      <c r="C2013" s="203">
        <v>0</v>
      </c>
      <c r="D2013" s="202" t="s">
        <v>441</v>
      </c>
      <c r="E2013" s="202" t="s">
        <v>639</v>
      </c>
      <c r="F2013" s="202" t="s">
        <v>653</v>
      </c>
      <c r="G2013" s="202" t="s">
        <v>689</v>
      </c>
    </row>
    <row r="2014" spans="1:7" hidden="1">
      <c r="A2014" s="202" t="s">
        <v>1238</v>
      </c>
      <c r="B2014" s="203">
        <v>12700</v>
      </c>
      <c r="C2014" s="203">
        <v>0</v>
      </c>
      <c r="D2014" s="202" t="s">
        <v>441</v>
      </c>
      <c r="E2014" s="202" t="s">
        <v>639</v>
      </c>
      <c r="F2014" s="202" t="s">
        <v>653</v>
      </c>
      <c r="G2014" s="202" t="s">
        <v>689</v>
      </c>
    </row>
    <row r="2015" spans="1:7" hidden="1">
      <c r="A2015" s="202" t="s">
        <v>1239</v>
      </c>
      <c r="B2015" s="203">
        <v>12500</v>
      </c>
      <c r="C2015" s="203">
        <v>0</v>
      </c>
      <c r="D2015" s="202" t="s">
        <v>441</v>
      </c>
      <c r="E2015" s="202" t="s">
        <v>639</v>
      </c>
      <c r="F2015" s="202" t="s">
        <v>653</v>
      </c>
      <c r="G2015" s="202" t="s">
        <v>689</v>
      </c>
    </row>
    <row r="2016" spans="1:7" hidden="1">
      <c r="A2016" s="202" t="s">
        <v>1240</v>
      </c>
      <c r="B2016" s="203">
        <v>12400</v>
      </c>
      <c r="C2016" s="203">
        <v>0</v>
      </c>
      <c r="D2016" s="202" t="s">
        <v>441</v>
      </c>
      <c r="E2016" s="202" t="s">
        <v>639</v>
      </c>
      <c r="F2016" s="202" t="s">
        <v>653</v>
      </c>
      <c r="G2016" s="202" t="s">
        <v>689</v>
      </c>
    </row>
    <row r="2017" spans="1:7" hidden="1">
      <c r="A2017" s="202" t="s">
        <v>1241</v>
      </c>
      <c r="B2017" s="203">
        <v>19000</v>
      </c>
      <c r="C2017" s="203">
        <v>0</v>
      </c>
      <c r="D2017" s="202" t="s">
        <v>475</v>
      </c>
      <c r="E2017" s="202" t="s">
        <v>639</v>
      </c>
      <c r="F2017" s="202" t="s">
        <v>397</v>
      </c>
      <c r="G2017" s="202" t="s">
        <v>689</v>
      </c>
    </row>
    <row r="2018" spans="1:7" hidden="1">
      <c r="A2018" s="202" t="s">
        <v>1242</v>
      </c>
      <c r="B2018" s="203">
        <v>2900</v>
      </c>
      <c r="C2018" s="203">
        <v>0</v>
      </c>
      <c r="D2018" s="202" t="s">
        <v>443</v>
      </c>
      <c r="E2018" s="202" t="s">
        <v>639</v>
      </c>
      <c r="F2018" s="202" t="s">
        <v>397</v>
      </c>
      <c r="G2018" s="202" t="s">
        <v>689</v>
      </c>
    </row>
    <row r="2019" spans="1:7" hidden="1">
      <c r="A2019" s="202" t="s">
        <v>1243</v>
      </c>
      <c r="B2019" s="203">
        <v>15000</v>
      </c>
      <c r="C2019" s="203">
        <v>0</v>
      </c>
      <c r="D2019" s="202" t="s">
        <v>441</v>
      </c>
      <c r="E2019" s="202" t="s">
        <v>639</v>
      </c>
      <c r="F2019" s="202" t="s">
        <v>653</v>
      </c>
      <c r="G2019" s="202" t="s">
        <v>689</v>
      </c>
    </row>
    <row r="2020" spans="1:7" hidden="1">
      <c r="A2020" s="202" t="s">
        <v>1244</v>
      </c>
      <c r="B2020" s="203">
        <v>49355</v>
      </c>
      <c r="C2020" s="203">
        <v>0</v>
      </c>
      <c r="D2020" s="202" t="s">
        <v>441</v>
      </c>
      <c r="E2020" s="202" t="s">
        <v>639</v>
      </c>
      <c r="F2020" s="202" t="s">
        <v>653</v>
      </c>
      <c r="G2020" s="202" t="s">
        <v>689</v>
      </c>
    </row>
    <row r="2021" spans="1:7" hidden="1">
      <c r="A2021" s="202" t="s">
        <v>1245</v>
      </c>
      <c r="B2021" s="203">
        <v>24000</v>
      </c>
      <c r="C2021" s="203">
        <v>0</v>
      </c>
      <c r="D2021" s="202" t="s">
        <v>441</v>
      </c>
      <c r="E2021" s="202" t="s">
        <v>639</v>
      </c>
      <c r="F2021" s="202" t="s">
        <v>653</v>
      </c>
      <c r="G2021" s="202" t="s">
        <v>689</v>
      </c>
    </row>
    <row r="2022" spans="1:7" hidden="1">
      <c r="A2022" s="202" t="s">
        <v>1246</v>
      </c>
      <c r="B2022" s="203">
        <v>21000</v>
      </c>
      <c r="C2022" s="203">
        <v>0</v>
      </c>
      <c r="D2022" s="202" t="s">
        <v>441</v>
      </c>
      <c r="E2022" s="202" t="s">
        <v>639</v>
      </c>
      <c r="F2022" s="202" t="s">
        <v>653</v>
      </c>
      <c r="G2022" s="202" t="s">
        <v>689</v>
      </c>
    </row>
    <row r="2023" spans="1:7" hidden="1">
      <c r="A2023" s="202" t="s">
        <v>1247</v>
      </c>
      <c r="B2023" s="203">
        <v>43000</v>
      </c>
      <c r="C2023" s="203">
        <v>0</v>
      </c>
      <c r="D2023" s="202" t="s">
        <v>441</v>
      </c>
      <c r="E2023" s="202" t="s">
        <v>639</v>
      </c>
      <c r="F2023" s="202" t="s">
        <v>653</v>
      </c>
      <c r="G2023" s="202" t="s">
        <v>689</v>
      </c>
    </row>
    <row r="2024" spans="1:7" hidden="1">
      <c r="A2024" s="202" t="s">
        <v>1248</v>
      </c>
      <c r="B2024" s="203">
        <v>7200</v>
      </c>
      <c r="C2024" s="203">
        <v>0</v>
      </c>
      <c r="D2024" s="202" t="s">
        <v>443</v>
      </c>
      <c r="E2024" s="202" t="s">
        <v>639</v>
      </c>
      <c r="F2024" s="202" t="s">
        <v>397</v>
      </c>
      <c r="G2024" s="202" t="s">
        <v>689</v>
      </c>
    </row>
    <row r="2025" spans="1:7" hidden="1">
      <c r="A2025" s="202" t="s">
        <v>1249</v>
      </c>
      <c r="B2025" s="203">
        <v>-1700</v>
      </c>
      <c r="C2025" s="203">
        <v>0</v>
      </c>
      <c r="D2025" s="202" t="s">
        <v>443</v>
      </c>
      <c r="E2025" s="202" t="s">
        <v>639</v>
      </c>
      <c r="F2025" s="202" t="s">
        <v>397</v>
      </c>
      <c r="G2025" s="202" t="s">
        <v>689</v>
      </c>
    </row>
    <row r="2026" spans="1:7" hidden="1">
      <c r="A2026" s="202" t="s">
        <v>1250</v>
      </c>
      <c r="B2026" s="203">
        <v>12100</v>
      </c>
      <c r="C2026" s="203">
        <v>0</v>
      </c>
      <c r="D2026" s="202" t="s">
        <v>443</v>
      </c>
      <c r="E2026" s="202" t="s">
        <v>639</v>
      </c>
      <c r="F2026" s="202" t="s">
        <v>397</v>
      </c>
      <c r="G2026" s="202" t="s">
        <v>689</v>
      </c>
    </row>
    <row r="2027" spans="1:7" hidden="1">
      <c r="A2027" s="202" t="s">
        <v>1251</v>
      </c>
      <c r="B2027" s="203">
        <v>42600</v>
      </c>
      <c r="C2027" s="203">
        <v>0</v>
      </c>
      <c r="D2027" s="202" t="s">
        <v>443</v>
      </c>
      <c r="E2027" s="202" t="s">
        <v>639</v>
      </c>
      <c r="F2027" s="202" t="s">
        <v>397</v>
      </c>
      <c r="G2027" s="202" t="s">
        <v>689</v>
      </c>
    </row>
    <row r="2028" spans="1:7" hidden="1">
      <c r="A2028" s="202" t="s">
        <v>1252</v>
      </c>
      <c r="B2028" s="203">
        <v>-8000</v>
      </c>
      <c r="C2028" s="203">
        <v>0</v>
      </c>
      <c r="D2028" s="202" t="s">
        <v>443</v>
      </c>
      <c r="E2028" s="202" t="s">
        <v>639</v>
      </c>
      <c r="F2028" s="202" t="s">
        <v>397</v>
      </c>
      <c r="G2028" s="202" t="s">
        <v>689</v>
      </c>
    </row>
    <row r="2029" spans="1:7" hidden="1">
      <c r="A2029" s="202" t="s">
        <v>1253</v>
      </c>
      <c r="B2029" s="203">
        <v>-5400</v>
      </c>
      <c r="C2029" s="203">
        <v>0</v>
      </c>
      <c r="D2029" s="202" t="s">
        <v>443</v>
      </c>
      <c r="E2029" s="202" t="s">
        <v>639</v>
      </c>
      <c r="F2029" s="202" t="s">
        <v>397</v>
      </c>
      <c r="G2029" s="202" t="s">
        <v>689</v>
      </c>
    </row>
    <row r="2030" spans="1:7" hidden="1">
      <c r="A2030" s="202" t="s">
        <v>1254</v>
      </c>
      <c r="B2030" s="203">
        <v>13500</v>
      </c>
      <c r="C2030" s="203">
        <v>0</v>
      </c>
      <c r="D2030" s="202" t="s">
        <v>441</v>
      </c>
      <c r="E2030" s="202" t="s">
        <v>639</v>
      </c>
      <c r="F2030" s="202" t="s">
        <v>653</v>
      </c>
      <c r="G2030" s="202" t="s">
        <v>689</v>
      </c>
    </row>
    <row r="2031" spans="1:7" hidden="1">
      <c r="A2031" s="202" t="s">
        <v>1255</v>
      </c>
      <c r="B2031" s="203">
        <v>30000</v>
      </c>
      <c r="C2031" s="203">
        <v>0</v>
      </c>
      <c r="D2031" s="202" t="s">
        <v>441</v>
      </c>
      <c r="E2031" s="202" t="s">
        <v>639</v>
      </c>
      <c r="F2031" s="202" t="s">
        <v>653</v>
      </c>
      <c r="G2031" s="202" t="s">
        <v>689</v>
      </c>
    </row>
    <row r="2032" spans="1:7" hidden="1">
      <c r="A2032" s="202" t="s">
        <v>1256</v>
      </c>
      <c r="B2032" s="203">
        <v>28900</v>
      </c>
      <c r="C2032" s="203">
        <v>0</v>
      </c>
      <c r="D2032" s="202" t="s">
        <v>441</v>
      </c>
      <c r="E2032" s="202" t="s">
        <v>639</v>
      </c>
      <c r="F2032" s="202" t="s">
        <v>653</v>
      </c>
      <c r="G2032" s="202" t="s">
        <v>689</v>
      </c>
    </row>
    <row r="2033" spans="1:7" hidden="1">
      <c r="A2033" s="202" t="s">
        <v>1257</v>
      </c>
      <c r="B2033" s="203">
        <v>-61800</v>
      </c>
      <c r="C2033" s="203">
        <v>0</v>
      </c>
      <c r="D2033" s="202" t="s">
        <v>441</v>
      </c>
      <c r="E2033" s="202" t="s">
        <v>639</v>
      </c>
      <c r="F2033" s="202" t="s">
        <v>410</v>
      </c>
      <c r="G2033" s="202" t="s">
        <v>689</v>
      </c>
    </row>
    <row r="2034" spans="1:7" hidden="1">
      <c r="A2034" s="202" t="s">
        <v>1258</v>
      </c>
      <c r="B2034" s="203">
        <v>-3300</v>
      </c>
      <c r="C2034" s="203">
        <v>0</v>
      </c>
      <c r="D2034" s="202" t="s">
        <v>443</v>
      </c>
      <c r="E2034" s="202" t="s">
        <v>639</v>
      </c>
      <c r="F2034" s="202" t="s">
        <v>397</v>
      </c>
      <c r="G2034" s="202" t="s">
        <v>689</v>
      </c>
    </row>
    <row r="2035" spans="1:7" hidden="1">
      <c r="A2035" s="202" t="s">
        <v>1259</v>
      </c>
      <c r="B2035" s="203">
        <v>-16400</v>
      </c>
      <c r="C2035" s="203">
        <v>0</v>
      </c>
      <c r="D2035" s="202" t="s">
        <v>441</v>
      </c>
      <c r="E2035" s="202" t="s">
        <v>639</v>
      </c>
      <c r="F2035" s="202" t="s">
        <v>653</v>
      </c>
      <c r="G2035" s="202" t="s">
        <v>689</v>
      </c>
    </row>
    <row r="2036" spans="1:7" hidden="1">
      <c r="A2036" s="202" t="s">
        <v>1260</v>
      </c>
      <c r="B2036" s="203">
        <v>-54900</v>
      </c>
      <c r="C2036" s="203">
        <v>0</v>
      </c>
      <c r="D2036" s="202" t="s">
        <v>443</v>
      </c>
      <c r="E2036" s="202" t="s">
        <v>639</v>
      </c>
      <c r="F2036" s="202" t="s">
        <v>397</v>
      </c>
      <c r="G2036" s="202" t="s">
        <v>689</v>
      </c>
    </row>
    <row r="2037" spans="1:7" hidden="1">
      <c r="A2037" s="202" t="s">
        <v>1260</v>
      </c>
      <c r="B2037" s="203">
        <v>-44500</v>
      </c>
      <c r="C2037" s="203">
        <v>0</v>
      </c>
      <c r="D2037" s="202" t="s">
        <v>475</v>
      </c>
      <c r="E2037" s="202" t="s">
        <v>639</v>
      </c>
      <c r="F2037" s="202" t="s">
        <v>397</v>
      </c>
      <c r="G2037" s="202" t="s">
        <v>689</v>
      </c>
    </row>
    <row r="2038" spans="1:7" hidden="1">
      <c r="A2038" s="202" t="s">
        <v>1261</v>
      </c>
      <c r="B2038" s="203">
        <v>-148400</v>
      </c>
      <c r="C2038" s="203">
        <v>0</v>
      </c>
      <c r="D2038" s="202" t="s">
        <v>441</v>
      </c>
      <c r="E2038" s="202" t="s">
        <v>639</v>
      </c>
      <c r="F2038" s="202" t="s">
        <v>410</v>
      </c>
      <c r="G2038" s="202" t="s">
        <v>689</v>
      </c>
    </row>
    <row r="2039" spans="1:7" hidden="1">
      <c r="A2039" s="202" t="s">
        <v>1262</v>
      </c>
      <c r="B2039" s="203">
        <v>3692</v>
      </c>
      <c r="C2039" s="203">
        <v>0</v>
      </c>
      <c r="D2039" s="202" t="s">
        <v>441</v>
      </c>
      <c r="E2039" s="202" t="s">
        <v>639</v>
      </c>
      <c r="F2039" s="202" t="s">
        <v>653</v>
      </c>
      <c r="G2039" s="202" t="s">
        <v>689</v>
      </c>
    </row>
    <row r="2040" spans="1:7" hidden="1">
      <c r="A2040" s="202" t="s">
        <v>1263</v>
      </c>
      <c r="B2040" s="203">
        <v>14800</v>
      </c>
      <c r="C2040" s="203">
        <v>0</v>
      </c>
      <c r="D2040" s="202" t="s">
        <v>441</v>
      </c>
      <c r="E2040" s="202" t="s">
        <v>639</v>
      </c>
      <c r="F2040" s="202" t="s">
        <v>653</v>
      </c>
      <c r="G2040" s="202" t="s">
        <v>689</v>
      </c>
    </row>
    <row r="2041" spans="1:7" hidden="1">
      <c r="A2041" s="202" t="s">
        <v>1264</v>
      </c>
      <c r="B2041" s="203">
        <v>36300</v>
      </c>
      <c r="C2041" s="203">
        <v>0</v>
      </c>
      <c r="D2041" s="202" t="s">
        <v>441</v>
      </c>
      <c r="E2041" s="202" t="s">
        <v>639</v>
      </c>
      <c r="F2041" s="202" t="s">
        <v>653</v>
      </c>
      <c r="G2041" s="202" t="s">
        <v>689</v>
      </c>
    </row>
    <row r="2042" spans="1:7" hidden="1">
      <c r="A2042" s="202" t="s">
        <v>1265</v>
      </c>
      <c r="B2042" s="203">
        <v>-40300</v>
      </c>
      <c r="C2042" s="203">
        <v>0</v>
      </c>
      <c r="D2042" s="202" t="s">
        <v>441</v>
      </c>
      <c r="E2042" s="202" t="s">
        <v>639</v>
      </c>
      <c r="F2042" s="202" t="s">
        <v>653</v>
      </c>
      <c r="G2042" s="202" t="s">
        <v>689</v>
      </c>
    </row>
    <row r="2043" spans="1:7" hidden="1">
      <c r="A2043" s="202" t="s">
        <v>1266</v>
      </c>
      <c r="B2043" s="203">
        <v>-6000</v>
      </c>
      <c r="C2043" s="203">
        <v>0</v>
      </c>
      <c r="D2043" s="202" t="s">
        <v>443</v>
      </c>
      <c r="E2043" s="202" t="s">
        <v>639</v>
      </c>
      <c r="F2043" s="202" t="s">
        <v>397</v>
      </c>
      <c r="G2043" s="202" t="s">
        <v>689</v>
      </c>
    </row>
    <row r="2044" spans="1:7" hidden="1">
      <c r="A2044" s="202" t="s">
        <v>371</v>
      </c>
      <c r="B2044" s="203">
        <v>7</v>
      </c>
      <c r="C2044" s="203">
        <v>0</v>
      </c>
      <c r="D2044" s="202" t="s">
        <v>283</v>
      </c>
      <c r="E2044" s="202" t="s">
        <v>640</v>
      </c>
      <c r="F2044" s="202" t="s">
        <v>653</v>
      </c>
      <c r="G2044" s="202" t="s">
        <v>689</v>
      </c>
    </row>
    <row r="2045" spans="1:7">
      <c r="A2045" s="202" t="s">
        <v>371</v>
      </c>
      <c r="B2045" s="203">
        <v>7</v>
      </c>
      <c r="C2045" s="203">
        <v>0</v>
      </c>
      <c r="D2045" s="202" t="s">
        <v>282</v>
      </c>
      <c r="E2045" s="202" t="s">
        <v>640</v>
      </c>
      <c r="F2045" s="202" t="s">
        <v>653</v>
      </c>
      <c r="G2045" s="202" t="s">
        <v>689</v>
      </c>
    </row>
    <row r="2046" spans="1:7" hidden="1">
      <c r="A2046" s="202" t="s">
        <v>375</v>
      </c>
      <c r="B2046" s="203">
        <v>14</v>
      </c>
      <c r="C2046" s="203">
        <v>0</v>
      </c>
      <c r="D2046" s="202" t="s">
        <v>283</v>
      </c>
      <c r="E2046" s="202" t="s">
        <v>640</v>
      </c>
      <c r="F2046" s="202" t="s">
        <v>653</v>
      </c>
      <c r="G2046" s="202" t="s">
        <v>689</v>
      </c>
    </row>
    <row r="2047" spans="1:7">
      <c r="A2047" s="202" t="s">
        <v>375</v>
      </c>
      <c r="B2047" s="203">
        <v>15</v>
      </c>
      <c r="C2047" s="203">
        <v>0</v>
      </c>
      <c r="D2047" s="202" t="s">
        <v>282</v>
      </c>
      <c r="E2047" s="202" t="s">
        <v>640</v>
      </c>
      <c r="F2047" s="202" t="s">
        <v>653</v>
      </c>
      <c r="G2047" s="202" t="s">
        <v>689</v>
      </c>
    </row>
    <row r="2048" spans="1:7" hidden="1">
      <c r="A2048" s="202" t="s">
        <v>373</v>
      </c>
      <c r="B2048" s="203">
        <v>182</v>
      </c>
      <c r="C2048" s="203">
        <v>0</v>
      </c>
      <c r="D2048" s="202" t="s">
        <v>283</v>
      </c>
      <c r="E2048" s="202" t="s">
        <v>640</v>
      </c>
      <c r="F2048" s="202" t="s">
        <v>653</v>
      </c>
      <c r="G2048" s="202" t="s">
        <v>689</v>
      </c>
    </row>
    <row r="2049" spans="1:7">
      <c r="A2049" s="202" t="s">
        <v>373</v>
      </c>
      <c r="B2049" s="203">
        <v>182</v>
      </c>
      <c r="C2049" s="203">
        <v>0</v>
      </c>
      <c r="D2049" s="202" t="s">
        <v>282</v>
      </c>
      <c r="E2049" s="202" t="s">
        <v>640</v>
      </c>
      <c r="F2049" s="202" t="s">
        <v>653</v>
      </c>
      <c r="G2049" s="202" t="s">
        <v>689</v>
      </c>
    </row>
    <row r="2050" spans="1:7" hidden="1">
      <c r="A2050" s="202" t="s">
        <v>376</v>
      </c>
      <c r="B2050" s="203">
        <v>89</v>
      </c>
      <c r="C2050" s="203">
        <v>0</v>
      </c>
      <c r="D2050" s="202" t="s">
        <v>283</v>
      </c>
      <c r="E2050" s="202" t="s">
        <v>640</v>
      </c>
      <c r="F2050" s="202" t="s">
        <v>653</v>
      </c>
      <c r="G2050" s="202" t="s">
        <v>689</v>
      </c>
    </row>
    <row r="2051" spans="1:7">
      <c r="A2051" s="202" t="s">
        <v>376</v>
      </c>
      <c r="B2051" s="203">
        <v>89</v>
      </c>
      <c r="C2051" s="203">
        <v>0</v>
      </c>
      <c r="D2051" s="202" t="s">
        <v>282</v>
      </c>
      <c r="E2051" s="202" t="s">
        <v>640</v>
      </c>
      <c r="F2051" s="202" t="s">
        <v>653</v>
      </c>
      <c r="G2051" s="202" t="s">
        <v>689</v>
      </c>
    </row>
    <row r="2052" spans="1:7" hidden="1">
      <c r="A2052" s="202" t="s">
        <v>654</v>
      </c>
      <c r="B2052" s="203">
        <v>-694</v>
      </c>
      <c r="C2052" s="203">
        <v>0</v>
      </c>
      <c r="D2052" s="202" t="s">
        <v>443</v>
      </c>
      <c r="E2052" s="202" t="s">
        <v>639</v>
      </c>
      <c r="F2052" s="202" t="s">
        <v>653</v>
      </c>
      <c r="G2052" s="202" t="s">
        <v>689</v>
      </c>
    </row>
    <row r="2053" spans="1:7" hidden="1">
      <c r="A2053" s="202" t="s">
        <v>655</v>
      </c>
      <c r="B2053" s="203">
        <v>-54407</v>
      </c>
      <c r="C2053" s="203">
        <v>0</v>
      </c>
      <c r="D2053" s="202" t="s">
        <v>443</v>
      </c>
      <c r="E2053" s="202" t="s">
        <v>639</v>
      </c>
      <c r="F2053" s="202" t="s">
        <v>653</v>
      </c>
      <c r="G2053" s="202" t="s">
        <v>689</v>
      </c>
    </row>
    <row r="2054" spans="1:7" hidden="1">
      <c r="A2054" s="202" t="s">
        <v>1267</v>
      </c>
      <c r="B2054" s="203">
        <v>7400</v>
      </c>
      <c r="C2054" s="203">
        <v>0</v>
      </c>
      <c r="D2054" s="202" t="s">
        <v>441</v>
      </c>
      <c r="E2054" s="202" t="s">
        <v>639</v>
      </c>
      <c r="F2054" s="202" t="s">
        <v>410</v>
      </c>
      <c r="G2054" s="202" t="s">
        <v>689</v>
      </c>
    </row>
    <row r="2055" spans="1:7" hidden="1">
      <c r="A2055" s="202" t="s">
        <v>1268</v>
      </c>
      <c r="B2055" s="203">
        <v>7400</v>
      </c>
      <c r="C2055" s="203">
        <v>0</v>
      </c>
      <c r="D2055" s="202" t="s">
        <v>443</v>
      </c>
      <c r="E2055" s="202" t="s">
        <v>639</v>
      </c>
      <c r="F2055" s="202" t="s">
        <v>397</v>
      </c>
      <c r="G2055" s="202" t="s">
        <v>689</v>
      </c>
    </row>
    <row r="2056" spans="1:7" hidden="1">
      <c r="A2056" s="202" t="s">
        <v>1269</v>
      </c>
      <c r="B2056" s="203">
        <v>3900</v>
      </c>
      <c r="C2056" s="203">
        <v>0</v>
      </c>
      <c r="D2056" s="202" t="s">
        <v>443</v>
      </c>
      <c r="E2056" s="202" t="s">
        <v>639</v>
      </c>
      <c r="F2056" s="202" t="s">
        <v>397</v>
      </c>
      <c r="G2056" s="202" t="s">
        <v>689</v>
      </c>
    </row>
    <row r="2057" spans="1:7" hidden="1">
      <c r="A2057" s="202" t="s">
        <v>1270</v>
      </c>
      <c r="B2057" s="203">
        <v>2300</v>
      </c>
      <c r="C2057" s="203">
        <v>0</v>
      </c>
      <c r="D2057" s="202" t="s">
        <v>443</v>
      </c>
      <c r="E2057" s="202" t="s">
        <v>639</v>
      </c>
      <c r="F2057" s="202" t="s">
        <v>397</v>
      </c>
      <c r="G2057" s="202" t="s">
        <v>689</v>
      </c>
    </row>
    <row r="2058" spans="1:7" hidden="1">
      <c r="A2058" s="202" t="s">
        <v>1271</v>
      </c>
      <c r="B2058" s="203">
        <v>5700</v>
      </c>
      <c r="C2058" s="203">
        <v>0</v>
      </c>
      <c r="D2058" s="202" t="s">
        <v>443</v>
      </c>
      <c r="E2058" s="202" t="s">
        <v>639</v>
      </c>
      <c r="F2058" s="202" t="s">
        <v>397</v>
      </c>
      <c r="G2058" s="202" t="s">
        <v>689</v>
      </c>
    </row>
    <row r="2059" spans="1:7" hidden="1">
      <c r="A2059" s="202" t="s">
        <v>1272</v>
      </c>
      <c r="B2059" s="203">
        <v>3100</v>
      </c>
      <c r="C2059" s="203">
        <v>0</v>
      </c>
      <c r="D2059" s="202" t="s">
        <v>443</v>
      </c>
      <c r="E2059" s="202" t="s">
        <v>639</v>
      </c>
      <c r="F2059" s="202" t="s">
        <v>397</v>
      </c>
      <c r="G2059" s="202" t="s">
        <v>689</v>
      </c>
    </row>
    <row r="2060" spans="1:7" hidden="1">
      <c r="A2060" s="202" t="s">
        <v>1273</v>
      </c>
      <c r="B2060" s="203">
        <v>23000</v>
      </c>
      <c r="C2060" s="203">
        <v>0</v>
      </c>
      <c r="D2060" s="202" t="s">
        <v>441</v>
      </c>
      <c r="E2060" s="202" t="s">
        <v>639</v>
      </c>
      <c r="F2060" s="202" t="s">
        <v>653</v>
      </c>
      <c r="G2060" s="202" t="s">
        <v>689</v>
      </c>
    </row>
    <row r="2061" spans="1:7" hidden="1">
      <c r="A2061" s="202" t="s">
        <v>1274</v>
      </c>
      <c r="B2061" s="203">
        <v>2800</v>
      </c>
      <c r="C2061" s="203">
        <v>0</v>
      </c>
      <c r="D2061" s="202" t="s">
        <v>443</v>
      </c>
      <c r="E2061" s="202" t="s">
        <v>639</v>
      </c>
      <c r="F2061" s="202" t="s">
        <v>397</v>
      </c>
      <c r="G2061" s="202" t="s">
        <v>689</v>
      </c>
    </row>
    <row r="2062" spans="1:7" hidden="1">
      <c r="A2062" s="202" t="s">
        <v>1275</v>
      </c>
      <c r="B2062" s="203">
        <v>3200</v>
      </c>
      <c r="C2062" s="203">
        <v>0</v>
      </c>
      <c r="D2062" s="202" t="s">
        <v>443</v>
      </c>
      <c r="E2062" s="202" t="s">
        <v>639</v>
      </c>
      <c r="F2062" s="202" t="s">
        <v>397</v>
      </c>
      <c r="G2062" s="202" t="s">
        <v>689</v>
      </c>
    </row>
    <row r="2063" spans="1:7" hidden="1">
      <c r="A2063" s="202" t="s">
        <v>1276</v>
      </c>
      <c r="B2063" s="203">
        <v>13300</v>
      </c>
      <c r="C2063" s="203">
        <v>0</v>
      </c>
      <c r="D2063" s="202" t="s">
        <v>441</v>
      </c>
      <c r="E2063" s="202" t="s">
        <v>639</v>
      </c>
      <c r="F2063" s="202" t="s">
        <v>653</v>
      </c>
      <c r="G2063" s="202" t="s">
        <v>689</v>
      </c>
    </row>
    <row r="2064" spans="1:7" hidden="1">
      <c r="A2064" s="202" t="s">
        <v>1277</v>
      </c>
      <c r="B2064" s="203">
        <v>36100</v>
      </c>
      <c r="C2064" s="203">
        <v>0</v>
      </c>
      <c r="D2064" s="202" t="s">
        <v>441</v>
      </c>
      <c r="E2064" s="202" t="s">
        <v>639</v>
      </c>
      <c r="F2064" s="202" t="s">
        <v>653</v>
      </c>
      <c r="G2064" s="202" t="s">
        <v>689</v>
      </c>
    </row>
    <row r="2065" spans="1:7" hidden="1">
      <c r="A2065" s="202" t="s">
        <v>1278</v>
      </c>
      <c r="B2065" s="203">
        <v>53200</v>
      </c>
      <c r="C2065" s="203">
        <v>0</v>
      </c>
      <c r="D2065" s="202" t="s">
        <v>441</v>
      </c>
      <c r="E2065" s="202" t="s">
        <v>639</v>
      </c>
      <c r="F2065" s="202" t="s">
        <v>653</v>
      </c>
      <c r="G2065" s="202" t="s">
        <v>689</v>
      </c>
    </row>
    <row r="2066" spans="1:7" hidden="1">
      <c r="A2066" s="202" t="s">
        <v>1279</v>
      </c>
      <c r="B2066" s="203">
        <v>2900</v>
      </c>
      <c r="C2066" s="203">
        <v>0</v>
      </c>
      <c r="D2066" s="202" t="s">
        <v>443</v>
      </c>
      <c r="E2066" s="202" t="s">
        <v>639</v>
      </c>
      <c r="F2066" s="202" t="s">
        <v>397</v>
      </c>
      <c r="G2066" s="202" t="s">
        <v>689</v>
      </c>
    </row>
    <row r="2067" spans="1:7" hidden="1">
      <c r="A2067" s="202" t="s">
        <v>1280</v>
      </c>
      <c r="B2067" s="203">
        <v>22200</v>
      </c>
      <c r="C2067" s="203">
        <v>0</v>
      </c>
      <c r="D2067" s="202" t="s">
        <v>441</v>
      </c>
      <c r="E2067" s="202" t="s">
        <v>639</v>
      </c>
      <c r="F2067" s="202" t="s">
        <v>653</v>
      </c>
      <c r="G2067" s="202" t="s">
        <v>689</v>
      </c>
    </row>
    <row r="2068" spans="1:7" hidden="1">
      <c r="A2068" s="202" t="s">
        <v>1281</v>
      </c>
      <c r="B2068" s="203">
        <v>14000</v>
      </c>
      <c r="C2068" s="203">
        <v>0</v>
      </c>
      <c r="D2068" s="202" t="s">
        <v>441</v>
      </c>
      <c r="E2068" s="202" t="s">
        <v>639</v>
      </c>
      <c r="F2068" s="202" t="s">
        <v>653</v>
      </c>
      <c r="G2068" s="202" t="s">
        <v>689</v>
      </c>
    </row>
    <row r="2069" spans="1:7" hidden="1">
      <c r="A2069" s="202" t="s">
        <v>1282</v>
      </c>
      <c r="B2069" s="203">
        <v>4000</v>
      </c>
      <c r="C2069" s="203">
        <v>0</v>
      </c>
      <c r="D2069" s="202" t="s">
        <v>443</v>
      </c>
      <c r="E2069" s="202" t="s">
        <v>639</v>
      </c>
      <c r="F2069" s="202" t="s">
        <v>397</v>
      </c>
      <c r="G2069" s="202" t="s">
        <v>689</v>
      </c>
    </row>
    <row r="2070" spans="1:7" hidden="1">
      <c r="A2070" s="202" t="s">
        <v>1283</v>
      </c>
      <c r="B2070" s="203">
        <v>16000</v>
      </c>
      <c r="C2070" s="203">
        <v>0</v>
      </c>
      <c r="D2070" s="202" t="s">
        <v>441</v>
      </c>
      <c r="E2070" s="202" t="s">
        <v>639</v>
      </c>
      <c r="F2070" s="202" t="s">
        <v>653</v>
      </c>
      <c r="G2070" s="202" t="s">
        <v>689</v>
      </c>
    </row>
    <row r="2071" spans="1:7" hidden="1">
      <c r="A2071" s="202" t="s">
        <v>1284</v>
      </c>
      <c r="B2071" s="203">
        <v>25000</v>
      </c>
      <c r="C2071" s="203">
        <v>0</v>
      </c>
      <c r="D2071" s="202" t="s">
        <v>441</v>
      </c>
      <c r="E2071" s="202" t="s">
        <v>639</v>
      </c>
      <c r="F2071" s="202" t="s">
        <v>410</v>
      </c>
      <c r="G2071" s="202" t="s">
        <v>689</v>
      </c>
    </row>
    <row r="2072" spans="1:7" hidden="1">
      <c r="A2072" s="202" t="s">
        <v>1285</v>
      </c>
      <c r="B2072" s="203">
        <v>10800</v>
      </c>
      <c r="C2072" s="203">
        <v>0</v>
      </c>
      <c r="D2072" s="202" t="s">
        <v>443</v>
      </c>
      <c r="E2072" s="202" t="s">
        <v>639</v>
      </c>
      <c r="F2072" s="202" t="s">
        <v>397</v>
      </c>
      <c r="G2072" s="202" t="s">
        <v>689</v>
      </c>
    </row>
    <row r="2073" spans="1:7" hidden="1">
      <c r="A2073" s="202" t="s">
        <v>1285</v>
      </c>
      <c r="B2073" s="203">
        <v>79600</v>
      </c>
      <c r="C2073" s="203">
        <v>0</v>
      </c>
      <c r="D2073" s="202" t="s">
        <v>475</v>
      </c>
      <c r="E2073" s="202" t="s">
        <v>639</v>
      </c>
      <c r="F2073" s="202" t="s">
        <v>397</v>
      </c>
      <c r="G2073" s="202" t="s">
        <v>689</v>
      </c>
    </row>
    <row r="2074" spans="1:7" hidden="1">
      <c r="A2074" s="202" t="s">
        <v>1286</v>
      </c>
      <c r="B2074" s="203">
        <v>6000</v>
      </c>
      <c r="C2074" s="203">
        <v>0</v>
      </c>
      <c r="D2074" s="202" t="s">
        <v>443</v>
      </c>
      <c r="E2074" s="202" t="s">
        <v>639</v>
      </c>
      <c r="F2074" s="202" t="s">
        <v>397</v>
      </c>
      <c r="G2074" s="202" t="s">
        <v>689</v>
      </c>
    </row>
    <row r="2075" spans="1:7" hidden="1">
      <c r="A2075" s="202" t="s">
        <v>1287</v>
      </c>
      <c r="B2075" s="203">
        <v>87000</v>
      </c>
      <c r="C2075" s="203">
        <v>0</v>
      </c>
      <c r="D2075" s="202" t="s">
        <v>441</v>
      </c>
      <c r="E2075" s="202" t="s">
        <v>639</v>
      </c>
      <c r="F2075" s="202" t="s">
        <v>653</v>
      </c>
      <c r="G2075" s="202" t="s">
        <v>689</v>
      </c>
    </row>
    <row r="2076" spans="1:7" hidden="1">
      <c r="A2076" s="202" t="s">
        <v>1288</v>
      </c>
      <c r="B2076" s="203">
        <v>3200</v>
      </c>
      <c r="C2076" s="203">
        <v>0</v>
      </c>
      <c r="D2076" s="202" t="s">
        <v>443</v>
      </c>
      <c r="E2076" s="202" t="s">
        <v>639</v>
      </c>
      <c r="F2076" s="202" t="s">
        <v>397</v>
      </c>
      <c r="G2076" s="202" t="s">
        <v>689</v>
      </c>
    </row>
    <row r="2077" spans="1:7" hidden="1">
      <c r="A2077" s="202" t="s">
        <v>1289</v>
      </c>
      <c r="B2077" s="203">
        <v>5100</v>
      </c>
      <c r="C2077" s="203">
        <v>0</v>
      </c>
      <c r="D2077" s="202" t="s">
        <v>443</v>
      </c>
      <c r="E2077" s="202" t="s">
        <v>639</v>
      </c>
      <c r="F2077" s="202" t="s">
        <v>397</v>
      </c>
      <c r="G2077" s="202" t="s">
        <v>689</v>
      </c>
    </row>
    <row r="2078" spans="1:7" hidden="1">
      <c r="A2078" s="202" t="s">
        <v>1290</v>
      </c>
      <c r="B2078" s="203">
        <v>7700</v>
      </c>
      <c r="C2078" s="203">
        <v>0</v>
      </c>
      <c r="D2078" s="202" t="s">
        <v>443</v>
      </c>
      <c r="E2078" s="202" t="s">
        <v>639</v>
      </c>
      <c r="F2078" s="202" t="s">
        <v>397</v>
      </c>
      <c r="G2078" s="202" t="s">
        <v>689</v>
      </c>
    </row>
    <row r="2079" spans="1:7" hidden="1">
      <c r="A2079" s="202" t="s">
        <v>1291</v>
      </c>
      <c r="B2079" s="203">
        <v>7300</v>
      </c>
      <c r="C2079" s="203">
        <v>0</v>
      </c>
      <c r="D2079" s="202" t="s">
        <v>443</v>
      </c>
      <c r="E2079" s="202" t="s">
        <v>639</v>
      </c>
      <c r="F2079" s="202" t="s">
        <v>397</v>
      </c>
      <c r="G2079" s="202" t="s">
        <v>689</v>
      </c>
    </row>
    <row r="2080" spans="1:7" hidden="1">
      <c r="A2080" s="202" t="s">
        <v>1292</v>
      </c>
      <c r="B2080" s="203">
        <v>22900</v>
      </c>
      <c r="C2080" s="203">
        <v>0</v>
      </c>
      <c r="D2080" s="202" t="s">
        <v>441</v>
      </c>
      <c r="E2080" s="202" t="s">
        <v>639</v>
      </c>
      <c r="F2080" s="202" t="s">
        <v>653</v>
      </c>
      <c r="G2080" s="202" t="s">
        <v>689</v>
      </c>
    </row>
    <row r="2081" spans="1:7" hidden="1">
      <c r="A2081" s="202" t="s">
        <v>1293</v>
      </c>
      <c r="B2081" s="203">
        <v>6000</v>
      </c>
      <c r="C2081" s="203">
        <v>0</v>
      </c>
      <c r="D2081" s="202" t="s">
        <v>443</v>
      </c>
      <c r="E2081" s="202" t="s">
        <v>639</v>
      </c>
      <c r="F2081" s="202" t="s">
        <v>397</v>
      </c>
      <c r="G2081" s="202" t="s">
        <v>689</v>
      </c>
    </row>
    <row r="2082" spans="1:7" hidden="1">
      <c r="A2082" s="202" t="s">
        <v>1294</v>
      </c>
      <c r="B2082" s="203">
        <v>6200</v>
      </c>
      <c r="C2082" s="203">
        <v>0</v>
      </c>
      <c r="D2082" s="202" t="s">
        <v>443</v>
      </c>
      <c r="E2082" s="202" t="s">
        <v>639</v>
      </c>
      <c r="F2082" s="202" t="s">
        <v>397</v>
      </c>
      <c r="G2082" s="202" t="s">
        <v>689</v>
      </c>
    </row>
    <row r="2083" spans="1:7" hidden="1">
      <c r="A2083" s="202" t="s">
        <v>1295</v>
      </c>
      <c r="B2083" s="203">
        <v>5100</v>
      </c>
      <c r="C2083" s="203">
        <v>0</v>
      </c>
      <c r="D2083" s="202" t="s">
        <v>443</v>
      </c>
      <c r="E2083" s="202" t="s">
        <v>639</v>
      </c>
      <c r="F2083" s="202" t="s">
        <v>397</v>
      </c>
      <c r="G2083" s="202" t="s">
        <v>689</v>
      </c>
    </row>
    <row r="2084" spans="1:7" hidden="1">
      <c r="A2084" s="202" t="s">
        <v>1296</v>
      </c>
      <c r="B2084" s="203">
        <v>6400</v>
      </c>
      <c r="C2084" s="203">
        <v>0</v>
      </c>
      <c r="D2084" s="202" t="s">
        <v>443</v>
      </c>
      <c r="E2084" s="202" t="s">
        <v>639</v>
      </c>
      <c r="F2084" s="202" t="s">
        <v>397</v>
      </c>
      <c r="G2084" s="202" t="s">
        <v>689</v>
      </c>
    </row>
    <row r="2085" spans="1:7" hidden="1">
      <c r="A2085" s="202" t="s">
        <v>1297</v>
      </c>
      <c r="B2085" s="203">
        <v>1127</v>
      </c>
      <c r="C2085" s="203">
        <v>0</v>
      </c>
      <c r="D2085" s="202" t="s">
        <v>441</v>
      </c>
      <c r="E2085" s="202" t="s">
        <v>639</v>
      </c>
      <c r="F2085" s="202" t="s">
        <v>653</v>
      </c>
      <c r="G2085" s="202" t="s">
        <v>689</v>
      </c>
    </row>
    <row r="2086" spans="1:7" hidden="1">
      <c r="A2086" s="202" t="s">
        <v>1298</v>
      </c>
      <c r="B2086" s="203">
        <v>23200</v>
      </c>
      <c r="C2086" s="203">
        <v>0</v>
      </c>
      <c r="D2086" s="202" t="s">
        <v>441</v>
      </c>
      <c r="E2086" s="202" t="s">
        <v>639</v>
      </c>
      <c r="F2086" s="202" t="s">
        <v>653</v>
      </c>
      <c r="G2086" s="202" t="s">
        <v>689</v>
      </c>
    </row>
    <row r="2087" spans="1:7" hidden="1">
      <c r="A2087" s="202" t="s">
        <v>1299</v>
      </c>
      <c r="B2087" s="203">
        <v>3800</v>
      </c>
      <c r="C2087" s="203">
        <v>0</v>
      </c>
      <c r="D2087" s="202" t="s">
        <v>443</v>
      </c>
      <c r="E2087" s="202" t="s">
        <v>639</v>
      </c>
      <c r="F2087" s="202" t="s">
        <v>397</v>
      </c>
      <c r="G2087" s="202" t="s">
        <v>689</v>
      </c>
    </row>
    <row r="2088" spans="1:7" hidden="1">
      <c r="A2088" s="202" t="s">
        <v>1300</v>
      </c>
      <c r="B2088" s="203">
        <v>6400</v>
      </c>
      <c r="C2088" s="203">
        <v>0</v>
      </c>
      <c r="D2088" s="202" t="s">
        <v>443</v>
      </c>
      <c r="E2088" s="202" t="s">
        <v>639</v>
      </c>
      <c r="F2088" s="202" t="s">
        <v>397</v>
      </c>
      <c r="G2088" s="202" t="s">
        <v>689</v>
      </c>
    </row>
    <row r="2089" spans="1:7" hidden="1">
      <c r="A2089" s="202" t="s">
        <v>1301</v>
      </c>
      <c r="B2089" s="203">
        <v>5000</v>
      </c>
      <c r="C2089" s="203">
        <v>0</v>
      </c>
      <c r="D2089" s="202" t="s">
        <v>443</v>
      </c>
      <c r="E2089" s="202" t="s">
        <v>639</v>
      </c>
      <c r="F2089" s="202" t="s">
        <v>397</v>
      </c>
      <c r="G2089" s="202" t="s">
        <v>689</v>
      </c>
    </row>
    <row r="2090" spans="1:7" hidden="1">
      <c r="A2090" s="202" t="s">
        <v>1302</v>
      </c>
      <c r="B2090" s="203">
        <v>9000</v>
      </c>
      <c r="C2090" s="203">
        <v>0</v>
      </c>
      <c r="D2090" s="202" t="s">
        <v>443</v>
      </c>
      <c r="E2090" s="202" t="s">
        <v>639</v>
      </c>
      <c r="F2090" s="202" t="s">
        <v>397</v>
      </c>
      <c r="G2090" s="202" t="s">
        <v>689</v>
      </c>
    </row>
    <row r="2091" spans="1:7" hidden="1">
      <c r="A2091" s="202" t="s">
        <v>1303</v>
      </c>
      <c r="B2091" s="203">
        <v>6300</v>
      </c>
      <c r="C2091" s="203">
        <v>0</v>
      </c>
      <c r="D2091" s="202" t="s">
        <v>443</v>
      </c>
      <c r="E2091" s="202" t="s">
        <v>639</v>
      </c>
      <c r="F2091" s="202" t="s">
        <v>397</v>
      </c>
      <c r="G2091" s="202" t="s">
        <v>689</v>
      </c>
    </row>
    <row r="2092" spans="1:7" hidden="1">
      <c r="A2092" s="202" t="s">
        <v>1304</v>
      </c>
      <c r="B2092" s="203">
        <v>100000</v>
      </c>
      <c r="C2092" s="203">
        <v>0</v>
      </c>
      <c r="D2092" s="202" t="s">
        <v>441</v>
      </c>
      <c r="E2092" s="202" t="s">
        <v>639</v>
      </c>
      <c r="F2092" s="202" t="s">
        <v>410</v>
      </c>
      <c r="G2092" s="202" t="s">
        <v>689</v>
      </c>
    </row>
    <row r="2093" spans="1:7" hidden="1">
      <c r="A2093" s="202" t="s">
        <v>1305</v>
      </c>
      <c r="B2093" s="203">
        <v>-16300</v>
      </c>
      <c r="C2093" s="203">
        <v>0</v>
      </c>
      <c r="D2093" s="202" t="s">
        <v>441</v>
      </c>
      <c r="E2093" s="202" t="s">
        <v>639</v>
      </c>
      <c r="F2093" s="202" t="s">
        <v>653</v>
      </c>
      <c r="G2093" s="202" t="s">
        <v>689</v>
      </c>
    </row>
    <row r="2094" spans="1:7" hidden="1">
      <c r="A2094" s="202" t="s">
        <v>1306</v>
      </c>
      <c r="B2094" s="203">
        <v>-16100</v>
      </c>
      <c r="C2094" s="203">
        <v>0</v>
      </c>
      <c r="D2094" s="202" t="s">
        <v>441</v>
      </c>
      <c r="E2094" s="202" t="s">
        <v>639</v>
      </c>
      <c r="F2094" s="202" t="s">
        <v>410</v>
      </c>
      <c r="G2094" s="202" t="s">
        <v>689</v>
      </c>
    </row>
    <row r="2095" spans="1:7" hidden="1">
      <c r="A2095" s="202" t="s">
        <v>1307</v>
      </c>
      <c r="B2095" s="203">
        <v>600</v>
      </c>
      <c r="C2095" s="203">
        <v>0</v>
      </c>
      <c r="D2095" s="202" t="s">
        <v>443</v>
      </c>
      <c r="E2095" s="202" t="s">
        <v>639</v>
      </c>
      <c r="F2095" s="202" t="s">
        <v>397</v>
      </c>
      <c r="G2095" s="202" t="s">
        <v>689</v>
      </c>
    </row>
    <row r="2096" spans="1:7" hidden="1">
      <c r="A2096" s="202" t="s">
        <v>1308</v>
      </c>
      <c r="B2096" s="203">
        <v>1900</v>
      </c>
      <c r="C2096" s="203">
        <v>0</v>
      </c>
      <c r="D2096" s="202" t="s">
        <v>443</v>
      </c>
      <c r="E2096" s="202" t="s">
        <v>639</v>
      </c>
      <c r="F2096" s="202" t="s">
        <v>397</v>
      </c>
      <c r="G2096" s="202" t="s">
        <v>689</v>
      </c>
    </row>
    <row r="2097" spans="1:7" hidden="1">
      <c r="A2097" s="202" t="s">
        <v>1309</v>
      </c>
      <c r="B2097" s="203">
        <v>48500</v>
      </c>
      <c r="C2097" s="203">
        <v>0</v>
      </c>
      <c r="D2097" s="202" t="s">
        <v>441</v>
      </c>
      <c r="E2097" s="202" t="s">
        <v>639</v>
      </c>
      <c r="F2097" s="202" t="s">
        <v>410</v>
      </c>
      <c r="G2097" s="202" t="s">
        <v>689</v>
      </c>
    </row>
    <row r="2098" spans="1:7" hidden="1">
      <c r="A2098" s="202" t="s">
        <v>1310</v>
      </c>
      <c r="B2098" s="203">
        <v>80900</v>
      </c>
      <c r="C2098" s="203">
        <v>0</v>
      </c>
      <c r="D2098" s="202" t="s">
        <v>441</v>
      </c>
      <c r="E2098" s="202" t="s">
        <v>639</v>
      </c>
      <c r="F2098" s="202" t="s">
        <v>653</v>
      </c>
      <c r="G2098" s="202" t="s">
        <v>689</v>
      </c>
    </row>
    <row r="2099" spans="1:7" hidden="1">
      <c r="A2099" s="202" t="s">
        <v>1311</v>
      </c>
      <c r="B2099" s="203">
        <v>154900</v>
      </c>
      <c r="C2099" s="203">
        <v>0</v>
      </c>
      <c r="D2099" s="202" t="s">
        <v>441</v>
      </c>
      <c r="E2099" s="202" t="s">
        <v>639</v>
      </c>
      <c r="F2099" s="202" t="s">
        <v>653</v>
      </c>
      <c r="G2099" s="202" t="s">
        <v>689</v>
      </c>
    </row>
    <row r="2100" spans="1:7" hidden="1">
      <c r="A2100" s="202" t="s">
        <v>1312</v>
      </c>
      <c r="B2100" s="203">
        <v>4000</v>
      </c>
      <c r="C2100" s="203">
        <v>0</v>
      </c>
      <c r="D2100" s="202" t="s">
        <v>443</v>
      </c>
      <c r="E2100" s="202" t="s">
        <v>639</v>
      </c>
      <c r="F2100" s="202" t="s">
        <v>397</v>
      </c>
      <c r="G2100" s="202" t="s">
        <v>689</v>
      </c>
    </row>
    <row r="2101" spans="1:7" hidden="1">
      <c r="A2101" s="202" t="s">
        <v>1313</v>
      </c>
      <c r="B2101" s="203">
        <v>59800</v>
      </c>
      <c r="C2101" s="203">
        <v>0</v>
      </c>
      <c r="D2101" s="202" t="s">
        <v>441</v>
      </c>
      <c r="E2101" s="202" t="s">
        <v>639</v>
      </c>
      <c r="F2101" s="202" t="s">
        <v>653</v>
      </c>
      <c r="G2101" s="202" t="s">
        <v>689</v>
      </c>
    </row>
    <row r="2102" spans="1:7" hidden="1">
      <c r="A2102" s="202" t="s">
        <v>1314</v>
      </c>
      <c r="B2102" s="203">
        <v>71500</v>
      </c>
      <c r="C2102" s="203">
        <v>0</v>
      </c>
      <c r="D2102" s="202" t="s">
        <v>441</v>
      </c>
      <c r="E2102" s="202" t="s">
        <v>639</v>
      </c>
      <c r="F2102" s="202" t="s">
        <v>653</v>
      </c>
      <c r="G2102" s="202" t="s">
        <v>689</v>
      </c>
    </row>
    <row r="2103" spans="1:7" hidden="1">
      <c r="A2103" s="202" t="s">
        <v>1315</v>
      </c>
      <c r="B2103" s="203">
        <v>4300</v>
      </c>
      <c r="C2103" s="203">
        <v>0</v>
      </c>
      <c r="D2103" s="202" t="s">
        <v>443</v>
      </c>
      <c r="E2103" s="202" t="s">
        <v>639</v>
      </c>
      <c r="F2103" s="202" t="s">
        <v>397</v>
      </c>
      <c r="G2103" s="202" t="s">
        <v>689</v>
      </c>
    </row>
    <row r="2104" spans="1:7" hidden="1">
      <c r="A2104" s="202" t="s">
        <v>1316</v>
      </c>
      <c r="B2104" s="203">
        <v>1200</v>
      </c>
      <c r="C2104" s="203">
        <v>0</v>
      </c>
      <c r="D2104" s="202" t="s">
        <v>441</v>
      </c>
      <c r="E2104" s="202" t="s">
        <v>639</v>
      </c>
      <c r="F2104" s="202" t="s">
        <v>653</v>
      </c>
      <c r="G2104" s="202" t="s">
        <v>689</v>
      </c>
    </row>
    <row r="2105" spans="1:7" hidden="1">
      <c r="A2105" s="202" t="s">
        <v>1317</v>
      </c>
      <c r="B2105" s="203">
        <v>4200</v>
      </c>
      <c r="C2105" s="203">
        <v>0</v>
      </c>
      <c r="D2105" s="202" t="s">
        <v>443</v>
      </c>
      <c r="E2105" s="202" t="s">
        <v>639</v>
      </c>
      <c r="F2105" s="202" t="s">
        <v>397</v>
      </c>
      <c r="G2105" s="202" t="s">
        <v>689</v>
      </c>
    </row>
    <row r="2106" spans="1:7" hidden="1">
      <c r="A2106" s="202" t="s">
        <v>1318</v>
      </c>
      <c r="B2106" s="203">
        <v>4200</v>
      </c>
      <c r="C2106" s="203">
        <v>0</v>
      </c>
      <c r="D2106" s="202" t="s">
        <v>443</v>
      </c>
      <c r="E2106" s="202" t="s">
        <v>639</v>
      </c>
      <c r="F2106" s="202" t="s">
        <v>397</v>
      </c>
      <c r="G2106" s="202" t="s">
        <v>689</v>
      </c>
    </row>
    <row r="2107" spans="1:7" hidden="1">
      <c r="A2107" s="202" t="s">
        <v>1319</v>
      </c>
      <c r="B2107" s="203">
        <v>105000</v>
      </c>
      <c r="C2107" s="203">
        <v>0</v>
      </c>
      <c r="D2107" s="202" t="s">
        <v>441</v>
      </c>
      <c r="E2107" s="202" t="s">
        <v>639</v>
      </c>
      <c r="F2107" s="202" t="s">
        <v>653</v>
      </c>
      <c r="G2107" s="202" t="s">
        <v>689</v>
      </c>
    </row>
    <row r="2108" spans="1:7" hidden="1">
      <c r="A2108" s="202" t="s">
        <v>1320</v>
      </c>
      <c r="B2108" s="203">
        <v>8200</v>
      </c>
      <c r="C2108" s="203">
        <v>0</v>
      </c>
      <c r="D2108" s="202" t="s">
        <v>443</v>
      </c>
      <c r="E2108" s="202" t="s">
        <v>639</v>
      </c>
      <c r="F2108" s="202" t="s">
        <v>397</v>
      </c>
      <c r="G2108" s="202" t="s">
        <v>689</v>
      </c>
    </row>
    <row r="2109" spans="1:7" hidden="1">
      <c r="A2109" s="202" t="s">
        <v>1321</v>
      </c>
      <c r="B2109" s="203">
        <v>-30700</v>
      </c>
      <c r="C2109" s="203">
        <v>0</v>
      </c>
      <c r="D2109" s="202" t="s">
        <v>441</v>
      </c>
      <c r="E2109" s="202" t="s">
        <v>639</v>
      </c>
      <c r="F2109" s="202" t="s">
        <v>410</v>
      </c>
      <c r="G2109" s="202" t="s">
        <v>689</v>
      </c>
    </row>
    <row r="2110" spans="1:7" hidden="1">
      <c r="A2110" s="202" t="s">
        <v>1322</v>
      </c>
      <c r="B2110" s="203">
        <v>43000</v>
      </c>
      <c r="C2110" s="203">
        <v>0</v>
      </c>
      <c r="D2110" s="202" t="s">
        <v>441</v>
      </c>
      <c r="E2110" s="202" t="s">
        <v>639</v>
      </c>
      <c r="F2110" s="202" t="s">
        <v>653</v>
      </c>
      <c r="G2110" s="202" t="s">
        <v>689</v>
      </c>
    </row>
    <row r="2111" spans="1:7" hidden="1">
      <c r="A2111" s="202" t="s">
        <v>1323</v>
      </c>
      <c r="B2111" s="203">
        <v>20000</v>
      </c>
      <c r="C2111" s="203">
        <v>0</v>
      </c>
      <c r="D2111" s="202" t="s">
        <v>441</v>
      </c>
      <c r="E2111" s="202" t="s">
        <v>639</v>
      </c>
      <c r="F2111" s="202" t="s">
        <v>653</v>
      </c>
      <c r="G2111" s="202" t="s">
        <v>689</v>
      </c>
    </row>
    <row r="2112" spans="1:7" hidden="1">
      <c r="A2112" s="202" t="s">
        <v>1324</v>
      </c>
      <c r="B2112" s="203">
        <v>4200</v>
      </c>
      <c r="C2112" s="203">
        <v>0</v>
      </c>
      <c r="D2112" s="202" t="s">
        <v>443</v>
      </c>
      <c r="E2112" s="202" t="s">
        <v>639</v>
      </c>
      <c r="F2112" s="202" t="s">
        <v>397</v>
      </c>
      <c r="G2112" s="202" t="s">
        <v>689</v>
      </c>
    </row>
    <row r="2113" spans="1:7" hidden="1">
      <c r="A2113" s="202" t="s">
        <v>1325</v>
      </c>
      <c r="B2113" s="203">
        <v>31400</v>
      </c>
      <c r="C2113" s="203">
        <v>0</v>
      </c>
      <c r="D2113" s="202" t="s">
        <v>441</v>
      </c>
      <c r="E2113" s="202" t="s">
        <v>639</v>
      </c>
      <c r="F2113" s="202" t="s">
        <v>653</v>
      </c>
      <c r="G2113" s="202" t="s">
        <v>689</v>
      </c>
    </row>
    <row r="2114" spans="1:7" hidden="1">
      <c r="A2114" s="202" t="s">
        <v>1326</v>
      </c>
      <c r="B2114" s="203">
        <v>4000</v>
      </c>
      <c r="C2114" s="203">
        <v>0</v>
      </c>
      <c r="D2114" s="202" t="s">
        <v>443</v>
      </c>
      <c r="E2114" s="202" t="s">
        <v>639</v>
      </c>
      <c r="F2114" s="202" t="s">
        <v>397</v>
      </c>
      <c r="G2114" s="202" t="s">
        <v>689</v>
      </c>
    </row>
    <row r="2115" spans="1:7" hidden="1">
      <c r="A2115" s="202" t="s">
        <v>1327</v>
      </c>
      <c r="B2115" s="203">
        <v>2700</v>
      </c>
      <c r="C2115" s="203">
        <v>0</v>
      </c>
      <c r="D2115" s="202" t="s">
        <v>443</v>
      </c>
      <c r="E2115" s="202" t="s">
        <v>639</v>
      </c>
      <c r="F2115" s="202" t="s">
        <v>397</v>
      </c>
      <c r="G2115" s="202" t="s">
        <v>689</v>
      </c>
    </row>
    <row r="2116" spans="1:7" hidden="1">
      <c r="A2116" s="202" t="s">
        <v>1328</v>
      </c>
      <c r="B2116" s="203">
        <v>2900</v>
      </c>
      <c r="C2116" s="203">
        <v>0</v>
      </c>
      <c r="D2116" s="202" t="s">
        <v>443</v>
      </c>
      <c r="E2116" s="202" t="s">
        <v>639</v>
      </c>
      <c r="F2116" s="202" t="s">
        <v>397</v>
      </c>
      <c r="G2116" s="202" t="s">
        <v>689</v>
      </c>
    </row>
    <row r="2117" spans="1:7" hidden="1">
      <c r="A2117" s="202" t="s">
        <v>1329</v>
      </c>
      <c r="B2117" s="203">
        <v>106400</v>
      </c>
      <c r="C2117" s="203">
        <v>0</v>
      </c>
      <c r="D2117" s="202" t="s">
        <v>441</v>
      </c>
      <c r="E2117" s="202" t="s">
        <v>639</v>
      </c>
      <c r="F2117" s="202" t="s">
        <v>653</v>
      </c>
      <c r="G2117" s="202" t="s">
        <v>689</v>
      </c>
    </row>
    <row r="2118" spans="1:7" hidden="1">
      <c r="A2118" s="202" t="s">
        <v>1330</v>
      </c>
      <c r="B2118" s="203">
        <v>6100</v>
      </c>
      <c r="C2118" s="203">
        <v>0</v>
      </c>
      <c r="D2118" s="202" t="s">
        <v>441</v>
      </c>
      <c r="E2118" s="202" t="s">
        <v>639</v>
      </c>
      <c r="F2118" s="202" t="s">
        <v>653</v>
      </c>
      <c r="G2118" s="202" t="s">
        <v>689</v>
      </c>
    </row>
    <row r="2119" spans="1:7" hidden="1">
      <c r="A2119" s="202" t="s">
        <v>1331</v>
      </c>
      <c r="B2119" s="203">
        <v>40600</v>
      </c>
      <c r="C2119" s="203">
        <v>0</v>
      </c>
      <c r="D2119" s="202" t="s">
        <v>441</v>
      </c>
      <c r="E2119" s="202" t="s">
        <v>639</v>
      </c>
      <c r="F2119" s="202" t="s">
        <v>653</v>
      </c>
      <c r="G2119" s="202" t="s">
        <v>689</v>
      </c>
    </row>
    <row r="2120" spans="1:7" hidden="1">
      <c r="A2120" s="202" t="s">
        <v>1332</v>
      </c>
      <c r="B2120" s="203">
        <v>100600</v>
      </c>
      <c r="C2120" s="203">
        <v>0</v>
      </c>
      <c r="D2120" s="202" t="s">
        <v>441</v>
      </c>
      <c r="E2120" s="202" t="s">
        <v>639</v>
      </c>
      <c r="F2120" s="202" t="s">
        <v>653</v>
      </c>
      <c r="G2120" s="202" t="s">
        <v>689</v>
      </c>
    </row>
    <row r="2121" spans="1:7" hidden="1">
      <c r="A2121" s="202" t="s">
        <v>1333</v>
      </c>
      <c r="B2121" s="203">
        <v>15000</v>
      </c>
      <c r="C2121" s="203">
        <v>0</v>
      </c>
      <c r="D2121" s="202" t="s">
        <v>441</v>
      </c>
      <c r="E2121" s="202" t="s">
        <v>639</v>
      </c>
      <c r="F2121" s="202" t="s">
        <v>653</v>
      </c>
      <c r="G2121" s="202" t="s">
        <v>689</v>
      </c>
    </row>
    <row r="2122" spans="1:7" hidden="1">
      <c r="A2122" s="202" t="s">
        <v>1334</v>
      </c>
      <c r="B2122" s="203">
        <v>92100</v>
      </c>
      <c r="C2122" s="203">
        <v>0</v>
      </c>
      <c r="D2122" s="202" t="s">
        <v>441</v>
      </c>
      <c r="E2122" s="202" t="s">
        <v>639</v>
      </c>
      <c r="F2122" s="202" t="s">
        <v>653</v>
      </c>
      <c r="G2122" s="202" t="s">
        <v>689</v>
      </c>
    </row>
    <row r="2123" spans="1:7" hidden="1">
      <c r="A2123" s="202" t="s">
        <v>1335</v>
      </c>
      <c r="B2123" s="203">
        <v>110000</v>
      </c>
      <c r="C2123" s="203">
        <v>0</v>
      </c>
      <c r="D2123" s="202" t="s">
        <v>441</v>
      </c>
      <c r="E2123" s="202" t="s">
        <v>639</v>
      </c>
      <c r="F2123" s="202" t="s">
        <v>653</v>
      </c>
      <c r="G2123" s="202" t="s">
        <v>689</v>
      </c>
    </row>
    <row r="2124" spans="1:7" hidden="1">
      <c r="A2124" s="202" t="s">
        <v>1336</v>
      </c>
      <c r="B2124" s="203">
        <v>33200</v>
      </c>
      <c r="C2124" s="203">
        <v>0</v>
      </c>
      <c r="D2124" s="202" t="s">
        <v>441</v>
      </c>
      <c r="E2124" s="202" t="s">
        <v>639</v>
      </c>
      <c r="F2124" s="202" t="s">
        <v>653</v>
      </c>
      <c r="G2124" s="202" t="s">
        <v>689</v>
      </c>
    </row>
    <row r="2125" spans="1:7" hidden="1">
      <c r="A2125" s="202" t="s">
        <v>1337</v>
      </c>
      <c r="B2125" s="203">
        <v>40000</v>
      </c>
      <c r="C2125" s="203">
        <v>0</v>
      </c>
      <c r="D2125" s="202" t="s">
        <v>441</v>
      </c>
      <c r="E2125" s="202" t="s">
        <v>639</v>
      </c>
      <c r="F2125" s="202" t="s">
        <v>653</v>
      </c>
      <c r="G2125" s="202" t="s">
        <v>689</v>
      </c>
    </row>
    <row r="2126" spans="1:7" hidden="1">
      <c r="A2126" s="202" t="s">
        <v>1338</v>
      </c>
      <c r="B2126" s="203">
        <v>112351</v>
      </c>
      <c r="C2126" s="203">
        <v>0</v>
      </c>
      <c r="D2126" s="202" t="s">
        <v>441</v>
      </c>
      <c r="E2126" s="202" t="s">
        <v>639</v>
      </c>
      <c r="F2126" s="202" t="s">
        <v>653</v>
      </c>
      <c r="G2126" s="202" t="s">
        <v>689</v>
      </c>
    </row>
    <row r="2127" spans="1:7" hidden="1">
      <c r="A2127" s="202" t="s">
        <v>1339</v>
      </c>
      <c r="B2127" s="203">
        <v>33100</v>
      </c>
      <c r="C2127" s="203">
        <v>0</v>
      </c>
      <c r="D2127" s="202" t="s">
        <v>441</v>
      </c>
      <c r="E2127" s="202" t="s">
        <v>639</v>
      </c>
      <c r="F2127" s="202" t="s">
        <v>653</v>
      </c>
      <c r="G2127" s="202" t="s">
        <v>689</v>
      </c>
    </row>
    <row r="2128" spans="1:7" hidden="1">
      <c r="A2128" s="202" t="s">
        <v>1340</v>
      </c>
      <c r="B2128" s="203">
        <v>11700</v>
      </c>
      <c r="C2128" s="203">
        <v>0</v>
      </c>
      <c r="D2128" s="202" t="s">
        <v>441</v>
      </c>
      <c r="E2128" s="202" t="s">
        <v>639</v>
      </c>
      <c r="F2128" s="202" t="s">
        <v>653</v>
      </c>
      <c r="G2128" s="202" t="s">
        <v>689</v>
      </c>
    </row>
    <row r="2129" spans="1:7" hidden="1">
      <c r="A2129" s="202" t="s">
        <v>1341</v>
      </c>
      <c r="B2129" s="203">
        <v>70000</v>
      </c>
      <c r="C2129" s="203">
        <v>0</v>
      </c>
      <c r="D2129" s="202" t="s">
        <v>441</v>
      </c>
      <c r="E2129" s="202" t="s">
        <v>639</v>
      </c>
      <c r="F2129" s="202" t="s">
        <v>653</v>
      </c>
      <c r="G2129" s="202" t="s">
        <v>689</v>
      </c>
    </row>
    <row r="2130" spans="1:7" hidden="1">
      <c r="A2130" s="202" t="s">
        <v>1342</v>
      </c>
      <c r="B2130" s="203">
        <v>55300</v>
      </c>
      <c r="C2130" s="203">
        <v>0</v>
      </c>
      <c r="D2130" s="202" t="s">
        <v>441</v>
      </c>
      <c r="E2130" s="202" t="s">
        <v>639</v>
      </c>
      <c r="F2130" s="202" t="s">
        <v>653</v>
      </c>
      <c r="G2130" s="202" t="s">
        <v>689</v>
      </c>
    </row>
    <row r="2131" spans="1:7" hidden="1">
      <c r="A2131" s="202" t="s">
        <v>1343</v>
      </c>
      <c r="B2131" s="203">
        <v>13900</v>
      </c>
      <c r="C2131" s="203">
        <v>0</v>
      </c>
      <c r="D2131" s="202" t="s">
        <v>443</v>
      </c>
      <c r="E2131" s="202" t="s">
        <v>639</v>
      </c>
      <c r="F2131" s="202" t="s">
        <v>397</v>
      </c>
      <c r="G2131" s="202" t="s">
        <v>689</v>
      </c>
    </row>
    <row r="2132" spans="1:7" hidden="1">
      <c r="A2132" s="202" t="s">
        <v>1344</v>
      </c>
      <c r="B2132" s="203">
        <v>10800</v>
      </c>
      <c r="C2132" s="203">
        <v>0</v>
      </c>
      <c r="D2132" s="202" t="s">
        <v>441</v>
      </c>
      <c r="E2132" s="202" t="s">
        <v>639</v>
      </c>
      <c r="F2132" s="202" t="s">
        <v>653</v>
      </c>
      <c r="G2132" s="202" t="s">
        <v>689</v>
      </c>
    </row>
    <row r="2133" spans="1:7" hidden="1">
      <c r="A2133" s="202" t="s">
        <v>1345</v>
      </c>
      <c r="B2133" s="203">
        <v>17898</v>
      </c>
      <c r="C2133" s="203">
        <v>0</v>
      </c>
      <c r="D2133" s="202" t="s">
        <v>441</v>
      </c>
      <c r="E2133" s="202" t="s">
        <v>639</v>
      </c>
      <c r="F2133" s="202" t="s">
        <v>653</v>
      </c>
      <c r="G2133" s="202" t="s">
        <v>689</v>
      </c>
    </row>
    <row r="2134" spans="1:7" hidden="1">
      <c r="A2134" s="202" t="s">
        <v>1346</v>
      </c>
      <c r="B2134" s="203">
        <v>4300</v>
      </c>
      <c r="C2134" s="203">
        <v>0</v>
      </c>
      <c r="D2134" s="202" t="s">
        <v>443</v>
      </c>
      <c r="E2134" s="202" t="s">
        <v>639</v>
      </c>
      <c r="F2134" s="202" t="s">
        <v>397</v>
      </c>
      <c r="G2134" s="202" t="s">
        <v>689</v>
      </c>
    </row>
    <row r="2135" spans="1:7" hidden="1">
      <c r="A2135" s="202" t="s">
        <v>1347</v>
      </c>
      <c r="B2135" s="203">
        <v>17800</v>
      </c>
      <c r="C2135" s="203">
        <v>0</v>
      </c>
      <c r="D2135" s="202" t="s">
        <v>441</v>
      </c>
      <c r="E2135" s="202" t="s">
        <v>639</v>
      </c>
      <c r="F2135" s="202" t="s">
        <v>653</v>
      </c>
      <c r="G2135" s="202" t="s">
        <v>689</v>
      </c>
    </row>
    <row r="2136" spans="1:7" hidden="1">
      <c r="A2136" s="202" t="s">
        <v>1348</v>
      </c>
      <c r="B2136" s="203">
        <v>-64000</v>
      </c>
      <c r="C2136" s="203">
        <v>0</v>
      </c>
      <c r="D2136" s="202" t="s">
        <v>441</v>
      </c>
      <c r="E2136" s="202" t="s">
        <v>639</v>
      </c>
      <c r="F2136" s="202" t="s">
        <v>653</v>
      </c>
      <c r="G2136" s="202" t="s">
        <v>689</v>
      </c>
    </row>
    <row r="2137" spans="1:7" hidden="1">
      <c r="A2137" s="202" t="s">
        <v>1349</v>
      </c>
      <c r="B2137" s="203">
        <v>-9900</v>
      </c>
      <c r="C2137" s="203">
        <v>0</v>
      </c>
      <c r="D2137" s="202" t="s">
        <v>443</v>
      </c>
      <c r="E2137" s="202" t="s">
        <v>639</v>
      </c>
      <c r="F2137" s="202" t="s">
        <v>397</v>
      </c>
      <c r="G2137" s="202" t="s">
        <v>689</v>
      </c>
    </row>
    <row r="2138" spans="1:7" hidden="1">
      <c r="A2138" s="202" t="s">
        <v>1350</v>
      </c>
      <c r="B2138" s="203">
        <v>-74000</v>
      </c>
      <c r="C2138" s="203">
        <v>0</v>
      </c>
      <c r="D2138" s="202" t="s">
        <v>441</v>
      </c>
      <c r="E2138" s="202" t="s">
        <v>639</v>
      </c>
      <c r="F2138" s="202" t="s">
        <v>410</v>
      </c>
      <c r="G2138" s="202" t="s">
        <v>689</v>
      </c>
    </row>
    <row r="2139" spans="1:7" hidden="1">
      <c r="A2139" s="202" t="s">
        <v>1351</v>
      </c>
      <c r="B2139" s="203">
        <v>4900</v>
      </c>
      <c r="C2139" s="203">
        <v>0</v>
      </c>
      <c r="D2139" s="202" t="s">
        <v>443</v>
      </c>
      <c r="E2139" s="202" t="s">
        <v>639</v>
      </c>
      <c r="F2139" s="202" t="s">
        <v>397</v>
      </c>
      <c r="G2139" s="202" t="s">
        <v>689</v>
      </c>
    </row>
    <row r="2140" spans="1:7" hidden="1">
      <c r="A2140" s="202" t="s">
        <v>1352</v>
      </c>
      <c r="B2140" s="203">
        <v>122000</v>
      </c>
      <c r="C2140" s="203">
        <v>0</v>
      </c>
      <c r="D2140" s="202" t="s">
        <v>441</v>
      </c>
      <c r="E2140" s="202" t="s">
        <v>639</v>
      </c>
      <c r="F2140" s="202" t="s">
        <v>653</v>
      </c>
      <c r="G2140" s="202" t="s">
        <v>689</v>
      </c>
    </row>
    <row r="2141" spans="1:7" hidden="1">
      <c r="A2141" s="202" t="s">
        <v>1353</v>
      </c>
      <c r="B2141" s="203">
        <v>10900</v>
      </c>
      <c r="C2141" s="203">
        <v>0</v>
      </c>
      <c r="D2141" s="202" t="s">
        <v>441</v>
      </c>
      <c r="E2141" s="202" t="s">
        <v>639</v>
      </c>
      <c r="F2141" s="202" t="s">
        <v>653</v>
      </c>
      <c r="G2141" s="202" t="s">
        <v>689</v>
      </c>
    </row>
    <row r="2142" spans="1:7" hidden="1">
      <c r="A2142" s="202" t="s">
        <v>1354</v>
      </c>
      <c r="B2142" s="203">
        <v>14800</v>
      </c>
      <c r="C2142" s="203">
        <v>0</v>
      </c>
      <c r="D2142" s="202" t="s">
        <v>441</v>
      </c>
      <c r="E2142" s="202" t="s">
        <v>639</v>
      </c>
      <c r="F2142" s="202" t="s">
        <v>653</v>
      </c>
      <c r="G2142" s="202" t="s">
        <v>689</v>
      </c>
    </row>
    <row r="2143" spans="1:7" hidden="1">
      <c r="A2143" s="202" t="s">
        <v>1355</v>
      </c>
      <c r="B2143" s="203">
        <v>27700</v>
      </c>
      <c r="C2143" s="203">
        <v>0</v>
      </c>
      <c r="D2143" s="202" t="s">
        <v>441</v>
      </c>
      <c r="E2143" s="202" t="s">
        <v>639</v>
      </c>
      <c r="F2143" s="202" t="s">
        <v>653</v>
      </c>
      <c r="G2143" s="202" t="s">
        <v>689</v>
      </c>
    </row>
    <row r="2144" spans="1:7" hidden="1">
      <c r="A2144" s="202" t="s">
        <v>1356</v>
      </c>
      <c r="B2144" s="203">
        <v>2600</v>
      </c>
      <c r="C2144" s="203">
        <v>0</v>
      </c>
      <c r="D2144" s="202" t="s">
        <v>441</v>
      </c>
      <c r="E2144" s="202" t="s">
        <v>639</v>
      </c>
      <c r="F2144" s="202" t="s">
        <v>653</v>
      </c>
      <c r="G2144" s="202" t="s">
        <v>689</v>
      </c>
    </row>
    <row r="2145" spans="1:7" hidden="1">
      <c r="A2145" s="202" t="s">
        <v>1357</v>
      </c>
      <c r="B2145" s="203">
        <v>92990</v>
      </c>
      <c r="C2145" s="203">
        <v>0</v>
      </c>
      <c r="D2145" s="202" t="s">
        <v>441</v>
      </c>
      <c r="E2145" s="202" t="s">
        <v>639</v>
      </c>
      <c r="F2145" s="202" t="s">
        <v>653</v>
      </c>
      <c r="G2145" s="202" t="s">
        <v>689</v>
      </c>
    </row>
    <row r="2146" spans="1:7" hidden="1">
      <c r="A2146" s="202" t="s">
        <v>1358</v>
      </c>
      <c r="B2146" s="203">
        <v>31200</v>
      </c>
      <c r="C2146" s="203">
        <v>0</v>
      </c>
      <c r="D2146" s="202" t="s">
        <v>441</v>
      </c>
      <c r="E2146" s="202" t="s">
        <v>639</v>
      </c>
      <c r="F2146" s="202" t="s">
        <v>410</v>
      </c>
      <c r="G2146" s="202" t="s">
        <v>689</v>
      </c>
    </row>
    <row r="2147" spans="1:7" hidden="1">
      <c r="A2147" s="202" t="s">
        <v>1359</v>
      </c>
      <c r="B2147" s="203">
        <v>11200</v>
      </c>
      <c r="C2147" s="203">
        <v>0</v>
      </c>
      <c r="D2147" s="202" t="s">
        <v>441</v>
      </c>
      <c r="E2147" s="202" t="s">
        <v>639</v>
      </c>
      <c r="F2147" s="202" t="s">
        <v>653</v>
      </c>
      <c r="G2147" s="202" t="s">
        <v>689</v>
      </c>
    </row>
    <row r="2148" spans="1:7" hidden="1">
      <c r="A2148" s="202" t="s">
        <v>1360</v>
      </c>
      <c r="B2148" s="203">
        <v>20400</v>
      </c>
      <c r="C2148" s="203">
        <v>0</v>
      </c>
      <c r="D2148" s="202" t="s">
        <v>441</v>
      </c>
      <c r="E2148" s="202" t="s">
        <v>639</v>
      </c>
      <c r="F2148" s="202" t="s">
        <v>653</v>
      </c>
      <c r="G2148" s="202" t="s">
        <v>689</v>
      </c>
    </row>
    <row r="2149" spans="1:7" hidden="1">
      <c r="A2149" s="202" t="s">
        <v>1361</v>
      </c>
      <c r="B2149" s="203">
        <v>23800</v>
      </c>
      <c r="C2149" s="203">
        <v>0</v>
      </c>
      <c r="D2149" s="202" t="s">
        <v>441</v>
      </c>
      <c r="E2149" s="202" t="s">
        <v>639</v>
      </c>
      <c r="F2149" s="202" t="s">
        <v>653</v>
      </c>
      <c r="G2149" s="202" t="s">
        <v>689</v>
      </c>
    </row>
    <row r="2150" spans="1:7" hidden="1">
      <c r="A2150" s="202" t="s">
        <v>1362</v>
      </c>
      <c r="B2150" s="203">
        <v>32800</v>
      </c>
      <c r="C2150" s="203">
        <v>0</v>
      </c>
      <c r="D2150" s="202" t="s">
        <v>441</v>
      </c>
      <c r="E2150" s="202" t="s">
        <v>639</v>
      </c>
      <c r="F2150" s="202" t="s">
        <v>653</v>
      </c>
      <c r="G2150" s="202" t="s">
        <v>689</v>
      </c>
    </row>
    <row r="2151" spans="1:7" hidden="1">
      <c r="A2151" s="202" t="s">
        <v>1363</v>
      </c>
      <c r="B2151" s="203">
        <v>15000</v>
      </c>
      <c r="C2151" s="203">
        <v>0</v>
      </c>
      <c r="D2151" s="202" t="s">
        <v>441</v>
      </c>
      <c r="E2151" s="202" t="s">
        <v>639</v>
      </c>
      <c r="F2151" s="202" t="s">
        <v>653</v>
      </c>
      <c r="G2151" s="202" t="s">
        <v>689</v>
      </c>
    </row>
    <row r="2152" spans="1:7" hidden="1">
      <c r="A2152" s="202" t="s">
        <v>1364</v>
      </c>
      <c r="B2152" s="203">
        <v>13400</v>
      </c>
      <c r="C2152" s="203">
        <v>0</v>
      </c>
      <c r="D2152" s="202" t="s">
        <v>441</v>
      </c>
      <c r="E2152" s="202" t="s">
        <v>639</v>
      </c>
      <c r="F2152" s="202" t="s">
        <v>410</v>
      </c>
      <c r="G2152" s="202" t="s">
        <v>689</v>
      </c>
    </row>
    <row r="2153" spans="1:7" hidden="1">
      <c r="A2153" s="202" t="s">
        <v>1365</v>
      </c>
      <c r="B2153" s="203">
        <v>8300</v>
      </c>
      <c r="C2153" s="203">
        <v>0</v>
      </c>
      <c r="D2153" s="202" t="s">
        <v>441</v>
      </c>
      <c r="E2153" s="202" t="s">
        <v>639</v>
      </c>
      <c r="F2153" s="202" t="s">
        <v>653</v>
      </c>
      <c r="G2153" s="202" t="s">
        <v>689</v>
      </c>
    </row>
    <row r="2154" spans="1:7" hidden="1">
      <c r="A2154" s="202" t="s">
        <v>1366</v>
      </c>
      <c r="B2154" s="203">
        <v>16500</v>
      </c>
      <c r="C2154" s="203">
        <v>0</v>
      </c>
      <c r="D2154" s="202" t="s">
        <v>441</v>
      </c>
      <c r="E2154" s="202" t="s">
        <v>639</v>
      </c>
      <c r="F2154" s="202" t="s">
        <v>653</v>
      </c>
      <c r="G2154" s="202" t="s">
        <v>689</v>
      </c>
    </row>
    <row r="2155" spans="1:7" hidden="1">
      <c r="A2155" s="202" t="s">
        <v>1367</v>
      </c>
      <c r="B2155" s="203">
        <v>5000</v>
      </c>
      <c r="C2155" s="203">
        <v>0</v>
      </c>
      <c r="D2155" s="202" t="s">
        <v>441</v>
      </c>
      <c r="E2155" s="202" t="s">
        <v>639</v>
      </c>
      <c r="F2155" s="202" t="s">
        <v>653</v>
      </c>
      <c r="G2155" s="202" t="s">
        <v>689</v>
      </c>
    </row>
    <row r="2156" spans="1:7" hidden="1">
      <c r="A2156" s="202" t="s">
        <v>1368</v>
      </c>
      <c r="B2156" s="203">
        <v>2800</v>
      </c>
      <c r="C2156" s="203">
        <v>0</v>
      </c>
      <c r="D2156" s="202" t="s">
        <v>443</v>
      </c>
      <c r="E2156" s="202" t="s">
        <v>639</v>
      </c>
      <c r="F2156" s="202" t="s">
        <v>397</v>
      </c>
      <c r="G2156" s="202" t="s">
        <v>689</v>
      </c>
    </row>
    <row r="2157" spans="1:7" hidden="1">
      <c r="A2157" s="202" t="s">
        <v>1369</v>
      </c>
      <c r="B2157" s="203">
        <v>29200</v>
      </c>
      <c r="C2157" s="203">
        <v>0</v>
      </c>
      <c r="D2157" s="202" t="s">
        <v>441</v>
      </c>
      <c r="E2157" s="202" t="s">
        <v>639</v>
      </c>
      <c r="F2157" s="202" t="s">
        <v>653</v>
      </c>
      <c r="G2157" s="202" t="s">
        <v>689</v>
      </c>
    </row>
    <row r="2158" spans="1:7" hidden="1">
      <c r="A2158" s="202" t="s">
        <v>1370</v>
      </c>
      <c r="B2158" s="203">
        <v>26900</v>
      </c>
      <c r="C2158" s="203">
        <v>0</v>
      </c>
      <c r="D2158" s="202" t="s">
        <v>441</v>
      </c>
      <c r="E2158" s="202" t="s">
        <v>639</v>
      </c>
      <c r="F2158" s="202" t="s">
        <v>653</v>
      </c>
      <c r="G2158" s="202" t="s">
        <v>689</v>
      </c>
    </row>
    <row r="2159" spans="1:7" hidden="1">
      <c r="A2159" s="202" t="s">
        <v>1371</v>
      </c>
      <c r="B2159" s="203">
        <v>85700</v>
      </c>
      <c r="C2159" s="203">
        <v>0</v>
      </c>
      <c r="D2159" s="202" t="s">
        <v>441</v>
      </c>
      <c r="E2159" s="202" t="s">
        <v>639</v>
      </c>
      <c r="F2159" s="202" t="s">
        <v>653</v>
      </c>
      <c r="G2159" s="202" t="s">
        <v>689</v>
      </c>
    </row>
    <row r="2160" spans="1:7" hidden="1">
      <c r="A2160" s="202" t="s">
        <v>1372</v>
      </c>
      <c r="B2160" s="203">
        <v>20000</v>
      </c>
      <c r="C2160" s="203">
        <v>0</v>
      </c>
      <c r="D2160" s="202" t="s">
        <v>441</v>
      </c>
      <c r="E2160" s="202" t="s">
        <v>639</v>
      </c>
      <c r="F2160" s="202" t="s">
        <v>653</v>
      </c>
      <c r="G2160" s="202" t="s">
        <v>689</v>
      </c>
    </row>
    <row r="2161" spans="1:7" hidden="1">
      <c r="A2161" s="202" t="s">
        <v>1373</v>
      </c>
      <c r="B2161" s="203">
        <v>10400</v>
      </c>
      <c r="C2161" s="203">
        <v>0</v>
      </c>
      <c r="D2161" s="202" t="s">
        <v>441</v>
      </c>
      <c r="E2161" s="202" t="s">
        <v>639</v>
      </c>
      <c r="F2161" s="202" t="s">
        <v>653</v>
      </c>
      <c r="G2161" s="202" t="s">
        <v>689</v>
      </c>
    </row>
    <row r="2162" spans="1:7" hidden="1">
      <c r="A2162" s="202" t="s">
        <v>1374</v>
      </c>
      <c r="B2162" s="203">
        <v>14700</v>
      </c>
      <c r="C2162" s="203">
        <v>0</v>
      </c>
      <c r="D2162" s="202" t="s">
        <v>441</v>
      </c>
      <c r="E2162" s="202" t="s">
        <v>639</v>
      </c>
      <c r="F2162" s="202" t="s">
        <v>653</v>
      </c>
      <c r="G2162" s="202" t="s">
        <v>689</v>
      </c>
    </row>
    <row r="2163" spans="1:7" hidden="1">
      <c r="A2163" s="202" t="s">
        <v>1375</v>
      </c>
      <c r="B2163" s="203">
        <v>1800</v>
      </c>
      <c r="C2163" s="203">
        <v>0</v>
      </c>
      <c r="D2163" s="202" t="s">
        <v>443</v>
      </c>
      <c r="E2163" s="202" t="s">
        <v>639</v>
      </c>
      <c r="F2163" s="202" t="s">
        <v>397</v>
      </c>
      <c r="G2163" s="202" t="s">
        <v>689</v>
      </c>
    </row>
    <row r="2164" spans="1:7" hidden="1">
      <c r="A2164" s="202" t="s">
        <v>1376</v>
      </c>
      <c r="B2164" s="203">
        <v>28200</v>
      </c>
      <c r="C2164" s="203">
        <v>0</v>
      </c>
      <c r="D2164" s="202" t="s">
        <v>441</v>
      </c>
      <c r="E2164" s="202" t="s">
        <v>639</v>
      </c>
      <c r="F2164" s="202" t="s">
        <v>653</v>
      </c>
      <c r="G2164" s="202" t="s">
        <v>689</v>
      </c>
    </row>
    <row r="2165" spans="1:7" hidden="1">
      <c r="A2165" s="202" t="s">
        <v>1377</v>
      </c>
      <c r="B2165" s="203">
        <v>14100</v>
      </c>
      <c r="C2165" s="203">
        <v>0</v>
      </c>
      <c r="D2165" s="202" t="s">
        <v>441</v>
      </c>
      <c r="E2165" s="202" t="s">
        <v>639</v>
      </c>
      <c r="F2165" s="202" t="s">
        <v>653</v>
      </c>
      <c r="G2165" s="202" t="s">
        <v>689</v>
      </c>
    </row>
    <row r="2166" spans="1:7" hidden="1">
      <c r="A2166" s="202" t="s">
        <v>1378</v>
      </c>
      <c r="B2166" s="203">
        <v>1300</v>
      </c>
      <c r="C2166" s="203">
        <v>0</v>
      </c>
      <c r="D2166" s="202" t="s">
        <v>443</v>
      </c>
      <c r="E2166" s="202" t="s">
        <v>639</v>
      </c>
      <c r="F2166" s="202" t="s">
        <v>397</v>
      </c>
      <c r="G2166" s="202" t="s">
        <v>689</v>
      </c>
    </row>
    <row r="2167" spans="1:7" hidden="1">
      <c r="A2167" s="202" t="s">
        <v>1379</v>
      </c>
      <c r="B2167" s="203">
        <v>13200</v>
      </c>
      <c r="C2167" s="203">
        <v>0</v>
      </c>
      <c r="D2167" s="202" t="s">
        <v>441</v>
      </c>
      <c r="E2167" s="202" t="s">
        <v>639</v>
      </c>
      <c r="F2167" s="202" t="s">
        <v>653</v>
      </c>
      <c r="G2167" s="202" t="s">
        <v>689</v>
      </c>
    </row>
    <row r="2168" spans="1:7" hidden="1">
      <c r="A2168" s="202" t="s">
        <v>1380</v>
      </c>
      <c r="B2168" s="203">
        <v>1300</v>
      </c>
      <c r="C2168" s="203">
        <v>0</v>
      </c>
      <c r="D2168" s="202" t="s">
        <v>443</v>
      </c>
      <c r="E2168" s="202" t="s">
        <v>639</v>
      </c>
      <c r="F2168" s="202" t="s">
        <v>397</v>
      </c>
      <c r="G2168" s="202" t="s">
        <v>689</v>
      </c>
    </row>
    <row r="2169" spans="1:7" hidden="1">
      <c r="A2169" s="202" t="s">
        <v>1381</v>
      </c>
      <c r="B2169" s="203">
        <v>6900</v>
      </c>
      <c r="C2169" s="203">
        <v>0</v>
      </c>
      <c r="D2169" s="202" t="s">
        <v>441</v>
      </c>
      <c r="E2169" s="202" t="s">
        <v>639</v>
      </c>
      <c r="F2169" s="202" t="s">
        <v>653</v>
      </c>
      <c r="G2169" s="202" t="s">
        <v>689</v>
      </c>
    </row>
    <row r="2170" spans="1:7" hidden="1">
      <c r="A2170" s="202" t="s">
        <v>1382</v>
      </c>
      <c r="B2170" s="203">
        <v>14500</v>
      </c>
      <c r="C2170" s="203">
        <v>0</v>
      </c>
      <c r="D2170" s="202" t="s">
        <v>443</v>
      </c>
      <c r="E2170" s="202" t="s">
        <v>639</v>
      </c>
      <c r="F2170" s="202" t="s">
        <v>397</v>
      </c>
      <c r="G2170" s="202" t="s">
        <v>689</v>
      </c>
    </row>
    <row r="2171" spans="1:7" hidden="1">
      <c r="A2171" s="202" t="s">
        <v>1383</v>
      </c>
      <c r="B2171" s="203">
        <v>5500</v>
      </c>
      <c r="C2171" s="203">
        <v>0</v>
      </c>
      <c r="D2171" s="202" t="s">
        <v>441</v>
      </c>
      <c r="E2171" s="202" t="s">
        <v>639</v>
      </c>
      <c r="F2171" s="202" t="s">
        <v>653</v>
      </c>
      <c r="G2171" s="202" t="s">
        <v>689</v>
      </c>
    </row>
    <row r="2172" spans="1:7" hidden="1">
      <c r="A2172" s="202" t="s">
        <v>1384</v>
      </c>
      <c r="B2172" s="203">
        <v>12300</v>
      </c>
      <c r="C2172" s="203">
        <v>0</v>
      </c>
      <c r="D2172" s="202" t="s">
        <v>441</v>
      </c>
      <c r="E2172" s="202" t="s">
        <v>639</v>
      </c>
      <c r="F2172" s="202" t="s">
        <v>653</v>
      </c>
      <c r="G2172" s="202" t="s">
        <v>689</v>
      </c>
    </row>
    <row r="2173" spans="1:7" hidden="1">
      <c r="A2173" s="202" t="s">
        <v>1385</v>
      </c>
      <c r="B2173" s="203">
        <v>8000</v>
      </c>
      <c r="C2173" s="203">
        <v>0</v>
      </c>
      <c r="D2173" s="202" t="s">
        <v>441</v>
      </c>
      <c r="E2173" s="202" t="s">
        <v>639</v>
      </c>
      <c r="F2173" s="202" t="s">
        <v>653</v>
      </c>
      <c r="G2173" s="202" t="s">
        <v>689</v>
      </c>
    </row>
    <row r="2174" spans="1:7" hidden="1">
      <c r="A2174" s="202" t="s">
        <v>1386</v>
      </c>
      <c r="B2174" s="203">
        <v>8500</v>
      </c>
      <c r="C2174" s="203">
        <v>0</v>
      </c>
      <c r="D2174" s="202" t="s">
        <v>441</v>
      </c>
      <c r="E2174" s="202" t="s">
        <v>639</v>
      </c>
      <c r="F2174" s="202" t="s">
        <v>653</v>
      </c>
      <c r="G2174" s="202" t="s">
        <v>689</v>
      </c>
    </row>
    <row r="2175" spans="1:7" hidden="1">
      <c r="A2175" s="202" t="s">
        <v>1387</v>
      </c>
      <c r="B2175" s="203">
        <v>8400</v>
      </c>
      <c r="C2175" s="203">
        <v>0</v>
      </c>
      <c r="D2175" s="202" t="s">
        <v>443</v>
      </c>
      <c r="E2175" s="202" t="s">
        <v>639</v>
      </c>
      <c r="F2175" s="202" t="s">
        <v>397</v>
      </c>
      <c r="G2175" s="202" t="s">
        <v>689</v>
      </c>
    </row>
    <row r="2176" spans="1:7" hidden="1">
      <c r="A2176" s="202" t="s">
        <v>1388</v>
      </c>
      <c r="B2176" s="203">
        <v>82700</v>
      </c>
      <c r="C2176" s="203">
        <v>0</v>
      </c>
      <c r="D2176" s="202" t="s">
        <v>441</v>
      </c>
      <c r="E2176" s="202" t="s">
        <v>639</v>
      </c>
      <c r="F2176" s="202" t="s">
        <v>410</v>
      </c>
      <c r="G2176" s="202" t="s">
        <v>689</v>
      </c>
    </row>
    <row r="2177" spans="1:7" hidden="1">
      <c r="A2177" s="202" t="s">
        <v>1389</v>
      </c>
      <c r="B2177" s="203">
        <v>16200</v>
      </c>
      <c r="C2177" s="203">
        <v>0</v>
      </c>
      <c r="D2177" s="202" t="s">
        <v>443</v>
      </c>
      <c r="E2177" s="202" t="s">
        <v>639</v>
      </c>
      <c r="F2177" s="202" t="s">
        <v>397</v>
      </c>
      <c r="G2177" s="202" t="s">
        <v>689</v>
      </c>
    </row>
    <row r="2178" spans="1:7" hidden="1">
      <c r="A2178" s="202" t="s">
        <v>1390</v>
      </c>
      <c r="B2178" s="203">
        <v>1600</v>
      </c>
      <c r="C2178" s="203">
        <v>0</v>
      </c>
      <c r="D2178" s="202" t="s">
        <v>443</v>
      </c>
      <c r="E2178" s="202" t="s">
        <v>639</v>
      </c>
      <c r="F2178" s="202" t="s">
        <v>397</v>
      </c>
      <c r="G2178" s="202" t="s">
        <v>689</v>
      </c>
    </row>
    <row r="2179" spans="1:7" hidden="1">
      <c r="A2179" s="202" t="s">
        <v>1391</v>
      </c>
      <c r="B2179" s="203">
        <v>1250</v>
      </c>
      <c r="C2179" s="203">
        <v>0</v>
      </c>
      <c r="D2179" s="202" t="s">
        <v>441</v>
      </c>
      <c r="E2179" s="202" t="s">
        <v>639</v>
      </c>
      <c r="F2179" s="202" t="s">
        <v>653</v>
      </c>
      <c r="G2179" s="202" t="s">
        <v>689</v>
      </c>
    </row>
    <row r="2180" spans="1:7" hidden="1">
      <c r="A2180" s="202" t="s">
        <v>1392</v>
      </c>
      <c r="B2180" s="203">
        <v>2513</v>
      </c>
      <c r="C2180" s="203">
        <v>0</v>
      </c>
      <c r="D2180" s="202" t="s">
        <v>441</v>
      </c>
      <c r="E2180" s="202" t="s">
        <v>639</v>
      </c>
      <c r="F2180" s="202" t="s">
        <v>653</v>
      </c>
      <c r="G2180" s="202" t="s">
        <v>689</v>
      </c>
    </row>
    <row r="2181" spans="1:7" hidden="1">
      <c r="A2181" s="202" t="s">
        <v>1393</v>
      </c>
      <c r="B2181" s="203">
        <v>16800</v>
      </c>
      <c r="C2181" s="203">
        <v>0</v>
      </c>
      <c r="D2181" s="202" t="s">
        <v>441</v>
      </c>
      <c r="E2181" s="202" t="s">
        <v>639</v>
      </c>
      <c r="F2181" s="202" t="s">
        <v>653</v>
      </c>
      <c r="G2181" s="202" t="s">
        <v>689</v>
      </c>
    </row>
    <row r="2182" spans="1:7" hidden="1">
      <c r="A2182" s="202" t="s">
        <v>1394</v>
      </c>
      <c r="B2182" s="203">
        <v>1600</v>
      </c>
      <c r="C2182" s="203">
        <v>0</v>
      </c>
      <c r="D2182" s="202" t="s">
        <v>443</v>
      </c>
      <c r="E2182" s="202" t="s">
        <v>639</v>
      </c>
      <c r="F2182" s="202" t="s">
        <v>397</v>
      </c>
      <c r="G2182" s="202" t="s">
        <v>689</v>
      </c>
    </row>
    <row r="2183" spans="1:7" hidden="1">
      <c r="A2183" s="202" t="s">
        <v>1395</v>
      </c>
      <c r="B2183" s="203">
        <v>21400</v>
      </c>
      <c r="C2183" s="203">
        <v>0</v>
      </c>
      <c r="D2183" s="202" t="s">
        <v>441</v>
      </c>
      <c r="E2183" s="202" t="s">
        <v>639</v>
      </c>
      <c r="F2183" s="202" t="s">
        <v>653</v>
      </c>
      <c r="G2183" s="202" t="s">
        <v>689</v>
      </c>
    </row>
    <row r="2184" spans="1:7" hidden="1">
      <c r="A2184" s="202" t="s">
        <v>1396</v>
      </c>
      <c r="B2184" s="203">
        <v>2500</v>
      </c>
      <c r="C2184" s="203">
        <v>0</v>
      </c>
      <c r="D2184" s="202" t="s">
        <v>443</v>
      </c>
      <c r="E2184" s="202" t="s">
        <v>639</v>
      </c>
      <c r="F2184" s="202" t="s">
        <v>397</v>
      </c>
      <c r="G2184" s="202" t="s">
        <v>689</v>
      </c>
    </row>
    <row r="2185" spans="1:7" hidden="1">
      <c r="A2185" s="202" t="s">
        <v>1397</v>
      </c>
      <c r="B2185" s="203">
        <v>2000</v>
      </c>
      <c r="C2185" s="203">
        <v>0</v>
      </c>
      <c r="D2185" s="202" t="s">
        <v>443</v>
      </c>
      <c r="E2185" s="202" t="s">
        <v>639</v>
      </c>
      <c r="F2185" s="202" t="s">
        <v>397</v>
      </c>
      <c r="G2185" s="202" t="s">
        <v>689</v>
      </c>
    </row>
    <row r="2186" spans="1:7" hidden="1">
      <c r="A2186" s="202" t="s">
        <v>1398</v>
      </c>
      <c r="B2186" s="203">
        <v>2000</v>
      </c>
      <c r="C2186" s="203">
        <v>0</v>
      </c>
      <c r="D2186" s="202" t="s">
        <v>443</v>
      </c>
      <c r="E2186" s="202" t="s">
        <v>639</v>
      </c>
      <c r="F2186" s="202" t="s">
        <v>397</v>
      </c>
      <c r="G2186" s="202" t="s">
        <v>689</v>
      </c>
    </row>
    <row r="2187" spans="1:7" hidden="1">
      <c r="A2187" s="202" t="s">
        <v>1399</v>
      </c>
      <c r="B2187" s="203">
        <v>-6300</v>
      </c>
      <c r="C2187" s="203">
        <v>0</v>
      </c>
      <c r="D2187" s="202" t="s">
        <v>441</v>
      </c>
      <c r="E2187" s="202" t="s">
        <v>639</v>
      </c>
      <c r="F2187" s="202" t="s">
        <v>410</v>
      </c>
      <c r="G2187" s="202" t="s">
        <v>689</v>
      </c>
    </row>
    <row r="2188" spans="1:7" hidden="1">
      <c r="A2188" s="202" t="s">
        <v>1400</v>
      </c>
      <c r="B2188" s="203">
        <v>-9100</v>
      </c>
      <c r="C2188" s="203">
        <v>0</v>
      </c>
      <c r="D2188" s="202" t="s">
        <v>441</v>
      </c>
      <c r="E2188" s="202" t="s">
        <v>639</v>
      </c>
      <c r="F2188" s="202" t="s">
        <v>653</v>
      </c>
      <c r="G2188" s="202" t="s">
        <v>689</v>
      </c>
    </row>
    <row r="2189" spans="1:7" hidden="1">
      <c r="A2189" s="202" t="s">
        <v>1401</v>
      </c>
      <c r="B2189" s="203">
        <v>-32000</v>
      </c>
      <c r="C2189" s="203">
        <v>0</v>
      </c>
      <c r="D2189" s="202" t="s">
        <v>441</v>
      </c>
      <c r="E2189" s="202" t="s">
        <v>639</v>
      </c>
      <c r="F2189" s="202" t="s">
        <v>653</v>
      </c>
      <c r="G2189" s="202" t="s">
        <v>689</v>
      </c>
    </row>
    <row r="2190" spans="1:7" hidden="1">
      <c r="A2190" s="202" t="s">
        <v>1402</v>
      </c>
      <c r="B2190" s="203">
        <v>-15800</v>
      </c>
      <c r="C2190" s="203">
        <v>0</v>
      </c>
      <c r="D2190" s="202" t="s">
        <v>443</v>
      </c>
      <c r="E2190" s="202" t="s">
        <v>639</v>
      </c>
      <c r="F2190" s="202" t="s">
        <v>397</v>
      </c>
      <c r="G2190" s="202" t="s">
        <v>689</v>
      </c>
    </row>
    <row r="2191" spans="1:7" hidden="1">
      <c r="A2191" s="202" t="s">
        <v>1402</v>
      </c>
      <c r="B2191" s="203">
        <v>-79600</v>
      </c>
      <c r="C2191" s="203">
        <v>0</v>
      </c>
      <c r="D2191" s="202" t="s">
        <v>475</v>
      </c>
      <c r="E2191" s="202" t="s">
        <v>639</v>
      </c>
      <c r="F2191" s="202" t="s">
        <v>397</v>
      </c>
      <c r="G2191" s="202" t="s">
        <v>689</v>
      </c>
    </row>
    <row r="2192" spans="1:7" hidden="1">
      <c r="A2192" s="202" t="s">
        <v>1403</v>
      </c>
      <c r="B2192" s="203">
        <v>-29500</v>
      </c>
      <c r="C2192" s="203">
        <v>0</v>
      </c>
      <c r="D2192" s="202" t="s">
        <v>441</v>
      </c>
      <c r="E2192" s="202" t="s">
        <v>639</v>
      </c>
      <c r="F2192" s="202" t="s">
        <v>653</v>
      </c>
      <c r="G2192" s="202" t="s">
        <v>689</v>
      </c>
    </row>
    <row r="2193" spans="1:7" hidden="1">
      <c r="A2193" s="202" t="s">
        <v>1404</v>
      </c>
      <c r="B2193" s="203">
        <v>50150</v>
      </c>
      <c r="C2193" s="203">
        <v>0</v>
      </c>
      <c r="D2193" s="202" t="s">
        <v>441</v>
      </c>
      <c r="E2193" s="202" t="s">
        <v>639</v>
      </c>
      <c r="F2193" s="202" t="s">
        <v>653</v>
      </c>
      <c r="G2193" s="202" t="s">
        <v>689</v>
      </c>
    </row>
    <row r="2194" spans="1:7" hidden="1">
      <c r="A2194" s="202" t="s">
        <v>1405</v>
      </c>
      <c r="B2194" s="203">
        <v>20500</v>
      </c>
      <c r="C2194" s="203">
        <v>0</v>
      </c>
      <c r="D2194" s="202" t="s">
        <v>441</v>
      </c>
      <c r="E2194" s="202" t="s">
        <v>639</v>
      </c>
      <c r="F2194" s="202" t="s">
        <v>653</v>
      </c>
      <c r="G2194" s="202" t="s">
        <v>689</v>
      </c>
    </row>
    <row r="2195" spans="1:7" hidden="1">
      <c r="A2195" s="202" t="s">
        <v>1406</v>
      </c>
      <c r="B2195" s="203">
        <v>3500</v>
      </c>
      <c r="C2195" s="203">
        <v>0</v>
      </c>
      <c r="D2195" s="202" t="s">
        <v>443</v>
      </c>
      <c r="E2195" s="202" t="s">
        <v>639</v>
      </c>
      <c r="F2195" s="202" t="s">
        <v>397</v>
      </c>
      <c r="G2195" s="202" t="s">
        <v>689</v>
      </c>
    </row>
    <row r="2196" spans="1:7" hidden="1">
      <c r="A2196" s="202" t="s">
        <v>1407</v>
      </c>
      <c r="B2196" s="203">
        <v>5000</v>
      </c>
      <c r="C2196" s="203">
        <v>0</v>
      </c>
      <c r="D2196" s="202" t="s">
        <v>443</v>
      </c>
      <c r="E2196" s="202" t="s">
        <v>639</v>
      </c>
      <c r="F2196" s="202" t="s">
        <v>397</v>
      </c>
      <c r="G2196" s="202" t="s">
        <v>689</v>
      </c>
    </row>
    <row r="2197" spans="1:7" hidden="1">
      <c r="A2197" s="202" t="s">
        <v>1408</v>
      </c>
      <c r="B2197" s="203">
        <v>4300</v>
      </c>
      <c r="C2197" s="203">
        <v>0</v>
      </c>
      <c r="D2197" s="202" t="s">
        <v>443</v>
      </c>
      <c r="E2197" s="202" t="s">
        <v>639</v>
      </c>
      <c r="F2197" s="202" t="s">
        <v>397</v>
      </c>
      <c r="G2197" s="202" t="s">
        <v>689</v>
      </c>
    </row>
    <row r="2198" spans="1:7" hidden="1">
      <c r="A2198" s="202" t="s">
        <v>1409</v>
      </c>
      <c r="B2198" s="203">
        <v>24600</v>
      </c>
      <c r="C2198" s="203">
        <v>0</v>
      </c>
      <c r="D2198" s="202" t="s">
        <v>441</v>
      </c>
      <c r="E2198" s="202" t="s">
        <v>639</v>
      </c>
      <c r="F2198" s="202" t="s">
        <v>653</v>
      </c>
      <c r="G2198" s="202" t="s">
        <v>689</v>
      </c>
    </row>
    <row r="2199" spans="1:7" hidden="1">
      <c r="A2199" s="202" t="s">
        <v>1410</v>
      </c>
      <c r="B2199" s="203">
        <v>8900</v>
      </c>
      <c r="C2199" s="203">
        <v>0</v>
      </c>
      <c r="D2199" s="202" t="s">
        <v>443</v>
      </c>
      <c r="E2199" s="202" t="s">
        <v>639</v>
      </c>
      <c r="F2199" s="202" t="s">
        <v>397</v>
      </c>
      <c r="G2199" s="202" t="s">
        <v>689</v>
      </c>
    </row>
    <row r="2200" spans="1:7" hidden="1">
      <c r="A2200" s="202" t="s">
        <v>1411</v>
      </c>
      <c r="B2200" s="203">
        <v>51800</v>
      </c>
      <c r="C2200" s="203">
        <v>0</v>
      </c>
      <c r="D2200" s="202" t="s">
        <v>441</v>
      </c>
      <c r="E2200" s="202" t="s">
        <v>639</v>
      </c>
      <c r="F2200" s="202" t="s">
        <v>653</v>
      </c>
      <c r="G2200" s="202" t="s">
        <v>689</v>
      </c>
    </row>
    <row r="2201" spans="1:7" hidden="1">
      <c r="A2201" s="202" t="s">
        <v>1412</v>
      </c>
      <c r="B2201" s="203">
        <v>-10000</v>
      </c>
      <c r="C2201" s="203">
        <v>0</v>
      </c>
      <c r="D2201" s="202" t="s">
        <v>441</v>
      </c>
      <c r="E2201" s="202" t="s">
        <v>639</v>
      </c>
      <c r="F2201" s="202" t="s">
        <v>653</v>
      </c>
      <c r="G2201" s="202" t="s">
        <v>689</v>
      </c>
    </row>
    <row r="2202" spans="1:7" hidden="1">
      <c r="A2202" s="202" t="s">
        <v>1413</v>
      </c>
      <c r="B2202" s="203">
        <v>29600</v>
      </c>
      <c r="C2202" s="203">
        <v>0</v>
      </c>
      <c r="D2202" s="202" t="s">
        <v>475</v>
      </c>
      <c r="E2202" s="202" t="s">
        <v>639</v>
      </c>
      <c r="F2202" s="202" t="s">
        <v>397</v>
      </c>
      <c r="G2202" s="202" t="s">
        <v>689</v>
      </c>
    </row>
    <row r="2203" spans="1:7" hidden="1">
      <c r="A2203" s="202" t="s">
        <v>1414</v>
      </c>
      <c r="B2203" s="203">
        <v>51000</v>
      </c>
      <c r="C2203" s="203">
        <v>0</v>
      </c>
      <c r="D2203" s="202" t="s">
        <v>441</v>
      </c>
      <c r="E2203" s="202" t="s">
        <v>639</v>
      </c>
      <c r="F2203" s="202" t="s">
        <v>653</v>
      </c>
      <c r="G2203" s="202" t="s">
        <v>689</v>
      </c>
    </row>
    <row r="2204" spans="1:7" hidden="1">
      <c r="A2204" s="202" t="s">
        <v>1415</v>
      </c>
      <c r="B2204" s="203">
        <v>3200</v>
      </c>
      <c r="C2204" s="203">
        <v>0</v>
      </c>
      <c r="D2204" s="202" t="s">
        <v>443</v>
      </c>
      <c r="E2204" s="202" t="s">
        <v>639</v>
      </c>
      <c r="F2204" s="202" t="s">
        <v>397</v>
      </c>
      <c r="G2204" s="202" t="s">
        <v>689</v>
      </c>
    </row>
    <row r="2205" spans="1:7" hidden="1">
      <c r="A2205" s="202" t="s">
        <v>1416</v>
      </c>
      <c r="B2205" s="203">
        <v>3100</v>
      </c>
      <c r="C2205" s="203">
        <v>0</v>
      </c>
      <c r="D2205" s="202" t="s">
        <v>443</v>
      </c>
      <c r="E2205" s="202" t="s">
        <v>639</v>
      </c>
      <c r="F2205" s="202" t="s">
        <v>397</v>
      </c>
      <c r="G2205" s="202" t="s">
        <v>689</v>
      </c>
    </row>
    <row r="2206" spans="1:7" hidden="1">
      <c r="A2206" s="202" t="s">
        <v>1417</v>
      </c>
      <c r="B2206" s="203">
        <v>-12400</v>
      </c>
      <c r="C2206" s="203">
        <v>0</v>
      </c>
      <c r="D2206" s="202" t="s">
        <v>441</v>
      </c>
      <c r="E2206" s="202" t="s">
        <v>639</v>
      </c>
      <c r="F2206" s="202" t="s">
        <v>653</v>
      </c>
      <c r="G2206" s="202" t="s">
        <v>689</v>
      </c>
    </row>
    <row r="2207" spans="1:7" hidden="1">
      <c r="A2207" s="202" t="s">
        <v>1418</v>
      </c>
      <c r="B2207" s="203">
        <v>100000</v>
      </c>
      <c r="C2207" s="203">
        <v>0</v>
      </c>
      <c r="D2207" s="202" t="s">
        <v>441</v>
      </c>
      <c r="E2207" s="202" t="s">
        <v>639</v>
      </c>
      <c r="F2207" s="202" t="s">
        <v>653</v>
      </c>
      <c r="G2207" s="202" t="s">
        <v>689</v>
      </c>
    </row>
    <row r="2208" spans="1:7" hidden="1">
      <c r="A2208" s="202" t="s">
        <v>1419</v>
      </c>
      <c r="B2208" s="203">
        <v>29900</v>
      </c>
      <c r="C2208" s="203">
        <v>0</v>
      </c>
      <c r="D2208" s="202" t="s">
        <v>441</v>
      </c>
      <c r="E2208" s="202" t="s">
        <v>639</v>
      </c>
      <c r="F2208" s="202" t="s">
        <v>653</v>
      </c>
      <c r="G2208" s="202" t="s">
        <v>689</v>
      </c>
    </row>
    <row r="2209" spans="1:7" hidden="1">
      <c r="A2209" s="202" t="s">
        <v>1420</v>
      </c>
      <c r="B2209" s="203">
        <v>47500</v>
      </c>
      <c r="C2209" s="203">
        <v>0</v>
      </c>
      <c r="D2209" s="202" t="s">
        <v>441</v>
      </c>
      <c r="E2209" s="202" t="s">
        <v>639</v>
      </c>
      <c r="F2209" s="202" t="s">
        <v>653</v>
      </c>
      <c r="G2209" s="202" t="s">
        <v>689</v>
      </c>
    </row>
    <row r="2210" spans="1:7" hidden="1">
      <c r="A2210" s="202" t="s">
        <v>1421</v>
      </c>
      <c r="B2210" s="203">
        <v>2200</v>
      </c>
      <c r="C2210" s="203">
        <v>0</v>
      </c>
      <c r="D2210" s="202" t="s">
        <v>443</v>
      </c>
      <c r="E2210" s="202" t="s">
        <v>639</v>
      </c>
      <c r="F2210" s="202" t="s">
        <v>397</v>
      </c>
      <c r="G2210" s="202" t="s">
        <v>689</v>
      </c>
    </row>
    <row r="2211" spans="1:7" hidden="1">
      <c r="A2211" s="202" t="s">
        <v>1422</v>
      </c>
      <c r="B2211" s="203">
        <v>1050</v>
      </c>
      <c r="C2211" s="203">
        <v>0</v>
      </c>
      <c r="D2211" s="202" t="s">
        <v>443</v>
      </c>
      <c r="E2211" s="202" t="s">
        <v>639</v>
      </c>
      <c r="F2211" s="202" t="s">
        <v>397</v>
      </c>
      <c r="G2211" s="202" t="s">
        <v>689</v>
      </c>
    </row>
    <row r="2212" spans="1:7" hidden="1">
      <c r="A2212" s="202" t="s">
        <v>1423</v>
      </c>
      <c r="B2212" s="203">
        <v>3000</v>
      </c>
      <c r="C2212" s="203">
        <v>0</v>
      </c>
      <c r="D2212" s="202" t="s">
        <v>443</v>
      </c>
      <c r="E2212" s="202" t="s">
        <v>639</v>
      </c>
      <c r="F2212" s="202" t="s">
        <v>397</v>
      </c>
      <c r="G2212" s="202" t="s">
        <v>689</v>
      </c>
    </row>
    <row r="2213" spans="1:7" hidden="1">
      <c r="A2213" s="202" t="s">
        <v>1424</v>
      </c>
      <c r="B2213" s="203">
        <v>16100</v>
      </c>
      <c r="C2213" s="203">
        <v>0</v>
      </c>
      <c r="D2213" s="202" t="s">
        <v>441</v>
      </c>
      <c r="E2213" s="202" t="s">
        <v>639</v>
      </c>
      <c r="F2213" s="202" t="s">
        <v>653</v>
      </c>
      <c r="G2213" s="202" t="s">
        <v>689</v>
      </c>
    </row>
    <row r="2214" spans="1:7" hidden="1">
      <c r="A2214" s="202" t="s">
        <v>1425</v>
      </c>
      <c r="B2214" s="203">
        <v>3200</v>
      </c>
      <c r="C2214" s="203">
        <v>0</v>
      </c>
      <c r="D2214" s="202" t="s">
        <v>443</v>
      </c>
      <c r="E2214" s="202" t="s">
        <v>639</v>
      </c>
      <c r="F2214" s="202" t="s">
        <v>397</v>
      </c>
      <c r="G2214" s="202" t="s">
        <v>689</v>
      </c>
    </row>
    <row r="2215" spans="1:7" hidden="1">
      <c r="A2215" s="202" t="s">
        <v>1426</v>
      </c>
      <c r="B2215" s="203">
        <v>2300</v>
      </c>
      <c r="C2215" s="203">
        <v>0</v>
      </c>
      <c r="D2215" s="202" t="s">
        <v>443</v>
      </c>
      <c r="E2215" s="202" t="s">
        <v>639</v>
      </c>
      <c r="F2215" s="202" t="s">
        <v>397</v>
      </c>
      <c r="G2215" s="202" t="s">
        <v>689</v>
      </c>
    </row>
    <row r="2216" spans="1:7" hidden="1">
      <c r="A2216" s="202" t="s">
        <v>1427</v>
      </c>
      <c r="B2216" s="203">
        <v>2500</v>
      </c>
      <c r="C2216" s="203">
        <v>0</v>
      </c>
      <c r="D2216" s="202" t="s">
        <v>443</v>
      </c>
      <c r="E2216" s="202" t="s">
        <v>639</v>
      </c>
      <c r="F2216" s="202" t="s">
        <v>397</v>
      </c>
      <c r="G2216" s="202" t="s">
        <v>689</v>
      </c>
    </row>
    <row r="2217" spans="1:7" hidden="1">
      <c r="A2217" s="202" t="s">
        <v>1428</v>
      </c>
      <c r="B2217" s="203">
        <v>3700</v>
      </c>
      <c r="C2217" s="203">
        <v>0</v>
      </c>
      <c r="D2217" s="202" t="s">
        <v>443</v>
      </c>
      <c r="E2217" s="202" t="s">
        <v>639</v>
      </c>
      <c r="F2217" s="202" t="s">
        <v>397</v>
      </c>
      <c r="G2217" s="202" t="s">
        <v>689</v>
      </c>
    </row>
    <row r="2218" spans="1:7" hidden="1">
      <c r="A2218" s="202" t="s">
        <v>1429</v>
      </c>
      <c r="B2218" s="203">
        <v>25400</v>
      </c>
      <c r="C2218" s="203">
        <v>0</v>
      </c>
      <c r="D2218" s="202" t="s">
        <v>441</v>
      </c>
      <c r="E2218" s="202" t="s">
        <v>639</v>
      </c>
      <c r="F2218" s="202" t="s">
        <v>653</v>
      </c>
      <c r="G2218" s="202" t="s">
        <v>689</v>
      </c>
    </row>
    <row r="2219" spans="1:7" hidden="1">
      <c r="A2219" s="202" t="s">
        <v>1430</v>
      </c>
      <c r="B2219" s="203">
        <v>54600</v>
      </c>
      <c r="C2219" s="203">
        <v>0</v>
      </c>
      <c r="D2219" s="202" t="s">
        <v>441</v>
      </c>
      <c r="E2219" s="202" t="s">
        <v>639</v>
      </c>
      <c r="F2219" s="202" t="s">
        <v>653</v>
      </c>
      <c r="G2219" s="202" t="s">
        <v>689</v>
      </c>
    </row>
    <row r="2220" spans="1:7" hidden="1">
      <c r="A2220" s="202" t="s">
        <v>1431</v>
      </c>
      <c r="B2220" s="203">
        <v>36000</v>
      </c>
      <c r="C2220" s="203">
        <v>0</v>
      </c>
      <c r="D2220" s="202" t="s">
        <v>441</v>
      </c>
      <c r="E2220" s="202" t="s">
        <v>639</v>
      </c>
      <c r="F2220" s="202" t="s">
        <v>653</v>
      </c>
      <c r="G2220" s="202" t="s">
        <v>689</v>
      </c>
    </row>
    <row r="2221" spans="1:7" hidden="1">
      <c r="A2221" s="202" t="s">
        <v>1432</v>
      </c>
      <c r="B2221" s="203">
        <v>126700</v>
      </c>
      <c r="C2221" s="203">
        <v>0</v>
      </c>
      <c r="D2221" s="202" t="s">
        <v>441</v>
      </c>
      <c r="E2221" s="202" t="s">
        <v>639</v>
      </c>
      <c r="F2221" s="202" t="s">
        <v>410</v>
      </c>
      <c r="G2221" s="202" t="s">
        <v>689</v>
      </c>
    </row>
    <row r="2222" spans="1:7" hidden="1">
      <c r="A2222" s="202" t="s">
        <v>1433</v>
      </c>
      <c r="B2222" s="203">
        <v>3600</v>
      </c>
      <c r="C2222" s="203">
        <v>0</v>
      </c>
      <c r="D2222" s="202" t="s">
        <v>441</v>
      </c>
      <c r="E2222" s="202" t="s">
        <v>639</v>
      </c>
      <c r="F2222" s="202" t="s">
        <v>653</v>
      </c>
      <c r="G2222" s="202" t="s">
        <v>689</v>
      </c>
    </row>
    <row r="2223" spans="1:7" hidden="1">
      <c r="A2223" s="202" t="s">
        <v>1434</v>
      </c>
      <c r="B2223" s="203">
        <v>20200</v>
      </c>
      <c r="C2223" s="203">
        <v>0</v>
      </c>
      <c r="D2223" s="202" t="s">
        <v>475</v>
      </c>
      <c r="E2223" s="202" t="s">
        <v>639</v>
      </c>
      <c r="F2223" s="202" t="s">
        <v>397</v>
      </c>
      <c r="G2223" s="202" t="s">
        <v>689</v>
      </c>
    </row>
    <row r="2224" spans="1:7" hidden="1">
      <c r="A2224" s="202" t="s">
        <v>1435</v>
      </c>
      <c r="B2224" s="203">
        <v>-129200</v>
      </c>
      <c r="C2224" s="203">
        <v>0</v>
      </c>
      <c r="D2224" s="202" t="s">
        <v>441</v>
      </c>
      <c r="E2224" s="202" t="s">
        <v>639</v>
      </c>
      <c r="F2224" s="202" t="s">
        <v>653</v>
      </c>
      <c r="G2224" s="202" t="s">
        <v>689</v>
      </c>
    </row>
    <row r="2225" spans="1:7" hidden="1">
      <c r="A2225" s="202" t="s">
        <v>1436</v>
      </c>
      <c r="B2225" s="203">
        <v>-3900</v>
      </c>
      <c r="C2225" s="203">
        <v>0</v>
      </c>
      <c r="D2225" s="202" t="s">
        <v>443</v>
      </c>
      <c r="E2225" s="202" t="s">
        <v>639</v>
      </c>
      <c r="F2225" s="202" t="s">
        <v>397</v>
      </c>
      <c r="G2225" s="202" t="s">
        <v>689</v>
      </c>
    </row>
    <row r="2226" spans="1:7" hidden="1">
      <c r="A2226" s="202" t="s">
        <v>1437</v>
      </c>
      <c r="B2226" s="203">
        <v>-5600</v>
      </c>
      <c r="C2226" s="203">
        <v>0</v>
      </c>
      <c r="D2226" s="202" t="s">
        <v>443</v>
      </c>
      <c r="E2226" s="202" t="s">
        <v>639</v>
      </c>
      <c r="F2226" s="202" t="s">
        <v>397</v>
      </c>
      <c r="G2226" s="202" t="s">
        <v>689</v>
      </c>
    </row>
    <row r="2227" spans="1:7" hidden="1">
      <c r="A2227" s="202" t="s">
        <v>1438</v>
      </c>
      <c r="B2227" s="203">
        <v>35900</v>
      </c>
      <c r="C2227" s="203">
        <v>0</v>
      </c>
      <c r="D2227" s="202" t="s">
        <v>441</v>
      </c>
      <c r="E2227" s="202" t="s">
        <v>639</v>
      </c>
      <c r="F2227" s="202" t="s">
        <v>653</v>
      </c>
      <c r="G2227" s="202" t="s">
        <v>689</v>
      </c>
    </row>
    <row r="2228" spans="1:7" hidden="1">
      <c r="A2228" s="202" t="s">
        <v>1439</v>
      </c>
      <c r="B2228" s="203">
        <v>6500</v>
      </c>
      <c r="C2228" s="203">
        <v>0</v>
      </c>
      <c r="D2228" s="202" t="s">
        <v>441</v>
      </c>
      <c r="E2228" s="202" t="s">
        <v>639</v>
      </c>
      <c r="F2228" s="202" t="s">
        <v>653</v>
      </c>
      <c r="G2228" s="202" t="s">
        <v>689</v>
      </c>
    </row>
    <row r="2229" spans="1:7" hidden="1">
      <c r="A2229" s="202" t="s">
        <v>1440</v>
      </c>
      <c r="B2229" s="203">
        <v>5400</v>
      </c>
      <c r="C2229" s="203">
        <v>0</v>
      </c>
      <c r="D2229" s="202" t="s">
        <v>443</v>
      </c>
      <c r="E2229" s="202" t="s">
        <v>639</v>
      </c>
      <c r="F2229" s="202" t="s">
        <v>397</v>
      </c>
      <c r="G2229" s="202" t="s">
        <v>689</v>
      </c>
    </row>
    <row r="2230" spans="1:7" hidden="1">
      <c r="A2230" s="202" t="s">
        <v>1441</v>
      </c>
      <c r="B2230" s="203">
        <v>2540</v>
      </c>
      <c r="C2230" s="203">
        <v>0</v>
      </c>
      <c r="D2230" s="202" t="s">
        <v>443</v>
      </c>
      <c r="E2230" s="202" t="s">
        <v>639</v>
      </c>
      <c r="F2230" s="202" t="s">
        <v>397</v>
      </c>
      <c r="G2230" s="202" t="s">
        <v>689</v>
      </c>
    </row>
    <row r="2231" spans="1:7" hidden="1">
      <c r="A2231" s="202" t="s">
        <v>1442</v>
      </c>
      <c r="B2231" s="203">
        <v>2000</v>
      </c>
      <c r="C2231" s="203">
        <v>0</v>
      </c>
      <c r="D2231" s="202" t="s">
        <v>443</v>
      </c>
      <c r="E2231" s="202" t="s">
        <v>639</v>
      </c>
      <c r="F2231" s="202" t="s">
        <v>397</v>
      </c>
      <c r="G2231" s="202" t="s">
        <v>689</v>
      </c>
    </row>
    <row r="2232" spans="1:7" hidden="1">
      <c r="A2232" s="202" t="s">
        <v>1443</v>
      </c>
      <c r="B2232" s="203">
        <v>3272</v>
      </c>
      <c r="C2232" s="203">
        <v>0</v>
      </c>
      <c r="D2232" s="202" t="s">
        <v>441</v>
      </c>
      <c r="E2232" s="202" t="s">
        <v>639</v>
      </c>
      <c r="F2232" s="202" t="s">
        <v>653</v>
      </c>
      <c r="G2232" s="202" t="s">
        <v>689</v>
      </c>
    </row>
    <row r="2233" spans="1:7" hidden="1">
      <c r="A2233" s="202" t="s">
        <v>1444</v>
      </c>
      <c r="B2233" s="203">
        <v>20000</v>
      </c>
      <c r="C2233" s="203">
        <v>0</v>
      </c>
      <c r="D2233" s="202" t="s">
        <v>441</v>
      </c>
      <c r="E2233" s="202" t="s">
        <v>639</v>
      </c>
      <c r="F2233" s="202" t="s">
        <v>653</v>
      </c>
      <c r="G2233" s="202" t="s">
        <v>689</v>
      </c>
    </row>
    <row r="2234" spans="1:7" hidden="1">
      <c r="A2234" s="202" t="s">
        <v>1445</v>
      </c>
      <c r="B2234" s="203">
        <v>17400</v>
      </c>
      <c r="C2234" s="203">
        <v>0</v>
      </c>
      <c r="D2234" s="202" t="s">
        <v>441</v>
      </c>
      <c r="E2234" s="202" t="s">
        <v>639</v>
      </c>
      <c r="F2234" s="202" t="s">
        <v>653</v>
      </c>
      <c r="G2234" s="202" t="s">
        <v>689</v>
      </c>
    </row>
    <row r="2235" spans="1:7" hidden="1">
      <c r="A2235" s="202" t="s">
        <v>1446</v>
      </c>
      <c r="B2235" s="203">
        <v>1700</v>
      </c>
      <c r="C2235" s="203">
        <v>0</v>
      </c>
      <c r="D2235" s="202" t="s">
        <v>443</v>
      </c>
      <c r="E2235" s="202" t="s">
        <v>639</v>
      </c>
      <c r="F2235" s="202" t="s">
        <v>397</v>
      </c>
      <c r="G2235" s="202" t="s">
        <v>689</v>
      </c>
    </row>
    <row r="2236" spans="1:7" hidden="1">
      <c r="A2236" s="202" t="s">
        <v>1447</v>
      </c>
      <c r="B2236" s="203">
        <v>-28000</v>
      </c>
      <c r="C2236" s="203">
        <v>0</v>
      </c>
      <c r="D2236" s="202" t="s">
        <v>441</v>
      </c>
      <c r="E2236" s="202" t="s">
        <v>639</v>
      </c>
      <c r="F2236" s="202" t="s">
        <v>410</v>
      </c>
      <c r="G2236" s="202" t="s">
        <v>689</v>
      </c>
    </row>
    <row r="2237" spans="1:7" hidden="1">
      <c r="A2237" s="202" t="s">
        <v>1448</v>
      </c>
      <c r="B2237" s="203">
        <v>3300</v>
      </c>
      <c r="C2237" s="203">
        <v>0</v>
      </c>
      <c r="D2237" s="202" t="s">
        <v>443</v>
      </c>
      <c r="E2237" s="202" t="s">
        <v>639</v>
      </c>
      <c r="F2237" s="202" t="s">
        <v>397</v>
      </c>
      <c r="G2237" s="202" t="s">
        <v>689</v>
      </c>
    </row>
    <row r="2238" spans="1:7" hidden="1">
      <c r="A2238" s="202" t="s">
        <v>1449</v>
      </c>
      <c r="B2238" s="203">
        <v>52800</v>
      </c>
      <c r="C2238" s="203">
        <v>0</v>
      </c>
      <c r="D2238" s="202" t="s">
        <v>441</v>
      </c>
      <c r="E2238" s="202" t="s">
        <v>639</v>
      </c>
      <c r="F2238" s="202" t="s">
        <v>653</v>
      </c>
      <c r="G2238" s="202" t="s">
        <v>689</v>
      </c>
    </row>
    <row r="2239" spans="1:7" hidden="1">
      <c r="A2239" s="202" t="s">
        <v>1450</v>
      </c>
      <c r="B2239" s="203">
        <v>2100</v>
      </c>
      <c r="C2239" s="203">
        <v>0</v>
      </c>
      <c r="D2239" s="202" t="s">
        <v>443</v>
      </c>
      <c r="E2239" s="202" t="s">
        <v>639</v>
      </c>
      <c r="F2239" s="202" t="s">
        <v>397</v>
      </c>
      <c r="G2239" s="202" t="s">
        <v>689</v>
      </c>
    </row>
    <row r="2240" spans="1:7" hidden="1">
      <c r="A2240" s="202" t="s">
        <v>1451</v>
      </c>
      <c r="B2240" s="203">
        <v>31500</v>
      </c>
      <c r="C2240" s="203">
        <v>0</v>
      </c>
      <c r="D2240" s="202" t="s">
        <v>441</v>
      </c>
      <c r="E2240" s="202" t="s">
        <v>639</v>
      </c>
      <c r="F2240" s="202" t="s">
        <v>653</v>
      </c>
      <c r="G2240" s="202" t="s">
        <v>689</v>
      </c>
    </row>
    <row r="2241" spans="1:7" hidden="1">
      <c r="A2241" s="202" t="s">
        <v>1452</v>
      </c>
      <c r="B2241" s="203">
        <v>21300</v>
      </c>
      <c r="C2241" s="203">
        <v>0</v>
      </c>
      <c r="D2241" s="202" t="s">
        <v>441</v>
      </c>
      <c r="E2241" s="202" t="s">
        <v>639</v>
      </c>
      <c r="F2241" s="202" t="s">
        <v>653</v>
      </c>
      <c r="G2241" s="202" t="s">
        <v>689</v>
      </c>
    </row>
    <row r="2242" spans="1:7" hidden="1">
      <c r="A2242" s="202" t="s">
        <v>1453</v>
      </c>
      <c r="B2242" s="203">
        <v>8300</v>
      </c>
      <c r="C2242" s="203">
        <v>0</v>
      </c>
      <c r="D2242" s="202" t="s">
        <v>441</v>
      </c>
      <c r="E2242" s="202" t="s">
        <v>639</v>
      </c>
      <c r="F2242" s="202" t="s">
        <v>653</v>
      </c>
      <c r="G2242" s="202" t="s">
        <v>689</v>
      </c>
    </row>
    <row r="2243" spans="1:7" hidden="1">
      <c r="A2243" s="202" t="s">
        <v>1454</v>
      </c>
      <c r="B2243" s="203">
        <v>19900</v>
      </c>
      <c r="C2243" s="203">
        <v>0</v>
      </c>
      <c r="D2243" s="202" t="s">
        <v>441</v>
      </c>
      <c r="E2243" s="202" t="s">
        <v>639</v>
      </c>
      <c r="F2243" s="202" t="s">
        <v>653</v>
      </c>
      <c r="G2243" s="202" t="s">
        <v>689</v>
      </c>
    </row>
    <row r="2244" spans="1:7" hidden="1">
      <c r="A2244" s="202" t="s">
        <v>1455</v>
      </c>
      <c r="B2244" s="203">
        <v>25600</v>
      </c>
      <c r="C2244" s="203">
        <v>0</v>
      </c>
      <c r="D2244" s="202" t="s">
        <v>441</v>
      </c>
      <c r="E2244" s="202" t="s">
        <v>639</v>
      </c>
      <c r="F2244" s="202" t="s">
        <v>653</v>
      </c>
      <c r="G2244" s="202" t="s">
        <v>689</v>
      </c>
    </row>
    <row r="2245" spans="1:7" hidden="1">
      <c r="A2245" s="202" t="s">
        <v>1456</v>
      </c>
      <c r="B2245" s="203">
        <v>7700</v>
      </c>
      <c r="C2245" s="203">
        <v>0</v>
      </c>
      <c r="D2245" s="202" t="s">
        <v>441</v>
      </c>
      <c r="E2245" s="202" t="s">
        <v>639</v>
      </c>
      <c r="F2245" s="202" t="s">
        <v>653</v>
      </c>
      <c r="G2245" s="202" t="s">
        <v>689</v>
      </c>
    </row>
    <row r="2246" spans="1:7" hidden="1">
      <c r="A2246" s="202" t="s">
        <v>1457</v>
      </c>
      <c r="B2246" s="203">
        <v>4000</v>
      </c>
      <c r="C2246" s="203">
        <v>0</v>
      </c>
      <c r="D2246" s="202" t="s">
        <v>441</v>
      </c>
      <c r="E2246" s="202" t="s">
        <v>639</v>
      </c>
      <c r="F2246" s="202" t="s">
        <v>653</v>
      </c>
      <c r="G2246" s="202" t="s">
        <v>689</v>
      </c>
    </row>
    <row r="2247" spans="1:7" hidden="1">
      <c r="A2247" s="202" t="s">
        <v>1458</v>
      </c>
      <c r="B2247" s="203">
        <v>10700</v>
      </c>
      <c r="C2247" s="203">
        <v>0</v>
      </c>
      <c r="D2247" s="202" t="s">
        <v>441</v>
      </c>
      <c r="E2247" s="202" t="s">
        <v>639</v>
      </c>
      <c r="F2247" s="202" t="s">
        <v>653</v>
      </c>
      <c r="G2247" s="202" t="s">
        <v>689</v>
      </c>
    </row>
    <row r="2248" spans="1:7" hidden="1">
      <c r="A2248" s="202" t="s">
        <v>1459</v>
      </c>
      <c r="B2248" s="203">
        <v>11900</v>
      </c>
      <c r="C2248" s="203">
        <v>0</v>
      </c>
      <c r="D2248" s="202" t="s">
        <v>443</v>
      </c>
      <c r="E2248" s="202" t="s">
        <v>639</v>
      </c>
      <c r="F2248" s="202" t="s">
        <v>397</v>
      </c>
      <c r="G2248" s="202" t="s">
        <v>689</v>
      </c>
    </row>
    <row r="2249" spans="1:7" hidden="1">
      <c r="A2249" s="202" t="s">
        <v>1460</v>
      </c>
      <c r="B2249" s="203">
        <v>38200</v>
      </c>
      <c r="C2249" s="203">
        <v>0</v>
      </c>
      <c r="D2249" s="202" t="s">
        <v>441</v>
      </c>
      <c r="E2249" s="202" t="s">
        <v>639</v>
      </c>
      <c r="F2249" s="202" t="s">
        <v>653</v>
      </c>
      <c r="G2249" s="202" t="s">
        <v>689</v>
      </c>
    </row>
    <row r="2250" spans="1:7" hidden="1">
      <c r="A2250" s="202" t="s">
        <v>1461</v>
      </c>
      <c r="B2250" s="203">
        <v>31000</v>
      </c>
      <c r="C2250" s="203">
        <v>0</v>
      </c>
      <c r="D2250" s="202" t="s">
        <v>441</v>
      </c>
      <c r="E2250" s="202" t="s">
        <v>639</v>
      </c>
      <c r="F2250" s="202" t="s">
        <v>653</v>
      </c>
      <c r="G2250" s="202" t="s">
        <v>689</v>
      </c>
    </row>
    <row r="2251" spans="1:7" hidden="1">
      <c r="A2251" s="202" t="s">
        <v>1462</v>
      </c>
      <c r="B2251" s="203">
        <v>5620</v>
      </c>
      <c r="C2251" s="203">
        <v>0</v>
      </c>
      <c r="D2251" s="202" t="s">
        <v>441</v>
      </c>
      <c r="E2251" s="202" t="s">
        <v>639</v>
      </c>
      <c r="F2251" s="202" t="s">
        <v>653</v>
      </c>
      <c r="G2251" s="202" t="s">
        <v>689</v>
      </c>
    </row>
    <row r="2252" spans="1:7" hidden="1">
      <c r="A2252" s="202" t="s">
        <v>1463</v>
      </c>
      <c r="B2252" s="203">
        <v>7300</v>
      </c>
      <c r="C2252" s="203">
        <v>0</v>
      </c>
      <c r="D2252" s="202" t="s">
        <v>441</v>
      </c>
      <c r="E2252" s="202" t="s">
        <v>639</v>
      </c>
      <c r="F2252" s="202" t="s">
        <v>653</v>
      </c>
      <c r="G2252" s="202" t="s">
        <v>689</v>
      </c>
    </row>
    <row r="2253" spans="1:7" hidden="1">
      <c r="A2253" s="202" t="s">
        <v>1464</v>
      </c>
      <c r="B2253" s="203">
        <v>5800</v>
      </c>
      <c r="C2253" s="203">
        <v>0</v>
      </c>
      <c r="D2253" s="202" t="s">
        <v>443</v>
      </c>
      <c r="E2253" s="202" t="s">
        <v>639</v>
      </c>
      <c r="F2253" s="202" t="s">
        <v>397</v>
      </c>
      <c r="G2253" s="202" t="s">
        <v>689</v>
      </c>
    </row>
    <row r="2254" spans="1:7" hidden="1">
      <c r="A2254" s="202" t="s">
        <v>1465</v>
      </c>
      <c r="B2254" s="203">
        <v>5700</v>
      </c>
      <c r="C2254" s="203">
        <v>0</v>
      </c>
      <c r="D2254" s="202" t="s">
        <v>443</v>
      </c>
      <c r="E2254" s="202" t="s">
        <v>639</v>
      </c>
      <c r="F2254" s="202" t="s">
        <v>397</v>
      </c>
      <c r="G2254" s="202" t="s">
        <v>689</v>
      </c>
    </row>
    <row r="2255" spans="1:7" hidden="1">
      <c r="A2255" s="202" t="s">
        <v>1466</v>
      </c>
      <c r="B2255" s="203">
        <v>3400</v>
      </c>
      <c r="C2255" s="203">
        <v>0</v>
      </c>
      <c r="D2255" s="202" t="s">
        <v>443</v>
      </c>
      <c r="E2255" s="202" t="s">
        <v>639</v>
      </c>
      <c r="F2255" s="202" t="s">
        <v>397</v>
      </c>
      <c r="G2255" s="202" t="s">
        <v>689</v>
      </c>
    </row>
    <row r="2256" spans="1:7" hidden="1">
      <c r="A2256" s="202" t="s">
        <v>1467</v>
      </c>
      <c r="B2256" s="203">
        <v>2200</v>
      </c>
      <c r="C2256" s="203">
        <v>0</v>
      </c>
      <c r="D2256" s="202" t="s">
        <v>443</v>
      </c>
      <c r="E2256" s="202" t="s">
        <v>639</v>
      </c>
      <c r="F2256" s="202" t="s">
        <v>397</v>
      </c>
      <c r="G2256" s="202" t="s">
        <v>689</v>
      </c>
    </row>
    <row r="2257" spans="1:7" hidden="1">
      <c r="A2257" s="202" t="s">
        <v>1468</v>
      </c>
      <c r="B2257" s="203">
        <v>32700</v>
      </c>
      <c r="C2257" s="203">
        <v>0</v>
      </c>
      <c r="D2257" s="202" t="s">
        <v>441</v>
      </c>
      <c r="E2257" s="202" t="s">
        <v>639</v>
      </c>
      <c r="F2257" s="202" t="s">
        <v>653</v>
      </c>
      <c r="G2257" s="202" t="s">
        <v>689</v>
      </c>
    </row>
    <row r="2258" spans="1:7" hidden="1">
      <c r="A2258" s="202" t="s">
        <v>1469</v>
      </c>
      <c r="B2258" s="203">
        <v>17100</v>
      </c>
      <c r="C2258" s="203">
        <v>0</v>
      </c>
      <c r="D2258" s="202" t="s">
        <v>441</v>
      </c>
      <c r="E2258" s="202" t="s">
        <v>639</v>
      </c>
      <c r="F2258" s="202" t="s">
        <v>653</v>
      </c>
      <c r="G2258" s="202" t="s">
        <v>689</v>
      </c>
    </row>
    <row r="2259" spans="1:7" hidden="1">
      <c r="A2259" s="202" t="s">
        <v>1470</v>
      </c>
      <c r="B2259" s="203">
        <v>9600</v>
      </c>
      <c r="C2259" s="203">
        <v>0</v>
      </c>
      <c r="D2259" s="202" t="s">
        <v>441</v>
      </c>
      <c r="E2259" s="202" t="s">
        <v>639</v>
      </c>
      <c r="F2259" s="202" t="s">
        <v>653</v>
      </c>
      <c r="G2259" s="202" t="s">
        <v>689</v>
      </c>
    </row>
    <row r="2260" spans="1:7" hidden="1">
      <c r="A2260" s="202" t="s">
        <v>1471</v>
      </c>
      <c r="B2260" s="203">
        <v>41500</v>
      </c>
      <c r="C2260" s="203">
        <v>0</v>
      </c>
      <c r="D2260" s="202" t="s">
        <v>441</v>
      </c>
      <c r="E2260" s="202" t="s">
        <v>639</v>
      </c>
      <c r="F2260" s="202" t="s">
        <v>653</v>
      </c>
      <c r="G2260" s="202" t="s">
        <v>689</v>
      </c>
    </row>
    <row r="2261" spans="1:7" hidden="1">
      <c r="A2261" s="202" t="s">
        <v>1472</v>
      </c>
      <c r="B2261" s="203">
        <v>3600</v>
      </c>
      <c r="C2261" s="203">
        <v>0</v>
      </c>
      <c r="D2261" s="202" t="s">
        <v>443</v>
      </c>
      <c r="E2261" s="202" t="s">
        <v>639</v>
      </c>
      <c r="F2261" s="202" t="s">
        <v>397</v>
      </c>
      <c r="G2261" s="202" t="s">
        <v>689</v>
      </c>
    </row>
    <row r="2262" spans="1:7" hidden="1">
      <c r="A2262" s="202" t="s">
        <v>1473</v>
      </c>
      <c r="B2262" s="203">
        <v>12300</v>
      </c>
      <c r="C2262" s="203">
        <v>0</v>
      </c>
      <c r="D2262" s="202" t="s">
        <v>441</v>
      </c>
      <c r="E2262" s="202" t="s">
        <v>639</v>
      </c>
      <c r="F2262" s="202" t="s">
        <v>653</v>
      </c>
      <c r="G2262" s="202" t="s">
        <v>689</v>
      </c>
    </row>
    <row r="2263" spans="1:7" hidden="1">
      <c r="A2263" s="202" t="s">
        <v>1474</v>
      </c>
      <c r="B2263" s="203">
        <v>1100</v>
      </c>
      <c r="C2263" s="203">
        <v>0</v>
      </c>
      <c r="D2263" s="202" t="s">
        <v>443</v>
      </c>
      <c r="E2263" s="202" t="s">
        <v>639</v>
      </c>
      <c r="F2263" s="202" t="s">
        <v>397</v>
      </c>
      <c r="G2263" s="202" t="s">
        <v>689</v>
      </c>
    </row>
    <row r="2264" spans="1:7" hidden="1">
      <c r="A2264" s="202" t="s">
        <v>1475</v>
      </c>
      <c r="B2264" s="203">
        <v>1000</v>
      </c>
      <c r="C2264" s="203">
        <v>0</v>
      </c>
      <c r="D2264" s="202" t="s">
        <v>443</v>
      </c>
      <c r="E2264" s="202" t="s">
        <v>639</v>
      </c>
      <c r="F2264" s="202" t="s">
        <v>397</v>
      </c>
      <c r="G2264" s="202" t="s">
        <v>689</v>
      </c>
    </row>
    <row r="2265" spans="1:7" hidden="1">
      <c r="A2265" s="202" t="s">
        <v>1476</v>
      </c>
      <c r="B2265" s="203">
        <v>4900</v>
      </c>
      <c r="C2265" s="203">
        <v>0</v>
      </c>
      <c r="D2265" s="202" t="s">
        <v>441</v>
      </c>
      <c r="E2265" s="202" t="s">
        <v>639</v>
      </c>
      <c r="F2265" s="202" t="s">
        <v>653</v>
      </c>
      <c r="G2265" s="202" t="s">
        <v>689</v>
      </c>
    </row>
    <row r="2266" spans="1:7" hidden="1">
      <c r="A2266" s="202" t="s">
        <v>1477</v>
      </c>
      <c r="B2266" s="203">
        <v>700</v>
      </c>
      <c r="C2266" s="203">
        <v>0</v>
      </c>
      <c r="D2266" s="202" t="s">
        <v>443</v>
      </c>
      <c r="E2266" s="202" t="s">
        <v>639</v>
      </c>
      <c r="F2266" s="202" t="s">
        <v>397</v>
      </c>
      <c r="G2266" s="202" t="s">
        <v>689</v>
      </c>
    </row>
    <row r="2267" spans="1:7" hidden="1">
      <c r="A2267" s="202" t="s">
        <v>1478</v>
      </c>
      <c r="B2267" s="203">
        <v>1000</v>
      </c>
      <c r="C2267" s="203">
        <v>0</v>
      </c>
      <c r="D2267" s="202" t="s">
        <v>443</v>
      </c>
      <c r="E2267" s="202" t="s">
        <v>639</v>
      </c>
      <c r="F2267" s="202" t="s">
        <v>397</v>
      </c>
      <c r="G2267" s="202" t="s">
        <v>689</v>
      </c>
    </row>
    <row r="2268" spans="1:7" hidden="1">
      <c r="A2268" s="202" t="s">
        <v>1479</v>
      </c>
      <c r="B2268" s="203">
        <v>700</v>
      </c>
      <c r="C2268" s="203">
        <v>0</v>
      </c>
      <c r="D2268" s="202" t="s">
        <v>443</v>
      </c>
      <c r="E2268" s="202" t="s">
        <v>639</v>
      </c>
      <c r="F2268" s="202" t="s">
        <v>397</v>
      </c>
      <c r="G2268" s="202" t="s">
        <v>689</v>
      </c>
    </row>
    <row r="2269" spans="1:7" hidden="1">
      <c r="A2269" s="202" t="s">
        <v>1480</v>
      </c>
      <c r="B2269" s="203">
        <v>1100</v>
      </c>
      <c r="C2269" s="203">
        <v>0</v>
      </c>
      <c r="D2269" s="202" t="s">
        <v>443</v>
      </c>
      <c r="E2269" s="202" t="s">
        <v>639</v>
      </c>
      <c r="F2269" s="202" t="s">
        <v>397</v>
      </c>
      <c r="G2269" s="202" t="s">
        <v>689</v>
      </c>
    </row>
    <row r="2270" spans="1:7" hidden="1">
      <c r="A2270" s="202" t="s">
        <v>1481</v>
      </c>
      <c r="B2270" s="203">
        <v>2300</v>
      </c>
      <c r="C2270" s="203">
        <v>0</v>
      </c>
      <c r="D2270" s="202" t="s">
        <v>441</v>
      </c>
      <c r="E2270" s="202" t="s">
        <v>639</v>
      </c>
      <c r="F2270" s="202" t="s">
        <v>653</v>
      </c>
      <c r="G2270" s="202" t="s">
        <v>689</v>
      </c>
    </row>
    <row r="2271" spans="1:7" hidden="1">
      <c r="A2271" s="202" t="s">
        <v>1482</v>
      </c>
      <c r="B2271" s="203">
        <v>13200</v>
      </c>
      <c r="C2271" s="203">
        <v>0</v>
      </c>
      <c r="D2271" s="202" t="s">
        <v>441</v>
      </c>
      <c r="E2271" s="202" t="s">
        <v>639</v>
      </c>
      <c r="F2271" s="202" t="s">
        <v>653</v>
      </c>
      <c r="G2271" s="202" t="s">
        <v>689</v>
      </c>
    </row>
    <row r="2272" spans="1:7" hidden="1">
      <c r="A2272" s="202" t="s">
        <v>1483</v>
      </c>
      <c r="B2272" s="203">
        <v>1000</v>
      </c>
      <c r="C2272" s="203">
        <v>0</v>
      </c>
      <c r="D2272" s="202" t="s">
        <v>443</v>
      </c>
      <c r="E2272" s="202" t="s">
        <v>639</v>
      </c>
      <c r="F2272" s="202" t="s">
        <v>397</v>
      </c>
      <c r="G2272" s="202" t="s">
        <v>689</v>
      </c>
    </row>
    <row r="2273" spans="1:7" hidden="1">
      <c r="A2273" s="202" t="s">
        <v>1484</v>
      </c>
      <c r="B2273" s="203">
        <v>7200</v>
      </c>
      <c r="C2273" s="203">
        <v>0</v>
      </c>
      <c r="D2273" s="202" t="s">
        <v>441</v>
      </c>
      <c r="E2273" s="202" t="s">
        <v>639</v>
      </c>
      <c r="F2273" s="202" t="s">
        <v>653</v>
      </c>
      <c r="G2273" s="202" t="s">
        <v>689</v>
      </c>
    </row>
    <row r="2274" spans="1:7" hidden="1">
      <c r="A2274" s="202" t="s">
        <v>1485</v>
      </c>
      <c r="B2274" s="203">
        <v>10300</v>
      </c>
      <c r="C2274" s="203">
        <v>0</v>
      </c>
      <c r="D2274" s="202" t="s">
        <v>441</v>
      </c>
      <c r="E2274" s="202" t="s">
        <v>639</v>
      </c>
      <c r="F2274" s="202" t="s">
        <v>653</v>
      </c>
      <c r="G2274" s="202" t="s">
        <v>689</v>
      </c>
    </row>
    <row r="2275" spans="1:7" hidden="1">
      <c r="A2275" s="202" t="s">
        <v>1486</v>
      </c>
      <c r="B2275" s="203">
        <v>5200</v>
      </c>
      <c r="C2275" s="203">
        <v>0</v>
      </c>
      <c r="D2275" s="202" t="s">
        <v>441</v>
      </c>
      <c r="E2275" s="202" t="s">
        <v>639</v>
      </c>
      <c r="F2275" s="202" t="s">
        <v>653</v>
      </c>
      <c r="G2275" s="202" t="s">
        <v>689</v>
      </c>
    </row>
    <row r="2276" spans="1:7" hidden="1">
      <c r="A2276" s="202" t="s">
        <v>1487</v>
      </c>
      <c r="B2276" s="203">
        <v>-1100</v>
      </c>
      <c r="C2276" s="203">
        <v>0</v>
      </c>
      <c r="D2276" s="202" t="s">
        <v>441</v>
      </c>
      <c r="E2276" s="202" t="s">
        <v>639</v>
      </c>
      <c r="F2276" s="202" t="s">
        <v>410</v>
      </c>
      <c r="G2276" s="202" t="s">
        <v>689</v>
      </c>
    </row>
    <row r="2277" spans="1:7" hidden="1">
      <c r="A2277" s="202" t="s">
        <v>1488</v>
      </c>
      <c r="B2277" s="203">
        <v>1700</v>
      </c>
      <c r="C2277" s="203">
        <v>0</v>
      </c>
      <c r="D2277" s="202" t="s">
        <v>441</v>
      </c>
      <c r="E2277" s="202" t="s">
        <v>639</v>
      </c>
      <c r="F2277" s="202" t="s">
        <v>653</v>
      </c>
      <c r="G2277" s="202" t="s">
        <v>689</v>
      </c>
    </row>
    <row r="2278" spans="1:7" hidden="1">
      <c r="A2278" s="202" t="s">
        <v>1489</v>
      </c>
      <c r="B2278" s="203">
        <v>32200</v>
      </c>
      <c r="C2278" s="203">
        <v>0</v>
      </c>
      <c r="D2278" s="202" t="s">
        <v>441</v>
      </c>
      <c r="E2278" s="202" t="s">
        <v>639</v>
      </c>
      <c r="F2278" s="202" t="s">
        <v>653</v>
      </c>
      <c r="G2278" s="202" t="s">
        <v>689</v>
      </c>
    </row>
    <row r="2279" spans="1:7" hidden="1">
      <c r="A2279" s="202" t="s">
        <v>1490</v>
      </c>
      <c r="B2279" s="203">
        <v>14600</v>
      </c>
      <c r="C2279" s="203">
        <v>0</v>
      </c>
      <c r="D2279" s="202" t="s">
        <v>441</v>
      </c>
      <c r="E2279" s="202" t="s">
        <v>639</v>
      </c>
      <c r="F2279" s="202" t="s">
        <v>653</v>
      </c>
      <c r="G2279" s="202" t="s">
        <v>689</v>
      </c>
    </row>
    <row r="2280" spans="1:7" hidden="1">
      <c r="A2280" s="202" t="s">
        <v>1491</v>
      </c>
      <c r="B2280" s="203">
        <v>5600</v>
      </c>
      <c r="C2280" s="203">
        <v>0</v>
      </c>
      <c r="D2280" s="202" t="s">
        <v>441</v>
      </c>
      <c r="E2280" s="202" t="s">
        <v>639</v>
      </c>
      <c r="F2280" s="202" t="s">
        <v>653</v>
      </c>
      <c r="G2280" s="202" t="s">
        <v>689</v>
      </c>
    </row>
    <row r="2281" spans="1:7" hidden="1">
      <c r="A2281" s="202" t="s">
        <v>1492</v>
      </c>
      <c r="B2281" s="203">
        <v>1900</v>
      </c>
      <c r="C2281" s="203">
        <v>0</v>
      </c>
      <c r="D2281" s="202" t="s">
        <v>443</v>
      </c>
      <c r="E2281" s="202" t="s">
        <v>639</v>
      </c>
      <c r="F2281" s="202" t="s">
        <v>397</v>
      </c>
      <c r="G2281" s="202" t="s">
        <v>689</v>
      </c>
    </row>
    <row r="2282" spans="1:7" hidden="1">
      <c r="A2282" s="202" t="s">
        <v>1493</v>
      </c>
      <c r="B2282" s="203">
        <v>700</v>
      </c>
      <c r="C2282" s="203">
        <v>0</v>
      </c>
      <c r="D2282" s="202" t="s">
        <v>443</v>
      </c>
      <c r="E2282" s="202" t="s">
        <v>639</v>
      </c>
      <c r="F2282" s="202" t="s">
        <v>397</v>
      </c>
      <c r="G2282" s="202" t="s">
        <v>689</v>
      </c>
    </row>
    <row r="2283" spans="1:7" hidden="1">
      <c r="A2283" s="202" t="s">
        <v>1494</v>
      </c>
      <c r="B2283" s="203">
        <v>800</v>
      </c>
      <c r="C2283" s="203">
        <v>0</v>
      </c>
      <c r="D2283" s="202" t="s">
        <v>443</v>
      </c>
      <c r="E2283" s="202" t="s">
        <v>639</v>
      </c>
      <c r="F2283" s="202" t="s">
        <v>397</v>
      </c>
      <c r="G2283" s="202" t="s">
        <v>689</v>
      </c>
    </row>
    <row r="2284" spans="1:7" hidden="1">
      <c r="A2284" s="202" t="s">
        <v>1495</v>
      </c>
      <c r="B2284" s="203">
        <v>800</v>
      </c>
      <c r="C2284" s="203">
        <v>0</v>
      </c>
      <c r="D2284" s="202" t="s">
        <v>443</v>
      </c>
      <c r="E2284" s="202" t="s">
        <v>639</v>
      </c>
      <c r="F2284" s="202" t="s">
        <v>397</v>
      </c>
      <c r="G2284" s="202" t="s">
        <v>689</v>
      </c>
    </row>
    <row r="2285" spans="1:7" hidden="1">
      <c r="A2285" s="202" t="s">
        <v>1496</v>
      </c>
      <c r="B2285" s="203">
        <v>21500</v>
      </c>
      <c r="C2285" s="203">
        <v>0</v>
      </c>
      <c r="D2285" s="202" t="s">
        <v>441</v>
      </c>
      <c r="E2285" s="202" t="s">
        <v>639</v>
      </c>
      <c r="F2285" s="202" t="s">
        <v>653</v>
      </c>
      <c r="G2285" s="202" t="s">
        <v>689</v>
      </c>
    </row>
    <row r="2286" spans="1:7" hidden="1">
      <c r="A2286" s="202" t="s">
        <v>1497</v>
      </c>
      <c r="B2286" s="203">
        <v>600</v>
      </c>
      <c r="C2286" s="203">
        <v>0</v>
      </c>
      <c r="D2286" s="202" t="s">
        <v>443</v>
      </c>
      <c r="E2286" s="202" t="s">
        <v>639</v>
      </c>
      <c r="F2286" s="202" t="s">
        <v>397</v>
      </c>
      <c r="G2286" s="202" t="s">
        <v>689</v>
      </c>
    </row>
    <row r="2287" spans="1:7" hidden="1">
      <c r="A2287" s="202" t="s">
        <v>1498</v>
      </c>
      <c r="B2287" s="203">
        <v>1000</v>
      </c>
      <c r="C2287" s="203">
        <v>0</v>
      </c>
      <c r="D2287" s="202" t="s">
        <v>443</v>
      </c>
      <c r="E2287" s="202" t="s">
        <v>639</v>
      </c>
      <c r="F2287" s="202" t="s">
        <v>397</v>
      </c>
      <c r="G2287" s="202" t="s">
        <v>689</v>
      </c>
    </row>
    <row r="2288" spans="1:7" hidden="1">
      <c r="A2288" s="202" t="s">
        <v>1499</v>
      </c>
      <c r="B2288" s="203">
        <v>4500</v>
      </c>
      <c r="C2288" s="203">
        <v>0</v>
      </c>
      <c r="D2288" s="202" t="s">
        <v>441</v>
      </c>
      <c r="E2288" s="202" t="s">
        <v>639</v>
      </c>
      <c r="F2288" s="202" t="s">
        <v>653</v>
      </c>
      <c r="G2288" s="202" t="s">
        <v>689</v>
      </c>
    </row>
    <row r="2289" spans="1:7" hidden="1">
      <c r="A2289" s="202" t="s">
        <v>1500</v>
      </c>
      <c r="B2289" s="203">
        <v>-123400</v>
      </c>
      <c r="C2289" s="203">
        <v>0</v>
      </c>
      <c r="D2289" s="202" t="s">
        <v>441</v>
      </c>
      <c r="E2289" s="202" t="s">
        <v>639</v>
      </c>
      <c r="F2289" s="202" t="s">
        <v>653</v>
      </c>
      <c r="G2289" s="202" t="s">
        <v>689</v>
      </c>
    </row>
    <row r="2290" spans="1:7" hidden="1">
      <c r="A2290" s="202" t="s">
        <v>1501</v>
      </c>
      <c r="B2290" s="203">
        <v>-39300</v>
      </c>
      <c r="C2290" s="203">
        <v>0</v>
      </c>
      <c r="D2290" s="202" t="s">
        <v>443</v>
      </c>
      <c r="E2290" s="202" t="s">
        <v>639</v>
      </c>
      <c r="F2290" s="202" t="s">
        <v>397</v>
      </c>
      <c r="G2290" s="202" t="s">
        <v>689</v>
      </c>
    </row>
    <row r="2291" spans="1:7" hidden="1">
      <c r="A2291" s="202" t="s">
        <v>1502</v>
      </c>
      <c r="B2291" s="203">
        <v>9180</v>
      </c>
      <c r="C2291" s="203">
        <v>0</v>
      </c>
      <c r="D2291" s="202" t="s">
        <v>441</v>
      </c>
      <c r="E2291" s="202" t="s">
        <v>639</v>
      </c>
      <c r="F2291" s="202" t="s">
        <v>653</v>
      </c>
      <c r="G2291" s="202" t="s">
        <v>689</v>
      </c>
    </row>
    <row r="2292" spans="1:7" hidden="1">
      <c r="A2292" s="202" t="s">
        <v>1503</v>
      </c>
      <c r="B2292" s="203">
        <v>30000</v>
      </c>
      <c r="C2292" s="203">
        <v>0</v>
      </c>
      <c r="D2292" s="202" t="s">
        <v>441</v>
      </c>
      <c r="E2292" s="202" t="s">
        <v>639</v>
      </c>
      <c r="F2292" s="202" t="s">
        <v>653</v>
      </c>
      <c r="G2292" s="202" t="s">
        <v>689</v>
      </c>
    </row>
    <row r="2293" spans="1:7" hidden="1">
      <c r="A2293" s="202" t="s">
        <v>1504</v>
      </c>
      <c r="B2293" s="203">
        <v>8900</v>
      </c>
      <c r="C2293" s="203">
        <v>0</v>
      </c>
      <c r="D2293" s="202" t="s">
        <v>443</v>
      </c>
      <c r="E2293" s="202" t="s">
        <v>639</v>
      </c>
      <c r="F2293" s="202" t="s">
        <v>397</v>
      </c>
      <c r="G2293" s="202" t="s">
        <v>689</v>
      </c>
    </row>
    <row r="2294" spans="1:7" hidden="1">
      <c r="A2294" s="202" t="s">
        <v>1505</v>
      </c>
      <c r="B2294" s="203">
        <v>5100</v>
      </c>
      <c r="C2294" s="203">
        <v>0</v>
      </c>
      <c r="D2294" s="202" t="s">
        <v>443</v>
      </c>
      <c r="E2294" s="202" t="s">
        <v>639</v>
      </c>
      <c r="F2294" s="202" t="s">
        <v>397</v>
      </c>
      <c r="G2294" s="202" t="s">
        <v>689</v>
      </c>
    </row>
    <row r="2295" spans="1:7" hidden="1">
      <c r="A2295" s="202" t="s">
        <v>1506</v>
      </c>
      <c r="B2295" s="203">
        <v>500</v>
      </c>
      <c r="C2295" s="203">
        <v>0</v>
      </c>
      <c r="D2295" s="202" t="s">
        <v>443</v>
      </c>
      <c r="E2295" s="202" t="s">
        <v>639</v>
      </c>
      <c r="F2295" s="202" t="s">
        <v>397</v>
      </c>
      <c r="G2295" s="202" t="s">
        <v>689</v>
      </c>
    </row>
    <row r="2296" spans="1:7" hidden="1">
      <c r="A2296" s="202" t="s">
        <v>1507</v>
      </c>
      <c r="B2296" s="203">
        <v>-26515</v>
      </c>
      <c r="C2296" s="203">
        <v>0</v>
      </c>
      <c r="D2296" s="202" t="s">
        <v>443</v>
      </c>
      <c r="E2296" s="202" t="s">
        <v>639</v>
      </c>
      <c r="F2296" s="202" t="s">
        <v>397</v>
      </c>
      <c r="G2296" s="202" t="s">
        <v>689</v>
      </c>
    </row>
    <row r="2297" spans="1:7" hidden="1">
      <c r="A2297" s="202" t="s">
        <v>1507</v>
      </c>
      <c r="B2297" s="203">
        <v>-6100</v>
      </c>
      <c r="C2297" s="203">
        <v>0</v>
      </c>
      <c r="D2297" s="202" t="s">
        <v>475</v>
      </c>
      <c r="E2297" s="202" t="s">
        <v>639</v>
      </c>
      <c r="F2297" s="202" t="s">
        <v>397</v>
      </c>
      <c r="G2297" s="202" t="s">
        <v>689</v>
      </c>
    </row>
    <row r="2298" spans="1:7" hidden="1">
      <c r="A2298" s="202" t="s">
        <v>1508</v>
      </c>
      <c r="B2298" s="203">
        <v>-11517</v>
      </c>
      <c r="C2298" s="203">
        <v>0</v>
      </c>
      <c r="D2298" s="202" t="s">
        <v>441</v>
      </c>
      <c r="E2298" s="202" t="s">
        <v>639</v>
      </c>
      <c r="F2298" s="202" t="s">
        <v>410</v>
      </c>
      <c r="G2298" s="202" t="s">
        <v>689</v>
      </c>
    </row>
    <row r="2299" spans="1:7" hidden="1">
      <c r="A2299" s="202" t="s">
        <v>1509</v>
      </c>
      <c r="B2299" s="203">
        <v>17400</v>
      </c>
      <c r="C2299" s="203">
        <v>0</v>
      </c>
      <c r="D2299" s="202" t="s">
        <v>441</v>
      </c>
      <c r="E2299" s="202" t="s">
        <v>639</v>
      </c>
      <c r="F2299" s="202" t="s">
        <v>653</v>
      </c>
      <c r="G2299" s="202" t="s">
        <v>689</v>
      </c>
    </row>
    <row r="2300" spans="1:7" hidden="1">
      <c r="A2300" s="202" t="s">
        <v>1510</v>
      </c>
      <c r="B2300" s="203">
        <v>27900</v>
      </c>
      <c r="C2300" s="203">
        <v>0</v>
      </c>
      <c r="D2300" s="202" t="s">
        <v>475</v>
      </c>
      <c r="E2300" s="202" t="s">
        <v>639</v>
      </c>
      <c r="F2300" s="202" t="s">
        <v>397</v>
      </c>
      <c r="G2300" s="202" t="s">
        <v>689</v>
      </c>
    </row>
    <row r="2301" spans="1:7" hidden="1">
      <c r="A2301" s="202" t="s">
        <v>1511</v>
      </c>
      <c r="B2301" s="203">
        <v>45000</v>
      </c>
      <c r="C2301" s="203">
        <v>0</v>
      </c>
      <c r="D2301" s="202" t="s">
        <v>441</v>
      </c>
      <c r="E2301" s="202" t="s">
        <v>639</v>
      </c>
      <c r="F2301" s="202" t="s">
        <v>653</v>
      </c>
      <c r="G2301" s="202" t="s">
        <v>689</v>
      </c>
    </row>
    <row r="2302" spans="1:7" hidden="1">
      <c r="A2302" s="202" t="s">
        <v>1512</v>
      </c>
      <c r="B2302" s="203">
        <v>62300</v>
      </c>
      <c r="C2302" s="203">
        <v>0</v>
      </c>
      <c r="D2302" s="202" t="s">
        <v>441</v>
      </c>
      <c r="E2302" s="202" t="s">
        <v>639</v>
      </c>
      <c r="F2302" s="202" t="s">
        <v>653</v>
      </c>
      <c r="G2302" s="202" t="s">
        <v>689</v>
      </c>
    </row>
    <row r="2303" spans="1:7" hidden="1">
      <c r="A2303" s="202" t="s">
        <v>1513</v>
      </c>
      <c r="B2303" s="203">
        <v>31400</v>
      </c>
      <c r="C2303" s="203">
        <v>0</v>
      </c>
      <c r="D2303" s="202" t="s">
        <v>441</v>
      </c>
      <c r="E2303" s="202" t="s">
        <v>639</v>
      </c>
      <c r="F2303" s="202" t="s">
        <v>653</v>
      </c>
      <c r="G2303" s="202" t="s">
        <v>689</v>
      </c>
    </row>
    <row r="2304" spans="1:7" hidden="1">
      <c r="A2304" s="202" t="s">
        <v>1514</v>
      </c>
      <c r="B2304" s="203">
        <v>21000</v>
      </c>
      <c r="C2304" s="203">
        <v>0</v>
      </c>
      <c r="D2304" s="202" t="s">
        <v>441</v>
      </c>
      <c r="E2304" s="202" t="s">
        <v>639</v>
      </c>
      <c r="F2304" s="202" t="s">
        <v>653</v>
      </c>
      <c r="G2304" s="202" t="s">
        <v>689</v>
      </c>
    </row>
    <row r="2305" spans="1:7" hidden="1">
      <c r="A2305" s="202" t="s">
        <v>1515</v>
      </c>
      <c r="B2305" s="203">
        <v>13000</v>
      </c>
      <c r="C2305" s="203">
        <v>0</v>
      </c>
      <c r="D2305" s="202" t="s">
        <v>443</v>
      </c>
      <c r="E2305" s="202" t="s">
        <v>639</v>
      </c>
      <c r="F2305" s="202" t="s">
        <v>397</v>
      </c>
      <c r="G2305" s="202" t="s">
        <v>689</v>
      </c>
    </row>
    <row r="2306" spans="1:7" hidden="1">
      <c r="A2306" s="202" t="s">
        <v>1516</v>
      </c>
      <c r="B2306" s="203">
        <v>18700</v>
      </c>
      <c r="C2306" s="203">
        <v>0</v>
      </c>
      <c r="D2306" s="202" t="s">
        <v>441</v>
      </c>
      <c r="E2306" s="202" t="s">
        <v>639</v>
      </c>
      <c r="F2306" s="202" t="s">
        <v>653</v>
      </c>
      <c r="G2306" s="202" t="s">
        <v>689</v>
      </c>
    </row>
    <row r="2307" spans="1:7" hidden="1">
      <c r="A2307" s="202" t="s">
        <v>1517</v>
      </c>
      <c r="B2307" s="203">
        <v>27000</v>
      </c>
      <c r="C2307" s="203">
        <v>0</v>
      </c>
      <c r="D2307" s="202" t="s">
        <v>441</v>
      </c>
      <c r="E2307" s="202" t="s">
        <v>639</v>
      </c>
      <c r="F2307" s="202" t="s">
        <v>653</v>
      </c>
      <c r="G2307" s="202" t="s">
        <v>689</v>
      </c>
    </row>
    <row r="2308" spans="1:7" hidden="1">
      <c r="A2308" s="202" t="s">
        <v>1518</v>
      </c>
      <c r="B2308" s="203">
        <v>19600</v>
      </c>
      <c r="C2308" s="203">
        <v>0</v>
      </c>
      <c r="D2308" s="202" t="s">
        <v>441</v>
      </c>
      <c r="E2308" s="202" t="s">
        <v>639</v>
      </c>
      <c r="F2308" s="202" t="s">
        <v>653</v>
      </c>
      <c r="G2308" s="202" t="s">
        <v>689</v>
      </c>
    </row>
    <row r="2309" spans="1:7" hidden="1">
      <c r="A2309" s="202" t="s">
        <v>1519</v>
      </c>
      <c r="B2309" s="203">
        <v>18300</v>
      </c>
      <c r="C2309" s="203">
        <v>0</v>
      </c>
      <c r="D2309" s="202" t="s">
        <v>441</v>
      </c>
      <c r="E2309" s="202" t="s">
        <v>639</v>
      </c>
      <c r="F2309" s="202" t="s">
        <v>653</v>
      </c>
      <c r="G2309" s="202" t="s">
        <v>689</v>
      </c>
    </row>
    <row r="2310" spans="1:7" hidden="1">
      <c r="A2310" s="202" t="s">
        <v>1520</v>
      </c>
      <c r="B2310" s="203">
        <v>64200</v>
      </c>
      <c r="C2310" s="203">
        <v>0</v>
      </c>
      <c r="D2310" s="202" t="s">
        <v>441</v>
      </c>
      <c r="E2310" s="202" t="s">
        <v>639</v>
      </c>
      <c r="F2310" s="202" t="s">
        <v>653</v>
      </c>
      <c r="G2310" s="202" t="s">
        <v>689</v>
      </c>
    </row>
    <row r="2311" spans="1:7" hidden="1">
      <c r="A2311" s="202" t="s">
        <v>1521</v>
      </c>
      <c r="B2311" s="203">
        <v>35000</v>
      </c>
      <c r="C2311" s="203">
        <v>0</v>
      </c>
      <c r="D2311" s="202" t="s">
        <v>441</v>
      </c>
      <c r="E2311" s="202" t="s">
        <v>639</v>
      </c>
      <c r="F2311" s="202" t="s">
        <v>653</v>
      </c>
      <c r="G2311" s="202" t="s">
        <v>689</v>
      </c>
    </row>
    <row r="2312" spans="1:7" hidden="1">
      <c r="A2312" s="202" t="s">
        <v>1522</v>
      </c>
      <c r="B2312" s="203">
        <v>77900</v>
      </c>
      <c r="C2312" s="203">
        <v>0</v>
      </c>
      <c r="D2312" s="202" t="s">
        <v>441</v>
      </c>
      <c r="E2312" s="202" t="s">
        <v>639</v>
      </c>
      <c r="F2312" s="202" t="s">
        <v>410</v>
      </c>
      <c r="G2312" s="202" t="s">
        <v>689</v>
      </c>
    </row>
    <row r="2313" spans="1:7" hidden="1">
      <c r="A2313" s="202" t="s">
        <v>1523</v>
      </c>
      <c r="B2313" s="203">
        <v>14600</v>
      </c>
      <c r="C2313" s="203">
        <v>0</v>
      </c>
      <c r="D2313" s="202" t="s">
        <v>443</v>
      </c>
      <c r="E2313" s="202" t="s">
        <v>639</v>
      </c>
      <c r="F2313" s="202" t="s">
        <v>397</v>
      </c>
      <c r="G2313" s="202" t="s">
        <v>689</v>
      </c>
    </row>
    <row r="2314" spans="1:7" hidden="1">
      <c r="A2314" s="202" t="s">
        <v>1524</v>
      </c>
      <c r="B2314" s="203">
        <v>24000</v>
      </c>
      <c r="C2314" s="203">
        <v>0</v>
      </c>
      <c r="D2314" s="202" t="s">
        <v>441</v>
      </c>
      <c r="E2314" s="202" t="s">
        <v>639</v>
      </c>
      <c r="F2314" s="202" t="s">
        <v>653</v>
      </c>
      <c r="G2314" s="202" t="s">
        <v>689</v>
      </c>
    </row>
    <row r="2315" spans="1:7" hidden="1">
      <c r="A2315" s="202" t="s">
        <v>1525</v>
      </c>
      <c r="B2315" s="203">
        <v>28000</v>
      </c>
      <c r="C2315" s="203">
        <v>0</v>
      </c>
      <c r="D2315" s="202" t="s">
        <v>441</v>
      </c>
      <c r="E2315" s="202" t="s">
        <v>639</v>
      </c>
      <c r="F2315" s="202" t="s">
        <v>653</v>
      </c>
      <c r="G2315" s="202" t="s">
        <v>689</v>
      </c>
    </row>
    <row r="2316" spans="1:7" hidden="1">
      <c r="A2316" s="202" t="s">
        <v>1526</v>
      </c>
      <c r="B2316" s="203">
        <v>22300</v>
      </c>
      <c r="C2316" s="203">
        <v>0</v>
      </c>
      <c r="D2316" s="202" t="s">
        <v>441</v>
      </c>
      <c r="E2316" s="202" t="s">
        <v>639</v>
      </c>
      <c r="F2316" s="202" t="s">
        <v>653</v>
      </c>
      <c r="G2316" s="202" t="s">
        <v>689</v>
      </c>
    </row>
    <row r="2317" spans="1:7" hidden="1">
      <c r="A2317" s="202" t="s">
        <v>1527</v>
      </c>
      <c r="B2317" s="203">
        <v>52600</v>
      </c>
      <c r="C2317" s="203">
        <v>0</v>
      </c>
      <c r="D2317" s="202" t="s">
        <v>443</v>
      </c>
      <c r="E2317" s="202" t="s">
        <v>639</v>
      </c>
      <c r="F2317" s="202" t="s">
        <v>397</v>
      </c>
      <c r="G2317" s="202" t="s">
        <v>689</v>
      </c>
    </row>
    <row r="2318" spans="1:7" hidden="1">
      <c r="A2318" s="202" t="s">
        <v>1528</v>
      </c>
      <c r="B2318" s="203">
        <v>36800</v>
      </c>
      <c r="C2318" s="203">
        <v>0</v>
      </c>
      <c r="D2318" s="202" t="s">
        <v>441</v>
      </c>
      <c r="E2318" s="202" t="s">
        <v>639</v>
      </c>
      <c r="F2318" s="202" t="s">
        <v>653</v>
      </c>
      <c r="G2318" s="202" t="s">
        <v>689</v>
      </c>
    </row>
    <row r="2319" spans="1:7" hidden="1">
      <c r="A2319" s="202" t="s">
        <v>1529</v>
      </c>
      <c r="B2319" s="203">
        <v>23900</v>
      </c>
      <c r="C2319" s="203">
        <v>0</v>
      </c>
      <c r="D2319" s="202" t="s">
        <v>443</v>
      </c>
      <c r="E2319" s="202" t="s">
        <v>639</v>
      </c>
      <c r="F2319" s="202" t="s">
        <v>397</v>
      </c>
      <c r="G2319" s="202" t="s">
        <v>689</v>
      </c>
    </row>
    <row r="2320" spans="1:7" hidden="1">
      <c r="A2320" s="202" t="s">
        <v>1530</v>
      </c>
      <c r="B2320" s="203">
        <v>17100</v>
      </c>
      <c r="C2320" s="203">
        <v>0</v>
      </c>
      <c r="D2320" s="202" t="s">
        <v>441</v>
      </c>
      <c r="E2320" s="202" t="s">
        <v>639</v>
      </c>
      <c r="F2320" s="202" t="s">
        <v>653</v>
      </c>
      <c r="G2320" s="202" t="s">
        <v>689</v>
      </c>
    </row>
    <row r="2321" spans="1:7" hidden="1">
      <c r="A2321" s="202" t="s">
        <v>1531</v>
      </c>
      <c r="B2321" s="203">
        <v>14100</v>
      </c>
      <c r="C2321" s="203">
        <v>0</v>
      </c>
      <c r="D2321" s="202" t="s">
        <v>441</v>
      </c>
      <c r="E2321" s="202" t="s">
        <v>639</v>
      </c>
      <c r="F2321" s="202" t="s">
        <v>653</v>
      </c>
      <c r="G2321" s="202" t="s">
        <v>689</v>
      </c>
    </row>
    <row r="2322" spans="1:7" hidden="1">
      <c r="A2322" s="202" t="s">
        <v>1532</v>
      </c>
      <c r="B2322" s="203">
        <v>8100</v>
      </c>
      <c r="C2322" s="203">
        <v>0</v>
      </c>
      <c r="D2322" s="202" t="s">
        <v>443</v>
      </c>
      <c r="E2322" s="202" t="s">
        <v>639</v>
      </c>
      <c r="F2322" s="202" t="s">
        <v>397</v>
      </c>
      <c r="G2322" s="202" t="s">
        <v>689</v>
      </c>
    </row>
    <row r="2323" spans="1:7" hidden="1">
      <c r="A2323" s="202" t="s">
        <v>1533</v>
      </c>
      <c r="B2323" s="203">
        <v>59800</v>
      </c>
      <c r="C2323" s="203">
        <v>0</v>
      </c>
      <c r="D2323" s="202" t="s">
        <v>441</v>
      </c>
      <c r="E2323" s="202" t="s">
        <v>639</v>
      </c>
      <c r="F2323" s="202" t="s">
        <v>653</v>
      </c>
      <c r="G2323" s="202" t="s">
        <v>689</v>
      </c>
    </row>
    <row r="2324" spans="1:7" hidden="1">
      <c r="A2324" s="202" t="s">
        <v>1534</v>
      </c>
      <c r="B2324" s="203">
        <v>4900</v>
      </c>
      <c r="C2324" s="203">
        <v>0</v>
      </c>
      <c r="D2324" s="202" t="s">
        <v>441</v>
      </c>
      <c r="E2324" s="202" t="s">
        <v>639</v>
      </c>
      <c r="F2324" s="202" t="s">
        <v>653</v>
      </c>
      <c r="G2324" s="202" t="s">
        <v>689</v>
      </c>
    </row>
    <row r="2325" spans="1:7" hidden="1">
      <c r="A2325" s="202" t="s">
        <v>1535</v>
      </c>
      <c r="B2325" s="203">
        <v>7500</v>
      </c>
      <c r="C2325" s="203">
        <v>0</v>
      </c>
      <c r="D2325" s="202" t="s">
        <v>443</v>
      </c>
      <c r="E2325" s="202" t="s">
        <v>639</v>
      </c>
      <c r="F2325" s="202" t="s">
        <v>397</v>
      </c>
      <c r="G2325" s="202" t="s">
        <v>689</v>
      </c>
    </row>
    <row r="2326" spans="1:7" hidden="1">
      <c r="A2326" s="202" t="s">
        <v>1536</v>
      </c>
      <c r="B2326" s="203">
        <v>156400</v>
      </c>
      <c r="C2326" s="203">
        <v>0</v>
      </c>
      <c r="D2326" s="202" t="s">
        <v>441</v>
      </c>
      <c r="E2326" s="202" t="s">
        <v>639</v>
      </c>
      <c r="F2326" s="202" t="s">
        <v>653</v>
      </c>
      <c r="G2326" s="202" t="s">
        <v>689</v>
      </c>
    </row>
    <row r="2327" spans="1:7" hidden="1">
      <c r="A2327" s="202" t="s">
        <v>1537</v>
      </c>
      <c r="B2327" s="203">
        <v>7500</v>
      </c>
      <c r="C2327" s="203">
        <v>0</v>
      </c>
      <c r="D2327" s="202" t="s">
        <v>441</v>
      </c>
      <c r="E2327" s="202" t="s">
        <v>639</v>
      </c>
      <c r="F2327" s="202" t="s">
        <v>653</v>
      </c>
      <c r="G2327" s="202" t="s">
        <v>689</v>
      </c>
    </row>
    <row r="2328" spans="1:7" hidden="1">
      <c r="A2328" s="202" t="s">
        <v>1538</v>
      </c>
      <c r="B2328" s="203">
        <v>1500</v>
      </c>
      <c r="C2328" s="203">
        <v>0</v>
      </c>
      <c r="D2328" s="202" t="s">
        <v>443</v>
      </c>
      <c r="E2328" s="202" t="s">
        <v>639</v>
      </c>
      <c r="F2328" s="202" t="s">
        <v>397</v>
      </c>
      <c r="G2328" s="202" t="s">
        <v>689</v>
      </c>
    </row>
    <row r="2329" spans="1:7" hidden="1">
      <c r="A2329" s="202" t="s">
        <v>1539</v>
      </c>
      <c r="B2329" s="203">
        <v>8000</v>
      </c>
      <c r="C2329" s="203">
        <v>0</v>
      </c>
      <c r="D2329" s="202" t="s">
        <v>441</v>
      </c>
      <c r="E2329" s="202" t="s">
        <v>639</v>
      </c>
      <c r="F2329" s="202" t="s">
        <v>653</v>
      </c>
      <c r="G2329" s="202" t="s">
        <v>689</v>
      </c>
    </row>
    <row r="2330" spans="1:7" hidden="1">
      <c r="A2330" s="202" t="s">
        <v>1540</v>
      </c>
      <c r="B2330" s="203">
        <v>21100</v>
      </c>
      <c r="C2330" s="203">
        <v>0</v>
      </c>
      <c r="D2330" s="202" t="s">
        <v>441</v>
      </c>
      <c r="E2330" s="202" t="s">
        <v>639</v>
      </c>
      <c r="F2330" s="202" t="s">
        <v>653</v>
      </c>
      <c r="G2330" s="202" t="s">
        <v>689</v>
      </c>
    </row>
    <row r="2331" spans="1:7" hidden="1">
      <c r="A2331" s="202" t="s">
        <v>1541</v>
      </c>
      <c r="B2331" s="203">
        <v>1200</v>
      </c>
      <c r="C2331" s="203">
        <v>0</v>
      </c>
      <c r="D2331" s="202" t="s">
        <v>443</v>
      </c>
      <c r="E2331" s="202" t="s">
        <v>639</v>
      </c>
      <c r="F2331" s="202" t="s">
        <v>397</v>
      </c>
      <c r="G2331" s="202" t="s">
        <v>689</v>
      </c>
    </row>
    <row r="2332" spans="1:7" hidden="1">
      <c r="A2332" s="202" t="s">
        <v>1542</v>
      </c>
      <c r="B2332" s="203">
        <v>14700</v>
      </c>
      <c r="C2332" s="203">
        <v>0</v>
      </c>
      <c r="D2332" s="202" t="s">
        <v>441</v>
      </c>
      <c r="E2332" s="202" t="s">
        <v>639</v>
      </c>
      <c r="F2332" s="202" t="s">
        <v>653</v>
      </c>
      <c r="G2332" s="202" t="s">
        <v>689</v>
      </c>
    </row>
    <row r="2333" spans="1:7" hidden="1">
      <c r="A2333" s="202" t="s">
        <v>1543</v>
      </c>
      <c r="B2333" s="203">
        <v>1500</v>
      </c>
      <c r="C2333" s="203">
        <v>0</v>
      </c>
      <c r="D2333" s="202" t="s">
        <v>443</v>
      </c>
      <c r="E2333" s="202" t="s">
        <v>639</v>
      </c>
      <c r="F2333" s="202" t="s">
        <v>397</v>
      </c>
      <c r="G2333" s="202" t="s">
        <v>689</v>
      </c>
    </row>
    <row r="2334" spans="1:7" hidden="1">
      <c r="A2334" s="202" t="s">
        <v>1544</v>
      </c>
      <c r="B2334" s="203">
        <v>-32300</v>
      </c>
      <c r="C2334" s="203">
        <v>0</v>
      </c>
      <c r="D2334" s="202" t="s">
        <v>441</v>
      </c>
      <c r="E2334" s="202" t="s">
        <v>639</v>
      </c>
      <c r="F2334" s="202" t="s">
        <v>410</v>
      </c>
      <c r="G2334" s="202" t="s">
        <v>689</v>
      </c>
    </row>
    <row r="2335" spans="1:7" hidden="1">
      <c r="A2335" s="202" t="s">
        <v>1545</v>
      </c>
      <c r="B2335" s="203">
        <v>1400</v>
      </c>
      <c r="C2335" s="203">
        <v>0</v>
      </c>
      <c r="D2335" s="202" t="s">
        <v>443</v>
      </c>
      <c r="E2335" s="202" t="s">
        <v>639</v>
      </c>
      <c r="F2335" s="202" t="s">
        <v>397</v>
      </c>
      <c r="G2335" s="202" t="s">
        <v>689</v>
      </c>
    </row>
    <row r="2336" spans="1:7" hidden="1">
      <c r="A2336" s="202" t="s">
        <v>1546</v>
      </c>
      <c r="B2336" s="203">
        <v>34600</v>
      </c>
      <c r="C2336" s="203">
        <v>0</v>
      </c>
      <c r="D2336" s="202" t="s">
        <v>441</v>
      </c>
      <c r="E2336" s="202" t="s">
        <v>639</v>
      </c>
      <c r="F2336" s="202" t="s">
        <v>653</v>
      </c>
      <c r="G2336" s="202" t="s">
        <v>689</v>
      </c>
    </row>
    <row r="2337" spans="1:7" hidden="1">
      <c r="A2337" s="202" t="s">
        <v>1547</v>
      </c>
      <c r="B2337" s="203">
        <v>1300</v>
      </c>
      <c r="C2337" s="203">
        <v>0</v>
      </c>
      <c r="D2337" s="202" t="s">
        <v>443</v>
      </c>
      <c r="E2337" s="202" t="s">
        <v>639</v>
      </c>
      <c r="F2337" s="202" t="s">
        <v>397</v>
      </c>
      <c r="G2337" s="202" t="s">
        <v>689</v>
      </c>
    </row>
    <row r="2338" spans="1:7" hidden="1">
      <c r="A2338" s="202" t="s">
        <v>1548</v>
      </c>
      <c r="B2338" s="203">
        <v>9300</v>
      </c>
      <c r="C2338" s="203">
        <v>0</v>
      </c>
      <c r="D2338" s="202" t="s">
        <v>441</v>
      </c>
      <c r="E2338" s="202" t="s">
        <v>639</v>
      </c>
      <c r="F2338" s="202" t="s">
        <v>653</v>
      </c>
      <c r="G2338" s="202" t="s">
        <v>689</v>
      </c>
    </row>
    <row r="2339" spans="1:7" hidden="1">
      <c r="A2339" s="202" t="s">
        <v>1549</v>
      </c>
      <c r="B2339" s="203">
        <v>2600</v>
      </c>
      <c r="C2339" s="203">
        <v>0</v>
      </c>
      <c r="D2339" s="202" t="s">
        <v>443</v>
      </c>
      <c r="E2339" s="202" t="s">
        <v>639</v>
      </c>
      <c r="F2339" s="202" t="s">
        <v>397</v>
      </c>
      <c r="G2339" s="202" t="s">
        <v>689</v>
      </c>
    </row>
    <row r="2340" spans="1:7" hidden="1">
      <c r="A2340" s="202" t="s">
        <v>1550</v>
      </c>
      <c r="B2340" s="203">
        <v>7600</v>
      </c>
      <c r="C2340" s="203">
        <v>0</v>
      </c>
      <c r="D2340" s="202" t="s">
        <v>441</v>
      </c>
      <c r="E2340" s="202" t="s">
        <v>639</v>
      </c>
      <c r="F2340" s="202" t="s">
        <v>653</v>
      </c>
      <c r="G2340" s="202" t="s">
        <v>689</v>
      </c>
    </row>
    <row r="2341" spans="1:7" hidden="1">
      <c r="A2341" s="202" t="s">
        <v>1551</v>
      </c>
      <c r="B2341" s="203">
        <v>42000</v>
      </c>
      <c r="C2341" s="203">
        <v>0</v>
      </c>
      <c r="D2341" s="202" t="s">
        <v>441</v>
      </c>
      <c r="E2341" s="202" t="s">
        <v>639</v>
      </c>
      <c r="F2341" s="202" t="s">
        <v>653</v>
      </c>
      <c r="G2341" s="202" t="s">
        <v>689</v>
      </c>
    </row>
    <row r="2342" spans="1:7" hidden="1">
      <c r="A2342" s="202" t="s">
        <v>1552</v>
      </c>
      <c r="B2342" s="203">
        <v>29500</v>
      </c>
      <c r="C2342" s="203">
        <v>0</v>
      </c>
      <c r="D2342" s="202" t="s">
        <v>441</v>
      </c>
      <c r="E2342" s="202" t="s">
        <v>639</v>
      </c>
      <c r="F2342" s="202" t="s">
        <v>653</v>
      </c>
      <c r="G2342" s="202" t="s">
        <v>689</v>
      </c>
    </row>
    <row r="2343" spans="1:7" hidden="1">
      <c r="A2343" s="202" t="s">
        <v>1553</v>
      </c>
      <c r="B2343" s="203">
        <v>15000</v>
      </c>
      <c r="C2343" s="203">
        <v>0</v>
      </c>
      <c r="D2343" s="202" t="s">
        <v>441</v>
      </c>
      <c r="E2343" s="202" t="s">
        <v>639</v>
      </c>
      <c r="F2343" s="202" t="s">
        <v>653</v>
      </c>
      <c r="G2343" s="202" t="s">
        <v>689</v>
      </c>
    </row>
    <row r="2344" spans="1:7" hidden="1">
      <c r="A2344" s="202" t="s">
        <v>1554</v>
      </c>
      <c r="B2344" s="203">
        <v>14200</v>
      </c>
      <c r="C2344" s="203">
        <v>0</v>
      </c>
      <c r="D2344" s="202" t="s">
        <v>443</v>
      </c>
      <c r="E2344" s="202" t="s">
        <v>639</v>
      </c>
      <c r="F2344" s="202" t="s">
        <v>397</v>
      </c>
      <c r="G2344" s="202" t="s">
        <v>689</v>
      </c>
    </row>
    <row r="2345" spans="1:7" hidden="1">
      <c r="A2345" s="202" t="s">
        <v>1555</v>
      </c>
      <c r="B2345" s="203">
        <v>5000</v>
      </c>
      <c r="C2345" s="203">
        <v>0</v>
      </c>
      <c r="D2345" s="202" t="s">
        <v>441</v>
      </c>
      <c r="E2345" s="202" t="s">
        <v>639</v>
      </c>
      <c r="F2345" s="202" t="s">
        <v>653</v>
      </c>
      <c r="G2345" s="202" t="s">
        <v>689</v>
      </c>
    </row>
    <row r="2346" spans="1:7" hidden="1">
      <c r="A2346" s="202" t="s">
        <v>1556</v>
      </c>
      <c r="B2346" s="203">
        <v>47100</v>
      </c>
      <c r="C2346" s="203">
        <v>0</v>
      </c>
      <c r="D2346" s="202" t="s">
        <v>441</v>
      </c>
      <c r="E2346" s="202" t="s">
        <v>639</v>
      </c>
      <c r="F2346" s="202" t="s">
        <v>653</v>
      </c>
      <c r="G2346" s="202" t="s">
        <v>689</v>
      </c>
    </row>
    <row r="2347" spans="1:7" hidden="1">
      <c r="A2347" s="202" t="s">
        <v>1557</v>
      </c>
      <c r="B2347" s="203">
        <v>22500</v>
      </c>
      <c r="C2347" s="203">
        <v>0</v>
      </c>
      <c r="D2347" s="202" t="s">
        <v>441</v>
      </c>
      <c r="E2347" s="202" t="s">
        <v>639</v>
      </c>
      <c r="F2347" s="202" t="s">
        <v>653</v>
      </c>
      <c r="G2347" s="202" t="s">
        <v>689</v>
      </c>
    </row>
    <row r="2348" spans="1:7" hidden="1">
      <c r="A2348" s="202" t="s">
        <v>656</v>
      </c>
      <c r="B2348" s="203">
        <v>-247</v>
      </c>
      <c r="C2348" s="203">
        <v>0</v>
      </c>
      <c r="D2348" s="202" t="s">
        <v>441</v>
      </c>
      <c r="E2348" s="202" t="s">
        <v>640</v>
      </c>
      <c r="F2348" s="202" t="s">
        <v>394</v>
      </c>
      <c r="G2348" s="202" t="s">
        <v>689</v>
      </c>
    </row>
    <row r="2349" spans="1:7" hidden="1">
      <c r="A2349" s="202" t="s">
        <v>657</v>
      </c>
      <c r="B2349" s="203">
        <v>-472</v>
      </c>
      <c r="C2349" s="203">
        <v>0</v>
      </c>
      <c r="D2349" s="202" t="s">
        <v>441</v>
      </c>
      <c r="E2349" s="202" t="s">
        <v>640</v>
      </c>
      <c r="F2349" s="202" t="s">
        <v>394</v>
      </c>
      <c r="G2349" s="202" t="s">
        <v>689</v>
      </c>
    </row>
    <row r="2350" spans="1:7" hidden="1">
      <c r="A2350" s="202" t="s">
        <v>1558</v>
      </c>
      <c r="B2350" s="203">
        <v>-103800</v>
      </c>
      <c r="C2350" s="203">
        <v>0</v>
      </c>
      <c r="D2350" s="202" t="s">
        <v>441</v>
      </c>
      <c r="E2350" s="202" t="s">
        <v>639</v>
      </c>
      <c r="F2350" s="202" t="s">
        <v>653</v>
      </c>
      <c r="G2350" s="202" t="s">
        <v>689</v>
      </c>
    </row>
    <row r="2351" spans="1:7" hidden="1">
      <c r="A2351" s="202" t="s">
        <v>1559</v>
      </c>
      <c r="B2351" s="203">
        <v>7300</v>
      </c>
      <c r="C2351" s="203">
        <v>0</v>
      </c>
      <c r="D2351" s="202" t="s">
        <v>443</v>
      </c>
      <c r="E2351" s="202" t="s">
        <v>639</v>
      </c>
      <c r="F2351" s="202" t="s">
        <v>397</v>
      </c>
      <c r="G2351" s="202" t="s">
        <v>689</v>
      </c>
    </row>
    <row r="2352" spans="1:7" hidden="1">
      <c r="A2352" s="202" t="s">
        <v>1560</v>
      </c>
      <c r="B2352" s="203">
        <v>-37600</v>
      </c>
      <c r="C2352" s="203">
        <v>0</v>
      </c>
      <c r="D2352" s="202" t="s">
        <v>441</v>
      </c>
      <c r="E2352" s="202" t="s">
        <v>639</v>
      </c>
      <c r="F2352" s="202" t="s">
        <v>653</v>
      </c>
      <c r="G2352" s="202" t="s">
        <v>689</v>
      </c>
    </row>
    <row r="2353" spans="1:7" hidden="1">
      <c r="A2353" s="202" t="s">
        <v>1561</v>
      </c>
      <c r="B2353" s="203">
        <v>-14900</v>
      </c>
      <c r="C2353" s="203">
        <v>0</v>
      </c>
      <c r="D2353" s="202" t="s">
        <v>443</v>
      </c>
      <c r="E2353" s="202" t="s">
        <v>639</v>
      </c>
      <c r="F2353" s="202" t="s">
        <v>397</v>
      </c>
      <c r="G2353" s="202" t="s">
        <v>689</v>
      </c>
    </row>
    <row r="2354" spans="1:7" hidden="1">
      <c r="A2354" s="202" t="s">
        <v>1562</v>
      </c>
      <c r="B2354" s="203">
        <v>1400</v>
      </c>
      <c r="C2354" s="203">
        <v>0</v>
      </c>
      <c r="D2354" s="202" t="s">
        <v>441</v>
      </c>
      <c r="E2354" s="202" t="s">
        <v>639</v>
      </c>
      <c r="F2354" s="202" t="s">
        <v>653</v>
      </c>
      <c r="G2354" s="202" t="s">
        <v>689</v>
      </c>
    </row>
    <row r="2355" spans="1:7" hidden="1">
      <c r="A2355" s="202" t="s">
        <v>1563</v>
      </c>
      <c r="B2355" s="203">
        <v>-3200</v>
      </c>
      <c r="C2355" s="203">
        <v>0</v>
      </c>
      <c r="D2355" s="202" t="s">
        <v>443</v>
      </c>
      <c r="E2355" s="202" t="s">
        <v>639</v>
      </c>
      <c r="F2355" s="202" t="s">
        <v>397</v>
      </c>
      <c r="G2355" s="202" t="s">
        <v>689</v>
      </c>
    </row>
    <row r="2356" spans="1:7" hidden="1">
      <c r="A2356" s="202" t="s">
        <v>1564</v>
      </c>
      <c r="B2356" s="203">
        <v>10800</v>
      </c>
      <c r="C2356" s="203">
        <v>0</v>
      </c>
      <c r="D2356" s="202" t="s">
        <v>441</v>
      </c>
      <c r="E2356" s="202" t="s">
        <v>639</v>
      </c>
      <c r="F2356" s="202" t="s">
        <v>653</v>
      </c>
      <c r="G2356" s="202" t="s">
        <v>689</v>
      </c>
    </row>
    <row r="2357" spans="1:7" hidden="1">
      <c r="A2357" s="202" t="s">
        <v>1565</v>
      </c>
      <c r="B2357" s="203">
        <v>25000</v>
      </c>
      <c r="C2357" s="203">
        <v>0</v>
      </c>
      <c r="D2357" s="202" t="s">
        <v>441</v>
      </c>
      <c r="E2357" s="202" t="s">
        <v>639</v>
      </c>
      <c r="F2357" s="202" t="s">
        <v>653</v>
      </c>
      <c r="G2357" s="202" t="s">
        <v>689</v>
      </c>
    </row>
    <row r="2358" spans="1:7" hidden="1">
      <c r="A2358" s="202" t="s">
        <v>1566</v>
      </c>
      <c r="B2358" s="203">
        <v>1400</v>
      </c>
      <c r="C2358" s="203">
        <v>0</v>
      </c>
      <c r="D2358" s="202" t="s">
        <v>441</v>
      </c>
      <c r="E2358" s="202" t="s">
        <v>639</v>
      </c>
      <c r="F2358" s="202" t="s">
        <v>410</v>
      </c>
      <c r="G2358" s="202" t="s">
        <v>689</v>
      </c>
    </row>
    <row r="2359" spans="1:7" hidden="1">
      <c r="A2359" s="202" t="s">
        <v>1567</v>
      </c>
      <c r="B2359" s="203">
        <v>7700</v>
      </c>
      <c r="C2359" s="203">
        <v>0</v>
      </c>
      <c r="D2359" s="202" t="s">
        <v>441</v>
      </c>
      <c r="E2359" s="202" t="s">
        <v>639</v>
      </c>
      <c r="F2359" s="202" t="s">
        <v>653</v>
      </c>
      <c r="G2359" s="202" t="s">
        <v>689</v>
      </c>
    </row>
    <row r="2360" spans="1:7" hidden="1">
      <c r="A2360" s="202" t="s">
        <v>1568</v>
      </c>
      <c r="B2360" s="203">
        <v>19300</v>
      </c>
      <c r="C2360" s="203">
        <v>0</v>
      </c>
      <c r="D2360" s="202" t="s">
        <v>441</v>
      </c>
      <c r="E2360" s="202" t="s">
        <v>639</v>
      </c>
      <c r="F2360" s="202" t="s">
        <v>653</v>
      </c>
      <c r="G2360" s="202" t="s">
        <v>689</v>
      </c>
    </row>
    <row r="2361" spans="1:7" hidden="1">
      <c r="A2361" s="202" t="s">
        <v>1569</v>
      </c>
      <c r="B2361" s="203">
        <v>4500</v>
      </c>
      <c r="C2361" s="203">
        <v>0</v>
      </c>
      <c r="D2361" s="202" t="s">
        <v>441</v>
      </c>
      <c r="E2361" s="202" t="s">
        <v>639</v>
      </c>
      <c r="F2361" s="202" t="s">
        <v>653</v>
      </c>
      <c r="G2361" s="202" t="s">
        <v>689</v>
      </c>
    </row>
    <row r="2362" spans="1:7" hidden="1">
      <c r="A2362" s="202" t="s">
        <v>1570</v>
      </c>
      <c r="B2362" s="203">
        <v>-26800</v>
      </c>
      <c r="C2362" s="203">
        <v>0</v>
      </c>
      <c r="D2362" s="202" t="s">
        <v>443</v>
      </c>
      <c r="E2362" s="202" t="s">
        <v>639</v>
      </c>
      <c r="F2362" s="202" t="s">
        <v>397</v>
      </c>
      <c r="G2362" s="202" t="s">
        <v>689</v>
      </c>
    </row>
    <row r="2363" spans="1:7" hidden="1">
      <c r="A2363" s="202" t="s">
        <v>1571</v>
      </c>
      <c r="B2363" s="203">
        <v>16400</v>
      </c>
      <c r="C2363" s="203">
        <v>0</v>
      </c>
      <c r="D2363" s="202" t="s">
        <v>441</v>
      </c>
      <c r="E2363" s="202" t="s">
        <v>639</v>
      </c>
      <c r="F2363" s="202" t="s">
        <v>653</v>
      </c>
      <c r="G2363" s="202" t="s">
        <v>689</v>
      </c>
    </row>
    <row r="2364" spans="1:7" hidden="1">
      <c r="A2364" s="202" t="s">
        <v>1572</v>
      </c>
      <c r="B2364" s="203">
        <v>16000</v>
      </c>
      <c r="C2364" s="203">
        <v>0</v>
      </c>
      <c r="D2364" s="202" t="s">
        <v>441</v>
      </c>
      <c r="E2364" s="202" t="s">
        <v>639</v>
      </c>
      <c r="F2364" s="202" t="s">
        <v>653</v>
      </c>
      <c r="G2364" s="202" t="s">
        <v>689</v>
      </c>
    </row>
    <row r="2365" spans="1:7" hidden="1">
      <c r="A2365" s="202" t="s">
        <v>1573</v>
      </c>
      <c r="B2365" s="203">
        <v>21600</v>
      </c>
      <c r="C2365" s="203">
        <v>0</v>
      </c>
      <c r="D2365" s="202" t="s">
        <v>441</v>
      </c>
      <c r="E2365" s="202" t="s">
        <v>639</v>
      </c>
      <c r="F2365" s="202" t="s">
        <v>653</v>
      </c>
      <c r="G2365" s="202" t="s">
        <v>689</v>
      </c>
    </row>
    <row r="2366" spans="1:7" hidden="1">
      <c r="A2366" s="202" t="s">
        <v>1574</v>
      </c>
      <c r="B2366" s="203">
        <v>8000</v>
      </c>
      <c r="C2366" s="203">
        <v>0</v>
      </c>
      <c r="D2366" s="202" t="s">
        <v>441</v>
      </c>
      <c r="E2366" s="202" t="s">
        <v>639</v>
      </c>
      <c r="F2366" s="202" t="s">
        <v>653</v>
      </c>
      <c r="G2366" s="202" t="s">
        <v>689</v>
      </c>
    </row>
    <row r="2367" spans="1:7" hidden="1">
      <c r="A2367" s="202" t="s">
        <v>1575</v>
      </c>
      <c r="B2367" s="203">
        <v>37000</v>
      </c>
      <c r="C2367" s="203">
        <v>0</v>
      </c>
      <c r="D2367" s="202" t="s">
        <v>441</v>
      </c>
      <c r="E2367" s="202" t="s">
        <v>639</v>
      </c>
      <c r="F2367" s="202" t="s">
        <v>653</v>
      </c>
      <c r="G2367" s="202" t="s">
        <v>689</v>
      </c>
    </row>
    <row r="2368" spans="1:7" hidden="1">
      <c r="A2368" s="202" t="s">
        <v>1576</v>
      </c>
      <c r="B2368" s="203">
        <v>30800</v>
      </c>
      <c r="C2368" s="203">
        <v>0</v>
      </c>
      <c r="D2368" s="202" t="s">
        <v>441</v>
      </c>
      <c r="E2368" s="202" t="s">
        <v>639</v>
      </c>
      <c r="F2368" s="202" t="s">
        <v>653</v>
      </c>
      <c r="G2368" s="202" t="s">
        <v>689</v>
      </c>
    </row>
    <row r="2369" spans="1:7" hidden="1">
      <c r="A2369" s="202" t="s">
        <v>1577</v>
      </c>
      <c r="B2369" s="203">
        <v>18200</v>
      </c>
      <c r="C2369" s="203">
        <v>0</v>
      </c>
      <c r="D2369" s="202" t="s">
        <v>441</v>
      </c>
      <c r="E2369" s="202" t="s">
        <v>639</v>
      </c>
      <c r="F2369" s="202" t="s">
        <v>653</v>
      </c>
      <c r="G2369" s="202" t="s">
        <v>689</v>
      </c>
    </row>
    <row r="2370" spans="1:7" hidden="1">
      <c r="A2370" s="202" t="s">
        <v>1578</v>
      </c>
      <c r="B2370" s="203">
        <v>14746</v>
      </c>
      <c r="C2370" s="203">
        <v>0</v>
      </c>
      <c r="D2370" s="202" t="s">
        <v>441</v>
      </c>
      <c r="E2370" s="202" t="s">
        <v>639</v>
      </c>
      <c r="F2370" s="202" t="s">
        <v>653</v>
      </c>
      <c r="G2370" s="202" t="s">
        <v>689</v>
      </c>
    </row>
    <row r="2371" spans="1:7" hidden="1">
      <c r="A2371" s="202" t="s">
        <v>1579</v>
      </c>
      <c r="B2371" s="203">
        <v>14746</v>
      </c>
      <c r="C2371" s="203">
        <v>0</v>
      </c>
      <c r="D2371" s="202" t="s">
        <v>441</v>
      </c>
      <c r="E2371" s="202" t="s">
        <v>639</v>
      </c>
      <c r="F2371" s="202" t="s">
        <v>653</v>
      </c>
      <c r="G2371" s="202" t="s">
        <v>689</v>
      </c>
    </row>
    <row r="2372" spans="1:7" hidden="1">
      <c r="A2372" s="202" t="s">
        <v>1580</v>
      </c>
      <c r="B2372" s="203">
        <v>16600</v>
      </c>
      <c r="C2372" s="203">
        <v>0</v>
      </c>
      <c r="D2372" s="202" t="s">
        <v>441</v>
      </c>
      <c r="E2372" s="202" t="s">
        <v>639</v>
      </c>
      <c r="F2372" s="202" t="s">
        <v>653</v>
      </c>
      <c r="G2372" s="202" t="s">
        <v>689</v>
      </c>
    </row>
    <row r="2373" spans="1:7" hidden="1">
      <c r="A2373" s="202" t="s">
        <v>1581</v>
      </c>
      <c r="B2373" s="203">
        <v>63900</v>
      </c>
      <c r="C2373" s="203">
        <v>0</v>
      </c>
      <c r="D2373" s="202" t="s">
        <v>441</v>
      </c>
      <c r="E2373" s="202" t="s">
        <v>639</v>
      </c>
      <c r="F2373" s="202" t="s">
        <v>653</v>
      </c>
      <c r="G2373" s="202" t="s">
        <v>689</v>
      </c>
    </row>
    <row r="2374" spans="1:7" hidden="1">
      <c r="A2374" s="202" t="s">
        <v>1582</v>
      </c>
      <c r="B2374" s="203">
        <v>47400</v>
      </c>
      <c r="C2374" s="203">
        <v>0</v>
      </c>
      <c r="D2374" s="202" t="s">
        <v>441</v>
      </c>
      <c r="E2374" s="202" t="s">
        <v>639</v>
      </c>
      <c r="F2374" s="202" t="s">
        <v>653</v>
      </c>
      <c r="G2374" s="202" t="s">
        <v>689</v>
      </c>
    </row>
    <row r="2375" spans="1:7" hidden="1">
      <c r="A2375" s="202" t="s">
        <v>1583</v>
      </c>
      <c r="B2375" s="203">
        <v>34600</v>
      </c>
      <c r="C2375" s="203">
        <v>0</v>
      </c>
      <c r="D2375" s="202" t="s">
        <v>441</v>
      </c>
      <c r="E2375" s="202" t="s">
        <v>639</v>
      </c>
      <c r="F2375" s="202" t="s">
        <v>653</v>
      </c>
      <c r="G2375" s="202" t="s">
        <v>689</v>
      </c>
    </row>
    <row r="2376" spans="1:7" hidden="1">
      <c r="A2376" s="202" t="s">
        <v>1584</v>
      </c>
      <c r="B2376" s="203">
        <v>96200</v>
      </c>
      <c r="C2376" s="203">
        <v>0</v>
      </c>
      <c r="D2376" s="202" t="s">
        <v>441</v>
      </c>
      <c r="E2376" s="202" t="s">
        <v>639</v>
      </c>
      <c r="F2376" s="202" t="s">
        <v>653</v>
      </c>
      <c r="G2376" s="202" t="s">
        <v>689</v>
      </c>
    </row>
    <row r="2377" spans="1:7" hidden="1">
      <c r="A2377" s="202" t="s">
        <v>1585</v>
      </c>
      <c r="B2377" s="203">
        <v>400</v>
      </c>
      <c r="C2377" s="203">
        <v>0</v>
      </c>
      <c r="D2377" s="202" t="s">
        <v>443</v>
      </c>
      <c r="E2377" s="202" t="s">
        <v>639</v>
      </c>
      <c r="F2377" s="202" t="s">
        <v>397</v>
      </c>
      <c r="G2377" s="202" t="s">
        <v>689</v>
      </c>
    </row>
    <row r="2378" spans="1:7" hidden="1">
      <c r="A2378" s="202" t="s">
        <v>1586</v>
      </c>
      <c r="B2378" s="203">
        <v>1900</v>
      </c>
      <c r="C2378" s="203">
        <v>0</v>
      </c>
      <c r="D2378" s="202" t="s">
        <v>443</v>
      </c>
      <c r="E2378" s="202" t="s">
        <v>639</v>
      </c>
      <c r="F2378" s="202" t="s">
        <v>397</v>
      </c>
      <c r="G2378" s="202" t="s">
        <v>689</v>
      </c>
    </row>
    <row r="2379" spans="1:7" hidden="1">
      <c r="A2379" s="202" t="s">
        <v>1587</v>
      </c>
      <c r="B2379" s="203">
        <v>21300</v>
      </c>
      <c r="C2379" s="203">
        <v>0</v>
      </c>
      <c r="D2379" s="202" t="s">
        <v>441</v>
      </c>
      <c r="E2379" s="202" t="s">
        <v>639</v>
      </c>
      <c r="F2379" s="202" t="s">
        <v>653</v>
      </c>
      <c r="G2379" s="202" t="s">
        <v>689</v>
      </c>
    </row>
    <row r="2380" spans="1:7" hidden="1">
      <c r="A2380" s="202" t="s">
        <v>1588</v>
      </c>
      <c r="B2380" s="203">
        <v>19800</v>
      </c>
      <c r="C2380" s="203">
        <v>0</v>
      </c>
      <c r="D2380" s="202" t="s">
        <v>441</v>
      </c>
      <c r="E2380" s="202" t="s">
        <v>639</v>
      </c>
      <c r="F2380" s="202" t="s">
        <v>653</v>
      </c>
      <c r="G2380" s="202" t="s">
        <v>689</v>
      </c>
    </row>
    <row r="2381" spans="1:7" hidden="1">
      <c r="A2381" s="202" t="s">
        <v>1589</v>
      </c>
      <c r="B2381" s="203">
        <v>11600</v>
      </c>
      <c r="C2381" s="203">
        <v>0</v>
      </c>
      <c r="D2381" s="202" t="s">
        <v>441</v>
      </c>
      <c r="E2381" s="202" t="s">
        <v>639</v>
      </c>
      <c r="F2381" s="202" t="s">
        <v>653</v>
      </c>
      <c r="G2381" s="202" t="s">
        <v>689</v>
      </c>
    </row>
    <row r="2382" spans="1:7" hidden="1">
      <c r="A2382" s="202" t="s">
        <v>1590</v>
      </c>
      <c r="B2382" s="203">
        <v>2900</v>
      </c>
      <c r="C2382" s="203">
        <v>0</v>
      </c>
      <c r="D2382" s="202" t="s">
        <v>443</v>
      </c>
      <c r="E2382" s="202" t="s">
        <v>639</v>
      </c>
      <c r="F2382" s="202" t="s">
        <v>397</v>
      </c>
      <c r="G2382" s="202" t="s">
        <v>689</v>
      </c>
    </row>
    <row r="2383" spans="1:7" hidden="1">
      <c r="A2383" s="202" t="s">
        <v>1591</v>
      </c>
      <c r="B2383" s="203">
        <v>22000</v>
      </c>
      <c r="C2383" s="203">
        <v>0</v>
      </c>
      <c r="D2383" s="202" t="s">
        <v>441</v>
      </c>
      <c r="E2383" s="202" t="s">
        <v>639</v>
      </c>
      <c r="F2383" s="202" t="s">
        <v>410</v>
      </c>
      <c r="G2383" s="202" t="s">
        <v>689</v>
      </c>
    </row>
    <row r="2384" spans="1:7" hidden="1">
      <c r="A2384" s="202" t="s">
        <v>1592</v>
      </c>
      <c r="B2384" s="203">
        <v>54700</v>
      </c>
      <c r="C2384" s="203">
        <v>0</v>
      </c>
      <c r="D2384" s="202" t="s">
        <v>441</v>
      </c>
      <c r="E2384" s="202" t="s">
        <v>639</v>
      </c>
      <c r="F2384" s="202" t="s">
        <v>653</v>
      </c>
      <c r="G2384" s="202" t="s">
        <v>689</v>
      </c>
    </row>
    <row r="2385" spans="1:7" hidden="1">
      <c r="A2385" s="202" t="s">
        <v>1593</v>
      </c>
      <c r="B2385" s="203">
        <v>10500</v>
      </c>
      <c r="C2385" s="203">
        <v>0</v>
      </c>
      <c r="D2385" s="202" t="s">
        <v>441</v>
      </c>
      <c r="E2385" s="202" t="s">
        <v>639</v>
      </c>
      <c r="F2385" s="202" t="s">
        <v>653</v>
      </c>
      <c r="G2385" s="202" t="s">
        <v>689</v>
      </c>
    </row>
    <row r="2386" spans="1:7" hidden="1">
      <c r="A2386" s="202" t="s">
        <v>1594</v>
      </c>
      <c r="B2386" s="203">
        <v>18500</v>
      </c>
      <c r="C2386" s="203">
        <v>0</v>
      </c>
      <c r="D2386" s="202" t="s">
        <v>441</v>
      </c>
      <c r="E2386" s="202" t="s">
        <v>639</v>
      </c>
      <c r="F2386" s="202" t="s">
        <v>653</v>
      </c>
      <c r="G2386" s="202" t="s">
        <v>689</v>
      </c>
    </row>
    <row r="2387" spans="1:7" hidden="1">
      <c r="A2387" s="202" t="s">
        <v>1595</v>
      </c>
      <c r="B2387" s="203">
        <v>800</v>
      </c>
      <c r="C2387" s="203">
        <v>0</v>
      </c>
      <c r="D2387" s="202" t="s">
        <v>443</v>
      </c>
      <c r="E2387" s="202" t="s">
        <v>639</v>
      </c>
      <c r="F2387" s="202" t="s">
        <v>397</v>
      </c>
      <c r="G2387" s="202" t="s">
        <v>689</v>
      </c>
    </row>
    <row r="2388" spans="1:7" hidden="1">
      <c r="A2388" s="202" t="s">
        <v>1596</v>
      </c>
      <c r="B2388" s="203">
        <v>7200</v>
      </c>
      <c r="C2388" s="203">
        <v>0</v>
      </c>
      <c r="D2388" s="202" t="s">
        <v>443</v>
      </c>
      <c r="E2388" s="202" t="s">
        <v>639</v>
      </c>
      <c r="F2388" s="202" t="s">
        <v>397</v>
      </c>
      <c r="G2388" s="202" t="s">
        <v>689</v>
      </c>
    </row>
    <row r="2389" spans="1:7" hidden="1">
      <c r="A2389" s="202" t="s">
        <v>1597</v>
      </c>
      <c r="B2389" s="203">
        <v>18100</v>
      </c>
      <c r="C2389" s="203">
        <v>0</v>
      </c>
      <c r="D2389" s="202" t="s">
        <v>441</v>
      </c>
      <c r="E2389" s="202" t="s">
        <v>639</v>
      </c>
      <c r="F2389" s="202" t="s">
        <v>653</v>
      </c>
      <c r="G2389" s="202" t="s">
        <v>689</v>
      </c>
    </row>
    <row r="2390" spans="1:7" hidden="1">
      <c r="A2390" s="202" t="s">
        <v>1598</v>
      </c>
      <c r="B2390" s="203">
        <v>19400</v>
      </c>
      <c r="C2390" s="203">
        <v>0</v>
      </c>
      <c r="D2390" s="202" t="s">
        <v>441</v>
      </c>
      <c r="E2390" s="202" t="s">
        <v>639</v>
      </c>
      <c r="F2390" s="202" t="s">
        <v>653</v>
      </c>
      <c r="G2390" s="202" t="s">
        <v>689</v>
      </c>
    </row>
    <row r="2391" spans="1:7" hidden="1">
      <c r="A2391" s="202" t="s">
        <v>1599</v>
      </c>
      <c r="B2391" s="203">
        <v>5500</v>
      </c>
      <c r="C2391" s="203">
        <v>0</v>
      </c>
      <c r="D2391" s="202" t="s">
        <v>443</v>
      </c>
      <c r="E2391" s="202" t="s">
        <v>639</v>
      </c>
      <c r="F2391" s="202" t="s">
        <v>397</v>
      </c>
      <c r="G2391" s="202" t="s">
        <v>689</v>
      </c>
    </row>
    <row r="2392" spans="1:7" hidden="1">
      <c r="A2392" s="202" t="s">
        <v>1600</v>
      </c>
      <c r="B2392" s="203">
        <v>126900</v>
      </c>
      <c r="C2392" s="203">
        <v>0</v>
      </c>
      <c r="D2392" s="202" t="s">
        <v>441</v>
      </c>
      <c r="E2392" s="202" t="s">
        <v>639</v>
      </c>
      <c r="F2392" s="202" t="s">
        <v>410</v>
      </c>
      <c r="G2392" s="202" t="s">
        <v>689</v>
      </c>
    </row>
    <row r="2393" spans="1:7" hidden="1">
      <c r="A2393" s="202" t="s">
        <v>1601</v>
      </c>
      <c r="B2393" s="203">
        <v>6500</v>
      </c>
      <c r="C2393" s="203">
        <v>0</v>
      </c>
      <c r="D2393" s="202" t="s">
        <v>441</v>
      </c>
      <c r="E2393" s="202" t="s">
        <v>639</v>
      </c>
      <c r="F2393" s="202" t="s">
        <v>653</v>
      </c>
      <c r="G2393" s="202" t="s">
        <v>689</v>
      </c>
    </row>
    <row r="2394" spans="1:7" hidden="1">
      <c r="A2394" s="202" t="s">
        <v>1602</v>
      </c>
      <c r="B2394" s="203">
        <v>163400</v>
      </c>
      <c r="C2394" s="203">
        <v>0</v>
      </c>
      <c r="D2394" s="202" t="s">
        <v>441</v>
      </c>
      <c r="E2394" s="202" t="s">
        <v>639</v>
      </c>
      <c r="F2394" s="202" t="s">
        <v>653</v>
      </c>
      <c r="G2394" s="202" t="s">
        <v>689</v>
      </c>
    </row>
    <row r="2395" spans="1:7" hidden="1">
      <c r="A2395" s="202" t="s">
        <v>1603</v>
      </c>
      <c r="B2395" s="203">
        <v>-233376</v>
      </c>
      <c r="C2395" s="203">
        <v>0</v>
      </c>
      <c r="D2395" s="202" t="s">
        <v>441</v>
      </c>
      <c r="E2395" s="202" t="s">
        <v>639</v>
      </c>
      <c r="F2395" s="202" t="s">
        <v>653</v>
      </c>
      <c r="G2395" s="202" t="s">
        <v>689</v>
      </c>
    </row>
    <row r="2396" spans="1:7" hidden="1">
      <c r="A2396" s="202" t="s">
        <v>1604</v>
      </c>
      <c r="B2396" s="203">
        <v>-64600</v>
      </c>
      <c r="C2396" s="203">
        <v>0</v>
      </c>
      <c r="D2396" s="202" t="s">
        <v>443</v>
      </c>
      <c r="E2396" s="202" t="s">
        <v>639</v>
      </c>
      <c r="F2396" s="202" t="s">
        <v>397</v>
      </c>
      <c r="G2396" s="202" t="s">
        <v>689</v>
      </c>
    </row>
    <row r="2397" spans="1:7" hidden="1">
      <c r="A2397" s="202" t="s">
        <v>1605</v>
      </c>
      <c r="B2397" s="203">
        <v>58900</v>
      </c>
      <c r="C2397" s="203">
        <v>0</v>
      </c>
      <c r="D2397" s="202" t="s">
        <v>441</v>
      </c>
      <c r="E2397" s="202" t="s">
        <v>639</v>
      </c>
      <c r="F2397" s="202" t="s">
        <v>653</v>
      </c>
      <c r="G2397" s="202" t="s">
        <v>689</v>
      </c>
    </row>
    <row r="2398" spans="1:7" hidden="1">
      <c r="A2398" s="202" t="s">
        <v>1606</v>
      </c>
      <c r="B2398" s="203">
        <v>3500</v>
      </c>
      <c r="C2398" s="203">
        <v>0</v>
      </c>
      <c r="D2398" s="202" t="s">
        <v>443</v>
      </c>
      <c r="E2398" s="202" t="s">
        <v>639</v>
      </c>
      <c r="F2398" s="202" t="s">
        <v>397</v>
      </c>
      <c r="G2398" s="202" t="s">
        <v>689</v>
      </c>
    </row>
    <row r="2399" spans="1:7" hidden="1">
      <c r="A2399" s="202" t="s">
        <v>1607</v>
      </c>
      <c r="B2399" s="203">
        <v>3500</v>
      </c>
      <c r="C2399" s="203">
        <v>0</v>
      </c>
      <c r="D2399" s="202" t="s">
        <v>443</v>
      </c>
      <c r="E2399" s="202" t="s">
        <v>639</v>
      </c>
      <c r="F2399" s="202" t="s">
        <v>397</v>
      </c>
      <c r="G2399" s="202" t="s">
        <v>689</v>
      </c>
    </row>
    <row r="2400" spans="1:7" hidden="1">
      <c r="A2400" s="202" t="s">
        <v>1608</v>
      </c>
      <c r="B2400" s="203">
        <v>13900</v>
      </c>
      <c r="C2400" s="203">
        <v>0</v>
      </c>
      <c r="D2400" s="202" t="s">
        <v>443</v>
      </c>
      <c r="E2400" s="202" t="s">
        <v>639</v>
      </c>
      <c r="F2400" s="202" t="s">
        <v>397</v>
      </c>
      <c r="G2400" s="202" t="s">
        <v>689</v>
      </c>
    </row>
    <row r="2401" spans="1:7" hidden="1">
      <c r="A2401" s="202" t="s">
        <v>1609</v>
      </c>
      <c r="B2401" s="203">
        <v>3700</v>
      </c>
      <c r="C2401" s="203">
        <v>0</v>
      </c>
      <c r="D2401" s="202" t="s">
        <v>443</v>
      </c>
      <c r="E2401" s="202" t="s">
        <v>639</v>
      </c>
      <c r="F2401" s="202" t="s">
        <v>397</v>
      </c>
      <c r="G2401" s="202" t="s">
        <v>689</v>
      </c>
    </row>
    <row r="2402" spans="1:7" hidden="1">
      <c r="A2402" s="202" t="s">
        <v>1610</v>
      </c>
      <c r="B2402" s="203">
        <v>56800</v>
      </c>
      <c r="C2402" s="203">
        <v>0</v>
      </c>
      <c r="D2402" s="202" t="s">
        <v>441</v>
      </c>
      <c r="E2402" s="202" t="s">
        <v>639</v>
      </c>
      <c r="F2402" s="202" t="s">
        <v>653</v>
      </c>
      <c r="G2402" s="202" t="s">
        <v>689</v>
      </c>
    </row>
    <row r="2403" spans="1:7" hidden="1">
      <c r="A2403" s="202" t="s">
        <v>1611</v>
      </c>
      <c r="B2403" s="203">
        <v>4000</v>
      </c>
      <c r="C2403" s="203">
        <v>0</v>
      </c>
      <c r="D2403" s="202" t="s">
        <v>443</v>
      </c>
      <c r="E2403" s="202" t="s">
        <v>639</v>
      </c>
      <c r="F2403" s="202" t="s">
        <v>397</v>
      </c>
      <c r="G2403" s="202" t="s">
        <v>689</v>
      </c>
    </row>
    <row r="2404" spans="1:7" hidden="1">
      <c r="A2404" s="202" t="s">
        <v>1612</v>
      </c>
      <c r="B2404" s="203">
        <v>114200</v>
      </c>
      <c r="C2404" s="203">
        <v>0</v>
      </c>
      <c r="D2404" s="202" t="s">
        <v>441</v>
      </c>
      <c r="E2404" s="202" t="s">
        <v>639</v>
      </c>
      <c r="F2404" s="202" t="s">
        <v>653</v>
      </c>
      <c r="G2404" s="202" t="s">
        <v>689</v>
      </c>
    </row>
    <row r="2405" spans="1:7" hidden="1">
      <c r="A2405" s="202" t="s">
        <v>1613</v>
      </c>
      <c r="B2405" s="203">
        <v>30000</v>
      </c>
      <c r="C2405" s="203">
        <v>0</v>
      </c>
      <c r="D2405" s="202" t="s">
        <v>441</v>
      </c>
      <c r="E2405" s="202" t="s">
        <v>639</v>
      </c>
      <c r="F2405" s="202" t="s">
        <v>653</v>
      </c>
      <c r="G2405" s="202" t="s">
        <v>689</v>
      </c>
    </row>
    <row r="2406" spans="1:7" hidden="1">
      <c r="A2406" s="202" t="s">
        <v>1614</v>
      </c>
      <c r="B2406" s="203">
        <v>3500</v>
      </c>
      <c r="C2406" s="203">
        <v>0</v>
      </c>
      <c r="D2406" s="202" t="s">
        <v>443</v>
      </c>
      <c r="E2406" s="202" t="s">
        <v>639</v>
      </c>
      <c r="F2406" s="202" t="s">
        <v>397</v>
      </c>
      <c r="G2406" s="202" t="s">
        <v>689</v>
      </c>
    </row>
    <row r="2407" spans="1:7" hidden="1">
      <c r="A2407" s="202" t="s">
        <v>1615</v>
      </c>
      <c r="B2407" s="203">
        <v>26200</v>
      </c>
      <c r="C2407" s="203">
        <v>0</v>
      </c>
      <c r="D2407" s="202" t="s">
        <v>441</v>
      </c>
      <c r="E2407" s="202" t="s">
        <v>639</v>
      </c>
      <c r="F2407" s="202" t="s">
        <v>653</v>
      </c>
      <c r="G2407" s="202" t="s">
        <v>689</v>
      </c>
    </row>
    <row r="2408" spans="1:7" hidden="1">
      <c r="A2408" s="202" t="s">
        <v>1616</v>
      </c>
      <c r="B2408" s="203">
        <v>15600</v>
      </c>
      <c r="C2408" s="203">
        <v>0</v>
      </c>
      <c r="D2408" s="202" t="s">
        <v>441</v>
      </c>
      <c r="E2408" s="202" t="s">
        <v>639</v>
      </c>
      <c r="F2408" s="202" t="s">
        <v>653</v>
      </c>
      <c r="G2408" s="202" t="s">
        <v>689</v>
      </c>
    </row>
    <row r="2409" spans="1:7" hidden="1">
      <c r="A2409" s="202" t="s">
        <v>1617</v>
      </c>
      <c r="B2409" s="203">
        <v>3400</v>
      </c>
      <c r="C2409" s="203">
        <v>0</v>
      </c>
      <c r="D2409" s="202" t="s">
        <v>443</v>
      </c>
      <c r="E2409" s="202" t="s">
        <v>639</v>
      </c>
      <c r="F2409" s="202" t="s">
        <v>397</v>
      </c>
      <c r="G2409" s="202" t="s">
        <v>689</v>
      </c>
    </row>
    <row r="2410" spans="1:7" hidden="1">
      <c r="A2410" s="202" t="s">
        <v>1618</v>
      </c>
      <c r="B2410" s="203">
        <v>17000</v>
      </c>
      <c r="C2410" s="203">
        <v>0</v>
      </c>
      <c r="D2410" s="202" t="s">
        <v>441</v>
      </c>
      <c r="E2410" s="202" t="s">
        <v>639</v>
      </c>
      <c r="F2410" s="202" t="s">
        <v>653</v>
      </c>
      <c r="G2410" s="202" t="s">
        <v>689</v>
      </c>
    </row>
    <row r="2411" spans="1:7" hidden="1">
      <c r="A2411" s="202" t="s">
        <v>1619</v>
      </c>
      <c r="B2411" s="203">
        <v>7200</v>
      </c>
      <c r="C2411" s="203">
        <v>0</v>
      </c>
      <c r="D2411" s="202" t="s">
        <v>443</v>
      </c>
      <c r="E2411" s="202" t="s">
        <v>639</v>
      </c>
      <c r="F2411" s="202" t="s">
        <v>397</v>
      </c>
      <c r="G2411" s="202" t="s">
        <v>689</v>
      </c>
    </row>
    <row r="2412" spans="1:7" hidden="1">
      <c r="A2412" s="202" t="s">
        <v>1620</v>
      </c>
      <c r="B2412" s="203">
        <v>7400</v>
      </c>
      <c r="C2412" s="203">
        <v>0</v>
      </c>
      <c r="D2412" s="202" t="s">
        <v>443</v>
      </c>
      <c r="E2412" s="202" t="s">
        <v>639</v>
      </c>
      <c r="F2412" s="202" t="s">
        <v>397</v>
      </c>
      <c r="G2412" s="202" t="s">
        <v>689</v>
      </c>
    </row>
    <row r="2413" spans="1:7" hidden="1">
      <c r="A2413" s="202" t="s">
        <v>1621</v>
      </c>
      <c r="B2413" s="203">
        <v>28800</v>
      </c>
      <c r="C2413" s="203">
        <v>0</v>
      </c>
      <c r="D2413" s="202" t="s">
        <v>441</v>
      </c>
      <c r="E2413" s="202" t="s">
        <v>639</v>
      </c>
      <c r="F2413" s="202" t="s">
        <v>653</v>
      </c>
      <c r="G2413" s="202" t="s">
        <v>689</v>
      </c>
    </row>
    <row r="2414" spans="1:7" hidden="1">
      <c r="A2414" s="202" t="s">
        <v>1622</v>
      </c>
      <c r="B2414" s="203">
        <v>15200</v>
      </c>
      <c r="C2414" s="203">
        <v>0</v>
      </c>
      <c r="D2414" s="202" t="s">
        <v>443</v>
      </c>
      <c r="E2414" s="202" t="s">
        <v>639</v>
      </c>
      <c r="F2414" s="202" t="s">
        <v>397</v>
      </c>
      <c r="G2414" s="202" t="s">
        <v>689</v>
      </c>
    </row>
    <row r="2415" spans="1:7" hidden="1">
      <c r="A2415" s="202" t="s">
        <v>1623</v>
      </c>
      <c r="B2415" s="203">
        <v>5000</v>
      </c>
      <c r="C2415" s="203">
        <v>0</v>
      </c>
      <c r="D2415" s="202" t="s">
        <v>443</v>
      </c>
      <c r="E2415" s="202" t="s">
        <v>639</v>
      </c>
      <c r="F2415" s="202" t="s">
        <v>397</v>
      </c>
      <c r="G2415" s="202" t="s">
        <v>689</v>
      </c>
    </row>
    <row r="2416" spans="1:7" hidden="1">
      <c r="A2416" s="202" t="s">
        <v>1624</v>
      </c>
      <c r="B2416" s="203">
        <v>42000</v>
      </c>
      <c r="C2416" s="203">
        <v>0</v>
      </c>
      <c r="D2416" s="202" t="s">
        <v>441</v>
      </c>
      <c r="E2416" s="202" t="s">
        <v>639</v>
      </c>
      <c r="F2416" s="202" t="s">
        <v>653</v>
      </c>
      <c r="G2416" s="202" t="s">
        <v>689</v>
      </c>
    </row>
    <row r="2417" spans="1:7" hidden="1">
      <c r="A2417" s="202" t="s">
        <v>1625</v>
      </c>
      <c r="B2417" s="203">
        <v>136900</v>
      </c>
      <c r="C2417" s="203">
        <v>0</v>
      </c>
      <c r="D2417" s="202" t="s">
        <v>441</v>
      </c>
      <c r="E2417" s="202" t="s">
        <v>639</v>
      </c>
      <c r="F2417" s="202" t="s">
        <v>653</v>
      </c>
      <c r="G2417" s="202" t="s">
        <v>689</v>
      </c>
    </row>
    <row r="2418" spans="1:7" hidden="1">
      <c r="A2418" s="202" t="s">
        <v>1626</v>
      </c>
      <c r="B2418" s="203">
        <v>10034</v>
      </c>
      <c r="C2418" s="203">
        <v>0</v>
      </c>
      <c r="D2418" s="202" t="s">
        <v>443</v>
      </c>
      <c r="E2418" s="202" t="s">
        <v>639</v>
      </c>
      <c r="F2418" s="202" t="s">
        <v>397</v>
      </c>
      <c r="G2418" s="202" t="s">
        <v>689</v>
      </c>
    </row>
    <row r="2419" spans="1:7" hidden="1">
      <c r="A2419" s="202" t="s">
        <v>1627</v>
      </c>
      <c r="B2419" s="203">
        <v>4300</v>
      </c>
      <c r="C2419" s="203">
        <v>0</v>
      </c>
      <c r="D2419" s="202" t="s">
        <v>443</v>
      </c>
      <c r="E2419" s="202" t="s">
        <v>639</v>
      </c>
      <c r="F2419" s="202" t="s">
        <v>397</v>
      </c>
      <c r="G2419" s="202" t="s">
        <v>689</v>
      </c>
    </row>
    <row r="2420" spans="1:7" hidden="1">
      <c r="A2420" s="202" t="s">
        <v>1628</v>
      </c>
      <c r="B2420" s="203">
        <v>3600</v>
      </c>
      <c r="C2420" s="203">
        <v>0</v>
      </c>
      <c r="D2420" s="202" t="s">
        <v>443</v>
      </c>
      <c r="E2420" s="202" t="s">
        <v>639</v>
      </c>
      <c r="F2420" s="202" t="s">
        <v>397</v>
      </c>
      <c r="G2420" s="202" t="s">
        <v>689</v>
      </c>
    </row>
    <row r="2421" spans="1:7" hidden="1">
      <c r="A2421" s="202" t="s">
        <v>1628</v>
      </c>
      <c r="B2421" s="203">
        <v>16600</v>
      </c>
      <c r="C2421" s="203">
        <v>0</v>
      </c>
      <c r="D2421" s="202" t="s">
        <v>475</v>
      </c>
      <c r="E2421" s="202" t="s">
        <v>639</v>
      </c>
      <c r="F2421" s="202" t="s">
        <v>397</v>
      </c>
      <c r="G2421" s="202" t="s">
        <v>689</v>
      </c>
    </row>
    <row r="2422" spans="1:7" hidden="1">
      <c r="A2422" s="202" t="s">
        <v>1629</v>
      </c>
      <c r="B2422" s="203">
        <v>3000</v>
      </c>
      <c r="C2422" s="203">
        <v>0</v>
      </c>
      <c r="D2422" s="202" t="s">
        <v>443</v>
      </c>
      <c r="E2422" s="202" t="s">
        <v>639</v>
      </c>
      <c r="F2422" s="202" t="s">
        <v>397</v>
      </c>
      <c r="G2422" s="202" t="s">
        <v>689</v>
      </c>
    </row>
    <row r="2423" spans="1:7" hidden="1">
      <c r="A2423" s="202" t="s">
        <v>1630</v>
      </c>
      <c r="B2423" s="203">
        <v>9200</v>
      </c>
      <c r="C2423" s="203">
        <v>0</v>
      </c>
      <c r="D2423" s="202" t="s">
        <v>441</v>
      </c>
      <c r="E2423" s="202" t="s">
        <v>639</v>
      </c>
      <c r="F2423" s="202" t="s">
        <v>653</v>
      </c>
      <c r="G2423" s="202" t="s">
        <v>689</v>
      </c>
    </row>
    <row r="2424" spans="1:7" hidden="1">
      <c r="A2424" s="202" t="s">
        <v>1631</v>
      </c>
      <c r="B2424" s="203">
        <v>3000</v>
      </c>
      <c r="C2424" s="203">
        <v>0</v>
      </c>
      <c r="D2424" s="202" t="s">
        <v>443</v>
      </c>
      <c r="E2424" s="202" t="s">
        <v>639</v>
      </c>
      <c r="F2424" s="202" t="s">
        <v>397</v>
      </c>
      <c r="G2424" s="202" t="s">
        <v>689</v>
      </c>
    </row>
    <row r="2425" spans="1:7" hidden="1">
      <c r="A2425" s="202" t="s">
        <v>1632</v>
      </c>
      <c r="B2425" s="203">
        <v>14800</v>
      </c>
      <c r="C2425" s="203">
        <v>0</v>
      </c>
      <c r="D2425" s="202" t="s">
        <v>441</v>
      </c>
      <c r="E2425" s="202" t="s">
        <v>639</v>
      </c>
      <c r="F2425" s="202" t="s">
        <v>653</v>
      </c>
      <c r="G2425" s="202" t="s">
        <v>689</v>
      </c>
    </row>
    <row r="2426" spans="1:7" hidden="1">
      <c r="A2426" s="202" t="s">
        <v>1633</v>
      </c>
      <c r="B2426" s="203">
        <v>3100</v>
      </c>
      <c r="C2426" s="203">
        <v>0</v>
      </c>
      <c r="D2426" s="202" t="s">
        <v>443</v>
      </c>
      <c r="E2426" s="202" t="s">
        <v>639</v>
      </c>
      <c r="F2426" s="202" t="s">
        <v>397</v>
      </c>
      <c r="G2426" s="202" t="s">
        <v>689</v>
      </c>
    </row>
    <row r="2427" spans="1:7" hidden="1">
      <c r="A2427" s="202" t="s">
        <v>1634</v>
      </c>
      <c r="B2427" s="203">
        <v>3200</v>
      </c>
      <c r="C2427" s="203">
        <v>0</v>
      </c>
      <c r="D2427" s="202" t="s">
        <v>443</v>
      </c>
      <c r="E2427" s="202" t="s">
        <v>639</v>
      </c>
      <c r="F2427" s="202" t="s">
        <v>397</v>
      </c>
      <c r="G2427" s="202" t="s">
        <v>689</v>
      </c>
    </row>
    <row r="2428" spans="1:7" hidden="1">
      <c r="A2428" s="202" t="s">
        <v>1635</v>
      </c>
      <c r="B2428" s="203">
        <v>20800</v>
      </c>
      <c r="C2428" s="203">
        <v>0</v>
      </c>
      <c r="D2428" s="202" t="s">
        <v>441</v>
      </c>
      <c r="E2428" s="202" t="s">
        <v>639</v>
      </c>
      <c r="F2428" s="202" t="s">
        <v>653</v>
      </c>
      <c r="G2428" s="202" t="s">
        <v>689</v>
      </c>
    </row>
    <row r="2429" spans="1:7" hidden="1">
      <c r="A2429" s="202" t="s">
        <v>1636</v>
      </c>
      <c r="B2429" s="203">
        <v>20800</v>
      </c>
      <c r="C2429" s="203">
        <v>0</v>
      </c>
      <c r="D2429" s="202" t="s">
        <v>443</v>
      </c>
      <c r="E2429" s="202" t="s">
        <v>639</v>
      </c>
      <c r="F2429" s="202" t="s">
        <v>397</v>
      </c>
      <c r="G2429" s="202" t="s">
        <v>689</v>
      </c>
    </row>
    <row r="2430" spans="1:7" hidden="1">
      <c r="A2430" s="202" t="s">
        <v>1637</v>
      </c>
      <c r="B2430" s="203">
        <v>2700</v>
      </c>
      <c r="C2430" s="203">
        <v>0</v>
      </c>
      <c r="D2430" s="202" t="s">
        <v>441</v>
      </c>
      <c r="E2430" s="202" t="s">
        <v>639</v>
      </c>
      <c r="F2430" s="202" t="s">
        <v>410</v>
      </c>
      <c r="G2430" s="202" t="s">
        <v>689</v>
      </c>
    </row>
    <row r="2431" spans="1:7" hidden="1">
      <c r="A2431" s="202" t="s">
        <v>1638</v>
      </c>
      <c r="B2431" s="203">
        <v>16700</v>
      </c>
      <c r="C2431" s="203">
        <v>0</v>
      </c>
      <c r="D2431" s="202" t="s">
        <v>441</v>
      </c>
      <c r="E2431" s="202" t="s">
        <v>639</v>
      </c>
      <c r="F2431" s="202" t="s">
        <v>653</v>
      </c>
      <c r="G2431" s="202" t="s">
        <v>689</v>
      </c>
    </row>
    <row r="2432" spans="1:7" hidden="1">
      <c r="A2432" s="202" t="s">
        <v>1639</v>
      </c>
      <c r="B2432" s="203">
        <v>23900</v>
      </c>
      <c r="C2432" s="203">
        <v>0</v>
      </c>
      <c r="D2432" s="202" t="s">
        <v>441</v>
      </c>
      <c r="E2432" s="202" t="s">
        <v>639</v>
      </c>
      <c r="F2432" s="202" t="s">
        <v>653</v>
      </c>
      <c r="G2432" s="202" t="s">
        <v>689</v>
      </c>
    </row>
    <row r="2433" spans="1:7" hidden="1">
      <c r="A2433" s="202" t="s">
        <v>1640</v>
      </c>
      <c r="B2433" s="203">
        <v>6600</v>
      </c>
      <c r="C2433" s="203">
        <v>0</v>
      </c>
      <c r="D2433" s="202" t="s">
        <v>441</v>
      </c>
      <c r="E2433" s="202" t="s">
        <v>639</v>
      </c>
      <c r="F2433" s="202" t="s">
        <v>653</v>
      </c>
      <c r="G2433" s="202" t="s">
        <v>689</v>
      </c>
    </row>
    <row r="2434" spans="1:7" hidden="1">
      <c r="A2434" s="202" t="s">
        <v>1641</v>
      </c>
      <c r="B2434" s="203">
        <v>3100</v>
      </c>
      <c r="C2434" s="203">
        <v>0</v>
      </c>
      <c r="D2434" s="202" t="s">
        <v>441</v>
      </c>
      <c r="E2434" s="202" t="s">
        <v>639</v>
      </c>
      <c r="F2434" s="202" t="s">
        <v>653</v>
      </c>
      <c r="G2434" s="202" t="s">
        <v>689</v>
      </c>
    </row>
    <row r="2435" spans="1:7" hidden="1">
      <c r="A2435" s="202" t="s">
        <v>1642</v>
      </c>
      <c r="B2435" s="203">
        <v>400</v>
      </c>
      <c r="C2435" s="203">
        <v>0</v>
      </c>
      <c r="D2435" s="202" t="s">
        <v>441</v>
      </c>
      <c r="E2435" s="202" t="s">
        <v>639</v>
      </c>
      <c r="F2435" s="202" t="s">
        <v>653</v>
      </c>
      <c r="G2435" s="202" t="s">
        <v>689</v>
      </c>
    </row>
    <row r="2436" spans="1:7" hidden="1">
      <c r="A2436" s="202" t="s">
        <v>1643</v>
      </c>
      <c r="B2436" s="203">
        <v>18700</v>
      </c>
      <c r="C2436" s="203">
        <v>0</v>
      </c>
      <c r="D2436" s="202" t="s">
        <v>441</v>
      </c>
      <c r="E2436" s="202" t="s">
        <v>639</v>
      </c>
      <c r="F2436" s="202" t="s">
        <v>653</v>
      </c>
      <c r="G2436" s="202" t="s">
        <v>689</v>
      </c>
    </row>
    <row r="2437" spans="1:7" hidden="1">
      <c r="A2437" s="202" t="s">
        <v>1644</v>
      </c>
      <c r="B2437" s="203">
        <v>66100</v>
      </c>
      <c r="C2437" s="203">
        <v>0</v>
      </c>
      <c r="D2437" s="202" t="s">
        <v>441</v>
      </c>
      <c r="E2437" s="202" t="s">
        <v>639</v>
      </c>
      <c r="F2437" s="202" t="s">
        <v>653</v>
      </c>
      <c r="G2437" s="202" t="s">
        <v>689</v>
      </c>
    </row>
    <row r="2438" spans="1:7" hidden="1">
      <c r="A2438" s="202" t="s">
        <v>1645</v>
      </c>
      <c r="B2438" s="203">
        <v>4800</v>
      </c>
      <c r="C2438" s="203">
        <v>0</v>
      </c>
      <c r="D2438" s="202" t="s">
        <v>441</v>
      </c>
      <c r="E2438" s="202" t="s">
        <v>639</v>
      </c>
      <c r="F2438" s="202" t="s">
        <v>653</v>
      </c>
      <c r="G2438" s="202" t="s">
        <v>689</v>
      </c>
    </row>
    <row r="2439" spans="1:7" hidden="1">
      <c r="A2439" s="202" t="s">
        <v>1646</v>
      </c>
      <c r="B2439" s="203">
        <v>21200</v>
      </c>
      <c r="C2439" s="203">
        <v>0</v>
      </c>
      <c r="D2439" s="202" t="s">
        <v>441</v>
      </c>
      <c r="E2439" s="202" t="s">
        <v>639</v>
      </c>
      <c r="F2439" s="202" t="s">
        <v>653</v>
      </c>
      <c r="G2439" s="202" t="s">
        <v>689</v>
      </c>
    </row>
    <row r="2440" spans="1:7" hidden="1">
      <c r="A2440" s="202" t="s">
        <v>1647</v>
      </c>
      <c r="B2440" s="203">
        <v>1200</v>
      </c>
      <c r="C2440" s="203">
        <v>0</v>
      </c>
      <c r="D2440" s="202" t="s">
        <v>443</v>
      </c>
      <c r="E2440" s="202" t="s">
        <v>639</v>
      </c>
      <c r="F2440" s="202" t="s">
        <v>397</v>
      </c>
      <c r="G2440" s="202" t="s">
        <v>689</v>
      </c>
    </row>
    <row r="2441" spans="1:7" hidden="1">
      <c r="A2441" s="202" t="s">
        <v>1648</v>
      </c>
      <c r="B2441" s="203">
        <v>3100</v>
      </c>
      <c r="C2441" s="203">
        <v>0</v>
      </c>
      <c r="D2441" s="202" t="s">
        <v>443</v>
      </c>
      <c r="E2441" s="202" t="s">
        <v>639</v>
      </c>
      <c r="F2441" s="202" t="s">
        <v>397</v>
      </c>
      <c r="G2441" s="202" t="s">
        <v>689</v>
      </c>
    </row>
    <row r="2442" spans="1:7" hidden="1">
      <c r="A2442" s="202" t="s">
        <v>1649</v>
      </c>
      <c r="B2442" s="203">
        <v>700</v>
      </c>
      <c r="C2442" s="203">
        <v>0</v>
      </c>
      <c r="D2442" s="202" t="s">
        <v>443</v>
      </c>
      <c r="E2442" s="202" t="s">
        <v>639</v>
      </c>
      <c r="F2442" s="202" t="s">
        <v>397</v>
      </c>
      <c r="G2442" s="202" t="s">
        <v>689</v>
      </c>
    </row>
    <row r="2443" spans="1:7" hidden="1">
      <c r="A2443" s="202" t="s">
        <v>1650</v>
      </c>
      <c r="B2443" s="203">
        <v>20900</v>
      </c>
      <c r="C2443" s="203">
        <v>0</v>
      </c>
      <c r="D2443" s="202" t="s">
        <v>441</v>
      </c>
      <c r="E2443" s="202" t="s">
        <v>639</v>
      </c>
      <c r="F2443" s="202" t="s">
        <v>653</v>
      </c>
      <c r="G2443" s="202" t="s">
        <v>689</v>
      </c>
    </row>
    <row r="2444" spans="1:7" hidden="1">
      <c r="A2444" s="202" t="s">
        <v>1651</v>
      </c>
      <c r="B2444" s="203">
        <v>13800</v>
      </c>
      <c r="C2444" s="203">
        <v>0</v>
      </c>
      <c r="D2444" s="202" t="s">
        <v>441</v>
      </c>
      <c r="E2444" s="202" t="s">
        <v>639</v>
      </c>
      <c r="F2444" s="202" t="s">
        <v>653</v>
      </c>
      <c r="G2444" s="202" t="s">
        <v>689</v>
      </c>
    </row>
    <row r="2445" spans="1:7" hidden="1">
      <c r="A2445" s="202" t="s">
        <v>1652</v>
      </c>
      <c r="B2445" s="203">
        <v>1400</v>
      </c>
      <c r="C2445" s="203">
        <v>0</v>
      </c>
      <c r="D2445" s="202" t="s">
        <v>443</v>
      </c>
      <c r="E2445" s="202" t="s">
        <v>639</v>
      </c>
      <c r="F2445" s="202" t="s">
        <v>397</v>
      </c>
      <c r="G2445" s="202" t="s">
        <v>689</v>
      </c>
    </row>
    <row r="2446" spans="1:7" hidden="1">
      <c r="A2446" s="202" t="s">
        <v>1653</v>
      </c>
      <c r="B2446" s="203">
        <v>29800</v>
      </c>
      <c r="C2446" s="203">
        <v>0</v>
      </c>
      <c r="D2446" s="202" t="s">
        <v>441</v>
      </c>
      <c r="E2446" s="202" t="s">
        <v>639</v>
      </c>
      <c r="F2446" s="202" t="s">
        <v>653</v>
      </c>
      <c r="G2446" s="202" t="s">
        <v>689</v>
      </c>
    </row>
    <row r="2447" spans="1:7" hidden="1">
      <c r="A2447" s="202" t="s">
        <v>1654</v>
      </c>
      <c r="B2447" s="203">
        <v>4600</v>
      </c>
      <c r="C2447" s="203">
        <v>0</v>
      </c>
      <c r="D2447" s="202" t="s">
        <v>441</v>
      </c>
      <c r="E2447" s="202" t="s">
        <v>639</v>
      </c>
      <c r="F2447" s="202" t="s">
        <v>653</v>
      </c>
      <c r="G2447" s="202" t="s">
        <v>689</v>
      </c>
    </row>
    <row r="2448" spans="1:7" hidden="1">
      <c r="A2448" s="202" t="s">
        <v>1655</v>
      </c>
      <c r="B2448" s="203">
        <v>25400</v>
      </c>
      <c r="C2448" s="203">
        <v>0</v>
      </c>
      <c r="D2448" s="202" t="s">
        <v>441</v>
      </c>
      <c r="E2448" s="202" t="s">
        <v>639</v>
      </c>
      <c r="F2448" s="202" t="s">
        <v>653</v>
      </c>
      <c r="G2448" s="202" t="s">
        <v>689</v>
      </c>
    </row>
    <row r="2449" spans="1:7" hidden="1">
      <c r="A2449" s="202" t="s">
        <v>1656</v>
      </c>
      <c r="B2449" s="203">
        <v>26700</v>
      </c>
      <c r="C2449" s="203">
        <v>0</v>
      </c>
      <c r="D2449" s="202" t="s">
        <v>441</v>
      </c>
      <c r="E2449" s="202" t="s">
        <v>639</v>
      </c>
      <c r="F2449" s="202" t="s">
        <v>653</v>
      </c>
      <c r="G2449" s="202" t="s">
        <v>689</v>
      </c>
    </row>
    <row r="2450" spans="1:7" hidden="1">
      <c r="A2450" s="202" t="s">
        <v>1657</v>
      </c>
      <c r="B2450" s="203">
        <v>12100</v>
      </c>
      <c r="C2450" s="203">
        <v>0</v>
      </c>
      <c r="D2450" s="202" t="s">
        <v>441</v>
      </c>
      <c r="E2450" s="202" t="s">
        <v>639</v>
      </c>
      <c r="F2450" s="202" t="s">
        <v>653</v>
      </c>
      <c r="G2450" s="202" t="s">
        <v>689</v>
      </c>
    </row>
    <row r="2451" spans="1:7" hidden="1">
      <c r="A2451" s="202" t="s">
        <v>1658</v>
      </c>
      <c r="B2451" s="203">
        <v>2500</v>
      </c>
      <c r="C2451" s="203">
        <v>0</v>
      </c>
      <c r="D2451" s="202" t="s">
        <v>443</v>
      </c>
      <c r="E2451" s="202" t="s">
        <v>639</v>
      </c>
      <c r="F2451" s="202" t="s">
        <v>397</v>
      </c>
      <c r="G2451" s="202" t="s">
        <v>689</v>
      </c>
    </row>
    <row r="2452" spans="1:7" hidden="1">
      <c r="A2452" s="202" t="s">
        <v>1659</v>
      </c>
      <c r="B2452" s="203">
        <v>1100</v>
      </c>
      <c r="C2452" s="203">
        <v>0</v>
      </c>
      <c r="D2452" s="202" t="s">
        <v>443</v>
      </c>
      <c r="E2452" s="202" t="s">
        <v>639</v>
      </c>
      <c r="F2452" s="202" t="s">
        <v>397</v>
      </c>
      <c r="G2452" s="202" t="s">
        <v>689</v>
      </c>
    </row>
    <row r="2453" spans="1:7" hidden="1">
      <c r="A2453" s="202" t="s">
        <v>1660</v>
      </c>
      <c r="B2453" s="203">
        <v>4300</v>
      </c>
      <c r="C2453" s="203">
        <v>0</v>
      </c>
      <c r="D2453" s="202" t="s">
        <v>441</v>
      </c>
      <c r="E2453" s="202" t="s">
        <v>639</v>
      </c>
      <c r="F2453" s="202" t="s">
        <v>653</v>
      </c>
      <c r="G2453" s="202" t="s">
        <v>689</v>
      </c>
    </row>
    <row r="2454" spans="1:7" hidden="1">
      <c r="A2454" s="202" t="s">
        <v>1661</v>
      </c>
      <c r="B2454" s="203">
        <v>-76700</v>
      </c>
      <c r="C2454" s="203">
        <v>0</v>
      </c>
      <c r="D2454" s="202" t="s">
        <v>441</v>
      </c>
      <c r="E2454" s="202" t="s">
        <v>639</v>
      </c>
      <c r="F2454" s="202" t="s">
        <v>653</v>
      </c>
      <c r="G2454" s="202" t="s">
        <v>689</v>
      </c>
    </row>
    <row r="2455" spans="1:7" hidden="1">
      <c r="A2455" s="202" t="s">
        <v>1662</v>
      </c>
      <c r="B2455" s="203">
        <v>-3700</v>
      </c>
      <c r="C2455" s="203">
        <v>0</v>
      </c>
      <c r="D2455" s="202" t="s">
        <v>443</v>
      </c>
      <c r="E2455" s="202" t="s">
        <v>639</v>
      </c>
      <c r="F2455" s="202" t="s">
        <v>397</v>
      </c>
      <c r="G2455" s="202" t="s">
        <v>689</v>
      </c>
    </row>
    <row r="2456" spans="1:7" hidden="1">
      <c r="A2456" s="202" t="s">
        <v>658</v>
      </c>
      <c r="B2456" s="203">
        <v>-2123</v>
      </c>
      <c r="C2456" s="203">
        <v>0</v>
      </c>
      <c r="D2456" s="202" t="s">
        <v>441</v>
      </c>
      <c r="E2456" s="202" t="s">
        <v>440</v>
      </c>
      <c r="F2456" s="202" t="s">
        <v>395</v>
      </c>
      <c r="G2456" s="202" t="s">
        <v>689</v>
      </c>
    </row>
    <row r="2457" spans="1:7" hidden="1">
      <c r="A2457" s="202" t="s">
        <v>659</v>
      </c>
      <c r="B2457" s="203">
        <v>2470</v>
      </c>
      <c r="C2457" s="203">
        <v>0</v>
      </c>
      <c r="D2457" s="202" t="s">
        <v>441</v>
      </c>
      <c r="E2457" s="202" t="s">
        <v>317</v>
      </c>
      <c r="F2457" s="202" t="s">
        <v>395</v>
      </c>
      <c r="G2457" s="202" t="s">
        <v>689</v>
      </c>
    </row>
    <row r="2458" spans="1:7" hidden="1">
      <c r="A2458" s="202" t="s">
        <v>659</v>
      </c>
      <c r="B2458" s="203">
        <v>-2470</v>
      </c>
      <c r="C2458" s="203">
        <v>0</v>
      </c>
      <c r="D2458" s="202" t="s">
        <v>441</v>
      </c>
      <c r="E2458" s="202" t="s">
        <v>317</v>
      </c>
      <c r="F2458" s="202" t="s">
        <v>442</v>
      </c>
      <c r="G2458" s="202" t="s">
        <v>689</v>
      </c>
    </row>
    <row r="2459" spans="1:7">
      <c r="A2459" s="202" t="s">
        <v>659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395</v>
      </c>
      <c r="G2459" s="202" t="s">
        <v>689</v>
      </c>
    </row>
    <row r="2460" spans="1:7">
      <c r="A2460" s="202" t="s">
        <v>659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394</v>
      </c>
      <c r="G2460" s="202" t="s">
        <v>689</v>
      </c>
    </row>
    <row r="2461" spans="1:7">
      <c r="A2461" s="202" t="s">
        <v>659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442</v>
      </c>
      <c r="G2461" s="202" t="s">
        <v>689</v>
      </c>
    </row>
    <row r="2462" spans="1:7">
      <c r="A2462" s="202" t="s">
        <v>662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395</v>
      </c>
      <c r="G2462" s="202" t="s">
        <v>689</v>
      </c>
    </row>
    <row r="2463" spans="1:7">
      <c r="A2463" s="202" t="s">
        <v>662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414</v>
      </c>
      <c r="G2463" s="202" t="s">
        <v>689</v>
      </c>
    </row>
    <row r="2464" spans="1:7">
      <c r="A2464" s="202" t="s">
        <v>663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395</v>
      </c>
      <c r="G2464" s="202" t="s">
        <v>689</v>
      </c>
    </row>
    <row r="2465" spans="1:7">
      <c r="A2465" s="202" t="s">
        <v>663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446</v>
      </c>
      <c r="G2465" s="202" t="s">
        <v>689</v>
      </c>
    </row>
    <row r="2466" spans="1:7">
      <c r="A2466" s="202" t="s">
        <v>663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405</v>
      </c>
      <c r="G2466" s="202" t="s">
        <v>689</v>
      </c>
    </row>
    <row r="2467" spans="1:7">
      <c r="A2467" s="202" t="s">
        <v>663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394</v>
      </c>
      <c r="G2467" s="202" t="s">
        <v>689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395</v>
      </c>
      <c r="G2468" s="202" t="s">
        <v>689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446</v>
      </c>
      <c r="G2469" s="202" t="s">
        <v>689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394</v>
      </c>
      <c r="G2470" s="202" t="s">
        <v>689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408</v>
      </c>
      <c r="G2471" s="202" t="s">
        <v>689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450</v>
      </c>
      <c r="G2472" s="202" t="s">
        <v>689</v>
      </c>
    </row>
    <row r="2473" spans="1:7" hidden="1">
      <c r="A2473" s="202" t="s">
        <v>666</v>
      </c>
      <c r="B2473" s="203">
        <v>-433</v>
      </c>
      <c r="C2473" s="203">
        <v>0</v>
      </c>
      <c r="D2473" s="202" t="s">
        <v>443</v>
      </c>
      <c r="E2473" s="202" t="s">
        <v>317</v>
      </c>
      <c r="F2473" s="202" t="s">
        <v>395</v>
      </c>
      <c r="G2473" s="202" t="s">
        <v>689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395</v>
      </c>
      <c r="G2474" s="202" t="s">
        <v>689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442</v>
      </c>
      <c r="G2475" s="202" t="s">
        <v>689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395</v>
      </c>
      <c r="G2476" s="202" t="s">
        <v>689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394</v>
      </c>
      <c r="G2477" s="202" t="s">
        <v>689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414</v>
      </c>
      <c r="G2478" s="202" t="s">
        <v>689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404</v>
      </c>
      <c r="G2479" s="202" t="s">
        <v>689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442</v>
      </c>
      <c r="G2480" s="202" t="s">
        <v>689</v>
      </c>
    </row>
    <row r="2481" spans="1:7" hidden="1">
      <c r="A2481" s="202" t="s">
        <v>667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395</v>
      </c>
      <c r="G2481" s="202" t="s">
        <v>689</v>
      </c>
    </row>
    <row r="2482" spans="1:7">
      <c r="A2482" s="202" t="s">
        <v>667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395</v>
      </c>
      <c r="G2482" s="202" t="s">
        <v>689</v>
      </c>
    </row>
    <row r="2483" spans="1:7">
      <c r="A2483" s="202" t="s">
        <v>667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409</v>
      </c>
      <c r="G2483" s="202" t="s">
        <v>689</v>
      </c>
    </row>
    <row r="2484" spans="1:7" hidden="1">
      <c r="A2484" s="202" t="s">
        <v>671</v>
      </c>
      <c r="B2484" s="203">
        <v>-1850</v>
      </c>
      <c r="C2484" s="203">
        <v>0</v>
      </c>
      <c r="D2484" s="202" t="s">
        <v>441</v>
      </c>
      <c r="E2484" s="202" t="s">
        <v>440</v>
      </c>
      <c r="F2484" s="202" t="s">
        <v>395</v>
      </c>
      <c r="G2484" s="202" t="s">
        <v>689</v>
      </c>
    </row>
    <row r="2485" spans="1:7" hidden="1">
      <c r="A2485" s="202" t="s">
        <v>672</v>
      </c>
      <c r="B2485" s="203">
        <v>7000000</v>
      </c>
      <c r="C2485" s="203">
        <v>0</v>
      </c>
      <c r="D2485" s="202" t="s">
        <v>438</v>
      </c>
      <c r="E2485" s="202" t="s">
        <v>673</v>
      </c>
      <c r="F2485" s="202" t="s">
        <v>674</v>
      </c>
      <c r="G2485" s="202" t="s">
        <v>689</v>
      </c>
    </row>
    <row r="2486" spans="1:7" hidden="1">
      <c r="A2486" s="202" t="s">
        <v>675</v>
      </c>
      <c r="B2486" s="203">
        <v>9800000</v>
      </c>
      <c r="C2486" s="203">
        <v>0</v>
      </c>
      <c r="D2486" s="202" t="s">
        <v>438</v>
      </c>
      <c r="E2486" s="202" t="s">
        <v>673</v>
      </c>
      <c r="F2486" s="202" t="s">
        <v>674</v>
      </c>
      <c r="G2486" s="202" t="s">
        <v>689</v>
      </c>
    </row>
    <row r="2487" spans="1:7" hidden="1">
      <c r="A2487" s="202" t="s">
        <v>676</v>
      </c>
      <c r="B2487" s="203">
        <v>-7000000</v>
      </c>
      <c r="C2487" s="203">
        <v>0</v>
      </c>
      <c r="D2487" s="202" t="s">
        <v>438</v>
      </c>
      <c r="E2487" s="202" t="s">
        <v>673</v>
      </c>
      <c r="F2487" s="202" t="s">
        <v>674</v>
      </c>
      <c r="G2487" s="202" t="s">
        <v>689</v>
      </c>
    </row>
    <row r="2488" spans="1:7" hidden="1">
      <c r="A2488" s="202" t="s">
        <v>677</v>
      </c>
      <c r="B2488" s="203">
        <v>-9800000</v>
      </c>
      <c r="C2488" s="203">
        <v>0</v>
      </c>
      <c r="D2488" s="202" t="s">
        <v>438</v>
      </c>
      <c r="E2488" s="202" t="s">
        <v>673</v>
      </c>
      <c r="F2488" s="202" t="s">
        <v>674</v>
      </c>
      <c r="G2488" s="202" t="s">
        <v>689</v>
      </c>
    </row>
    <row r="2489" spans="1:7" hidden="1">
      <c r="A2489" s="202" t="s">
        <v>365</v>
      </c>
      <c r="B2489" s="203">
        <v>-2805</v>
      </c>
      <c r="C2489" s="203">
        <v>0</v>
      </c>
      <c r="D2489" s="202" t="s">
        <v>481</v>
      </c>
      <c r="E2489" s="202" t="s">
        <v>448</v>
      </c>
      <c r="F2489" s="202" t="s">
        <v>395</v>
      </c>
      <c r="G2489" s="202" t="s">
        <v>689</v>
      </c>
    </row>
    <row r="2490" spans="1:7" hidden="1">
      <c r="A2490" s="202" t="s">
        <v>365</v>
      </c>
      <c r="B2490" s="203">
        <v>2805</v>
      </c>
      <c r="C2490" s="203">
        <v>0</v>
      </c>
      <c r="D2490" s="202" t="s">
        <v>481</v>
      </c>
      <c r="E2490" s="202" t="s">
        <v>448</v>
      </c>
      <c r="F2490" s="202" t="s">
        <v>405</v>
      </c>
      <c r="G2490" s="202" t="s">
        <v>689</v>
      </c>
    </row>
    <row r="2491" spans="1:7" hidden="1">
      <c r="A2491" s="202" t="s">
        <v>365</v>
      </c>
      <c r="B2491" s="203">
        <v>2805</v>
      </c>
      <c r="C2491" s="203">
        <v>0</v>
      </c>
      <c r="D2491" s="202" t="s">
        <v>588</v>
      </c>
      <c r="E2491" s="202" t="s">
        <v>448</v>
      </c>
      <c r="F2491" s="202" t="s">
        <v>395</v>
      </c>
      <c r="G2491" s="202" t="s">
        <v>689</v>
      </c>
    </row>
    <row r="2492" spans="1:7" hidden="1">
      <c r="A2492" s="202" t="s">
        <v>365</v>
      </c>
      <c r="B2492" s="203">
        <v>-2805</v>
      </c>
      <c r="C2492" s="203">
        <v>0</v>
      </c>
      <c r="D2492" s="202" t="s">
        <v>588</v>
      </c>
      <c r="E2492" s="202" t="s">
        <v>448</v>
      </c>
      <c r="F2492" s="202" t="s">
        <v>405</v>
      </c>
      <c r="G2492" s="202" t="s">
        <v>689</v>
      </c>
    </row>
    <row r="2493" spans="1:7">
      <c r="A2493" s="202" t="s">
        <v>365</v>
      </c>
      <c r="B2493" s="203">
        <v>1015</v>
      </c>
      <c r="C2493" s="203">
        <v>0</v>
      </c>
      <c r="D2493" s="202" t="s">
        <v>282</v>
      </c>
      <c r="E2493" s="202" t="s">
        <v>448</v>
      </c>
      <c r="F2493" s="202" t="s">
        <v>395</v>
      </c>
      <c r="G2493" s="202" t="s">
        <v>689</v>
      </c>
    </row>
    <row r="2494" spans="1:7">
      <c r="A2494" s="202" t="s">
        <v>365</v>
      </c>
      <c r="B2494" s="203">
        <v>-809</v>
      </c>
      <c r="C2494" s="203">
        <v>0</v>
      </c>
      <c r="D2494" s="202" t="s">
        <v>282</v>
      </c>
      <c r="E2494" s="202" t="s">
        <v>448</v>
      </c>
      <c r="F2494" s="202" t="s">
        <v>398</v>
      </c>
      <c r="G2494" s="202" t="s">
        <v>689</v>
      </c>
    </row>
    <row r="2495" spans="1:7">
      <c r="A2495" s="202" t="s">
        <v>365</v>
      </c>
      <c r="B2495" s="203">
        <v>-206</v>
      </c>
      <c r="C2495" s="203">
        <v>0</v>
      </c>
      <c r="D2495" s="202" t="s">
        <v>282</v>
      </c>
      <c r="E2495" s="202" t="s">
        <v>448</v>
      </c>
      <c r="F2495" s="202" t="s">
        <v>394</v>
      </c>
      <c r="G2495" s="202" t="s">
        <v>689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395</v>
      </c>
      <c r="G2496" s="202" t="s">
        <v>689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442</v>
      </c>
      <c r="G2497" s="202" t="s">
        <v>689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395</v>
      </c>
      <c r="G2498" s="202" t="s">
        <v>689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394</v>
      </c>
      <c r="G2499" s="202" t="s">
        <v>689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414</v>
      </c>
      <c r="G2500" s="202" t="s">
        <v>689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404</v>
      </c>
      <c r="G2501" s="202" t="s">
        <v>689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442</v>
      </c>
      <c r="G2502" s="202" t="s">
        <v>689</v>
      </c>
    </row>
    <row r="2503" spans="1:7" hidden="1">
      <c r="A2503" s="202" t="s">
        <v>678</v>
      </c>
      <c r="B2503" s="203">
        <v>114626</v>
      </c>
      <c r="C2503" s="203">
        <v>0</v>
      </c>
      <c r="D2503" s="202" t="s">
        <v>441</v>
      </c>
      <c r="E2503" s="202" t="s">
        <v>39</v>
      </c>
      <c r="F2503" s="202" t="s">
        <v>395</v>
      </c>
      <c r="G2503" s="202" t="s">
        <v>689</v>
      </c>
    </row>
    <row r="2504" spans="1:7" hidden="1">
      <c r="A2504" s="202" t="s">
        <v>678</v>
      </c>
      <c r="B2504" s="203">
        <v>-11250</v>
      </c>
      <c r="C2504" s="203">
        <v>0</v>
      </c>
      <c r="D2504" s="202" t="s">
        <v>441</v>
      </c>
      <c r="E2504" s="202" t="s">
        <v>39</v>
      </c>
      <c r="F2504" s="202" t="s">
        <v>442</v>
      </c>
      <c r="G2504" s="202" t="s">
        <v>689</v>
      </c>
    </row>
    <row r="2505" spans="1:7" hidden="1">
      <c r="A2505" s="202" t="s">
        <v>678</v>
      </c>
      <c r="B2505" s="203">
        <v>-11250</v>
      </c>
      <c r="C2505" s="203">
        <v>0</v>
      </c>
      <c r="D2505" s="202" t="s">
        <v>438</v>
      </c>
      <c r="E2505" s="202" t="s">
        <v>39</v>
      </c>
      <c r="F2505" s="202" t="s">
        <v>395</v>
      </c>
      <c r="G2505" s="202" t="s">
        <v>689</v>
      </c>
    </row>
    <row r="2506" spans="1:7" hidden="1">
      <c r="A2506" s="202" t="s">
        <v>678</v>
      </c>
      <c r="B2506" s="203">
        <v>11250</v>
      </c>
      <c r="C2506" s="203">
        <v>0</v>
      </c>
      <c r="D2506" s="202" t="s">
        <v>438</v>
      </c>
      <c r="E2506" s="202" t="s">
        <v>39</v>
      </c>
      <c r="F2506" s="202" t="s">
        <v>442</v>
      </c>
      <c r="G2506" s="202" t="s">
        <v>689</v>
      </c>
    </row>
    <row r="2507" spans="1:7" hidden="1">
      <c r="A2507" s="202" t="s">
        <v>1663</v>
      </c>
      <c r="B2507" s="203">
        <v>283000</v>
      </c>
      <c r="C2507" s="203">
        <v>0</v>
      </c>
      <c r="D2507" s="202" t="s">
        <v>441</v>
      </c>
      <c r="E2507" s="202" t="s">
        <v>693</v>
      </c>
      <c r="F2507" s="202" t="s">
        <v>410</v>
      </c>
      <c r="G2507" s="202" t="s">
        <v>689</v>
      </c>
    </row>
    <row r="2508" spans="1:7">
      <c r="A2508" s="202" t="s">
        <v>679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446</v>
      </c>
      <c r="G2508" s="202" t="s">
        <v>689</v>
      </c>
    </row>
    <row r="2509" spans="1:7">
      <c r="A2509" s="202" t="s">
        <v>679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394</v>
      </c>
      <c r="G2509" s="202" t="s">
        <v>689</v>
      </c>
    </row>
    <row r="2510" spans="1:7">
      <c r="A2510" s="202" t="s">
        <v>1664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395</v>
      </c>
      <c r="G2510" s="202" t="s">
        <v>689</v>
      </c>
    </row>
    <row r="2511" spans="1:7">
      <c r="A2511" s="202" t="s">
        <v>1664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450</v>
      </c>
      <c r="G2511" s="202" t="s">
        <v>689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395</v>
      </c>
      <c r="G2512" s="202" t="s">
        <v>689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412</v>
      </c>
      <c r="G2513" s="202" t="s">
        <v>689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395</v>
      </c>
      <c r="G2514" s="202" t="s">
        <v>689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442</v>
      </c>
      <c r="G2515" s="202" t="s">
        <v>689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395</v>
      </c>
      <c r="G2516" s="202" t="s">
        <v>689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446</v>
      </c>
      <c r="G2517" s="202" t="s">
        <v>689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409</v>
      </c>
      <c r="G2518" s="202" t="s">
        <v>689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394</v>
      </c>
      <c r="G2519" s="202" t="s">
        <v>689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404</v>
      </c>
      <c r="G2520" s="202" t="s">
        <v>689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442</v>
      </c>
      <c r="G2521" s="202" t="s">
        <v>689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443</v>
      </c>
      <c r="E2522" s="202" t="s">
        <v>320</v>
      </c>
      <c r="F2522" s="202" t="s">
        <v>395</v>
      </c>
      <c r="G2522" s="202" t="s">
        <v>689</v>
      </c>
    </row>
    <row r="2523" spans="1:7" hidden="1">
      <c r="A2523" s="202" t="s">
        <v>681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395</v>
      </c>
      <c r="G2523" s="202" t="s">
        <v>689</v>
      </c>
    </row>
    <row r="2524" spans="1:7" hidden="1">
      <c r="A2524" s="202" t="s">
        <v>681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442</v>
      </c>
      <c r="G2524" s="202" t="s">
        <v>689</v>
      </c>
    </row>
    <row r="2525" spans="1:7">
      <c r="A2525" s="202" t="s">
        <v>681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395</v>
      </c>
      <c r="G2525" s="202" t="s">
        <v>689</v>
      </c>
    </row>
    <row r="2526" spans="1:7">
      <c r="A2526" s="202" t="s">
        <v>681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409</v>
      </c>
      <c r="G2526" s="202" t="s">
        <v>689</v>
      </c>
    </row>
    <row r="2527" spans="1:7">
      <c r="A2527" s="202" t="s">
        <v>681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394</v>
      </c>
      <c r="G2527" s="202" t="s">
        <v>689</v>
      </c>
    </row>
    <row r="2528" spans="1:7">
      <c r="A2528" s="202" t="s">
        <v>681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442</v>
      </c>
      <c r="G2528" s="202" t="s">
        <v>689</v>
      </c>
    </row>
    <row r="2529" spans="1:7" hidden="1">
      <c r="A2529" s="202" t="s">
        <v>682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395</v>
      </c>
      <c r="G2529" s="202" t="s">
        <v>689</v>
      </c>
    </row>
    <row r="2530" spans="1:7" hidden="1">
      <c r="A2530" s="202" t="s">
        <v>682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442</v>
      </c>
      <c r="G2530" s="202" t="s">
        <v>689</v>
      </c>
    </row>
    <row r="2531" spans="1:7">
      <c r="A2531" s="202" t="s">
        <v>682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395</v>
      </c>
      <c r="G2531" s="202" t="s">
        <v>689</v>
      </c>
    </row>
    <row r="2532" spans="1:7">
      <c r="A2532" s="202" t="s">
        <v>682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409</v>
      </c>
      <c r="G2532" s="202" t="s">
        <v>689</v>
      </c>
    </row>
    <row r="2533" spans="1:7">
      <c r="A2533" s="202" t="s">
        <v>682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394</v>
      </c>
      <c r="G2533" s="202" t="s">
        <v>689</v>
      </c>
    </row>
    <row r="2534" spans="1:7">
      <c r="A2534" s="202" t="s">
        <v>682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442</v>
      </c>
      <c r="G2534" s="202" t="s">
        <v>689</v>
      </c>
    </row>
    <row r="2535" spans="1:7" hidden="1">
      <c r="A2535" s="202" t="s">
        <v>683</v>
      </c>
      <c r="B2535" s="203">
        <v>110</v>
      </c>
      <c r="C2535" s="203">
        <v>0</v>
      </c>
      <c r="D2535" s="202" t="s">
        <v>438</v>
      </c>
      <c r="E2535" s="202" t="s">
        <v>324</v>
      </c>
      <c r="F2535" s="202" t="s">
        <v>395</v>
      </c>
      <c r="G2535" s="202" t="s">
        <v>689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443</v>
      </c>
      <c r="E2536" s="202" t="s">
        <v>320</v>
      </c>
      <c r="F2536" s="202" t="s">
        <v>395</v>
      </c>
      <c r="G2536" s="202" t="s">
        <v>689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395</v>
      </c>
      <c r="G2537" s="202" t="s">
        <v>689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414</v>
      </c>
      <c r="G2538" s="202" t="s">
        <v>689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442</v>
      </c>
      <c r="G2539" s="202" t="s">
        <v>689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395</v>
      </c>
      <c r="G2540" s="202" t="s">
        <v>689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394</v>
      </c>
      <c r="G2541" s="202" t="s">
        <v>689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414</v>
      </c>
      <c r="G2542" s="202" t="s">
        <v>689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404</v>
      </c>
      <c r="G2543" s="202" t="s">
        <v>689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442</v>
      </c>
      <c r="G2544" s="202" t="s">
        <v>689</v>
      </c>
    </row>
    <row r="2545" spans="1:7" hidden="1">
      <c r="A2545" s="202" t="s">
        <v>684</v>
      </c>
      <c r="B2545" s="203">
        <v>-1401</v>
      </c>
      <c r="C2545" s="203">
        <v>0</v>
      </c>
      <c r="D2545" s="202" t="s">
        <v>441</v>
      </c>
      <c r="E2545" s="202" t="s">
        <v>320</v>
      </c>
      <c r="F2545" s="202" t="s">
        <v>395</v>
      </c>
      <c r="G2545" s="202" t="s">
        <v>689</v>
      </c>
    </row>
    <row r="2546" spans="1:7" hidden="1">
      <c r="A2546" s="202" t="s">
        <v>684</v>
      </c>
      <c r="B2546" s="203">
        <v>590</v>
      </c>
      <c r="C2546" s="203">
        <v>0</v>
      </c>
      <c r="D2546" s="202" t="s">
        <v>441</v>
      </c>
      <c r="E2546" s="202" t="s">
        <v>320</v>
      </c>
      <c r="F2546" s="202" t="s">
        <v>442</v>
      </c>
      <c r="G2546" s="202" t="s">
        <v>689</v>
      </c>
    </row>
    <row r="2547" spans="1:7" hidden="1">
      <c r="A2547" s="202" t="s">
        <v>684</v>
      </c>
      <c r="B2547" s="203">
        <v>590</v>
      </c>
      <c r="C2547" s="203">
        <v>0</v>
      </c>
      <c r="D2547" s="202" t="s">
        <v>438</v>
      </c>
      <c r="E2547" s="202" t="s">
        <v>320</v>
      </c>
      <c r="F2547" s="202" t="s">
        <v>395</v>
      </c>
      <c r="G2547" s="202" t="s">
        <v>689</v>
      </c>
    </row>
    <row r="2548" spans="1:7" hidden="1">
      <c r="A2548" s="202" t="s">
        <v>684</v>
      </c>
      <c r="B2548" s="203">
        <v>-590</v>
      </c>
      <c r="C2548" s="203">
        <v>0</v>
      </c>
      <c r="D2548" s="202" t="s">
        <v>438</v>
      </c>
      <c r="E2548" s="202" t="s">
        <v>320</v>
      </c>
      <c r="F2548" s="202" t="s">
        <v>442</v>
      </c>
      <c r="G2548" s="202" t="s">
        <v>689</v>
      </c>
    </row>
    <row r="2549" spans="1:7" hidden="1">
      <c r="A2549" s="202" t="s">
        <v>684</v>
      </c>
      <c r="B2549" s="203">
        <v>-564</v>
      </c>
      <c r="C2549" s="203">
        <v>0</v>
      </c>
      <c r="D2549" s="202" t="s">
        <v>443</v>
      </c>
      <c r="E2549" s="202" t="s">
        <v>320</v>
      </c>
      <c r="F2549" s="202" t="s">
        <v>395</v>
      </c>
      <c r="G2549" s="202" t="s">
        <v>689</v>
      </c>
    </row>
    <row r="2550" spans="1:7" hidden="1">
      <c r="A2550" s="202" t="s">
        <v>685</v>
      </c>
      <c r="B2550" s="203">
        <v>-38</v>
      </c>
      <c r="C2550" s="203">
        <v>0</v>
      </c>
      <c r="D2550" s="202" t="s">
        <v>441</v>
      </c>
      <c r="E2550" s="202" t="s">
        <v>324</v>
      </c>
      <c r="F2550" s="202" t="s">
        <v>395</v>
      </c>
      <c r="G2550" s="202" t="s">
        <v>689</v>
      </c>
    </row>
    <row r="2551" spans="1:7" hidden="1">
      <c r="A2551" s="202" t="s">
        <v>686</v>
      </c>
      <c r="B2551" s="203">
        <v>38</v>
      </c>
      <c r="C2551" s="203">
        <v>0</v>
      </c>
      <c r="D2551" s="202" t="s">
        <v>441</v>
      </c>
      <c r="E2551" s="202" t="s">
        <v>324</v>
      </c>
      <c r="F2551" s="202" t="s">
        <v>395</v>
      </c>
      <c r="G2551" s="202" t="s">
        <v>689</v>
      </c>
    </row>
    <row r="2552" spans="1:7" hidden="1">
      <c r="A2552" s="202" t="s">
        <v>687</v>
      </c>
      <c r="B2552" s="203">
        <v>38</v>
      </c>
      <c r="C2552" s="203">
        <v>0</v>
      </c>
      <c r="D2552" s="202" t="s">
        <v>441</v>
      </c>
      <c r="E2552" s="202" t="s">
        <v>324</v>
      </c>
      <c r="F2552" s="202" t="s">
        <v>395</v>
      </c>
      <c r="G2552" s="202" t="s">
        <v>689</v>
      </c>
    </row>
    <row r="2553" spans="1:7" hidden="1">
      <c r="A2553" s="202" t="s">
        <v>403</v>
      </c>
      <c r="B2553" s="203">
        <v>44552</v>
      </c>
      <c r="C2553" s="203">
        <v>0</v>
      </c>
      <c r="D2553" s="202" t="s">
        <v>441</v>
      </c>
      <c r="E2553" s="202" t="s">
        <v>317</v>
      </c>
      <c r="F2553" s="202" t="s">
        <v>395</v>
      </c>
      <c r="G2553" s="202" t="s">
        <v>689</v>
      </c>
    </row>
    <row r="2554" spans="1:7" hidden="1">
      <c r="A2554" s="202" t="s">
        <v>403</v>
      </c>
      <c r="B2554" s="203">
        <v>-5630</v>
      </c>
      <c r="C2554" s="203">
        <v>0</v>
      </c>
      <c r="D2554" s="202" t="s">
        <v>441</v>
      </c>
      <c r="E2554" s="202" t="s">
        <v>317</v>
      </c>
      <c r="F2554" s="202" t="s">
        <v>674</v>
      </c>
      <c r="G2554" s="202" t="s">
        <v>689</v>
      </c>
    </row>
    <row r="2555" spans="1:7" hidden="1">
      <c r="A2555" s="202" t="s">
        <v>403</v>
      </c>
      <c r="B2555" s="203">
        <v>-1582</v>
      </c>
      <c r="C2555" s="203">
        <v>0</v>
      </c>
      <c r="D2555" s="202" t="s">
        <v>441</v>
      </c>
      <c r="E2555" s="202" t="s">
        <v>317</v>
      </c>
      <c r="F2555" s="202" t="s">
        <v>394</v>
      </c>
      <c r="G2555" s="202" t="s">
        <v>689</v>
      </c>
    </row>
    <row r="2556" spans="1:7" hidden="1">
      <c r="A2556" s="202" t="s">
        <v>403</v>
      </c>
      <c r="B2556" s="203">
        <v>-5740</v>
      </c>
      <c r="C2556" s="203">
        <v>0</v>
      </c>
      <c r="D2556" s="202" t="s">
        <v>441</v>
      </c>
      <c r="E2556" s="202" t="s">
        <v>317</v>
      </c>
      <c r="F2556" s="202" t="s">
        <v>411</v>
      </c>
      <c r="G2556" s="202" t="s">
        <v>689</v>
      </c>
    </row>
    <row r="2557" spans="1:7" hidden="1">
      <c r="A2557" s="202" t="s">
        <v>403</v>
      </c>
      <c r="B2557" s="203">
        <v>-1740</v>
      </c>
      <c r="C2557" s="203">
        <v>0</v>
      </c>
      <c r="D2557" s="202" t="s">
        <v>441</v>
      </c>
      <c r="E2557" s="202" t="s">
        <v>317</v>
      </c>
      <c r="F2557" s="202" t="s">
        <v>408</v>
      </c>
      <c r="G2557" s="202" t="s">
        <v>689</v>
      </c>
    </row>
    <row r="2558" spans="1:7" hidden="1">
      <c r="A2558" s="202" t="s">
        <v>403</v>
      </c>
      <c r="B2558" s="203">
        <v>-7693</v>
      </c>
      <c r="C2558" s="203">
        <v>0</v>
      </c>
      <c r="D2558" s="202" t="s">
        <v>441</v>
      </c>
      <c r="E2558" s="202" t="s">
        <v>317</v>
      </c>
      <c r="F2558" s="202" t="s">
        <v>412</v>
      </c>
      <c r="G2558" s="202" t="s">
        <v>689</v>
      </c>
    </row>
    <row r="2559" spans="1:7" hidden="1">
      <c r="A2559" s="202" t="s">
        <v>403</v>
      </c>
      <c r="B2559" s="203">
        <v>2576</v>
      </c>
      <c r="C2559" s="203">
        <v>0</v>
      </c>
      <c r="D2559" s="202" t="s">
        <v>443</v>
      </c>
      <c r="E2559" s="202" t="s">
        <v>317</v>
      </c>
      <c r="F2559" s="202" t="s">
        <v>395</v>
      </c>
      <c r="G2559" s="202" t="s">
        <v>689</v>
      </c>
    </row>
    <row r="2560" spans="1:7" hidden="1">
      <c r="A2560" s="202" t="s">
        <v>403</v>
      </c>
      <c r="B2560" s="203">
        <v>-15671</v>
      </c>
      <c r="C2560" s="203">
        <v>0</v>
      </c>
      <c r="D2560" s="202" t="s">
        <v>475</v>
      </c>
      <c r="E2560" s="202" t="s">
        <v>317</v>
      </c>
      <c r="F2560" s="202" t="s">
        <v>395</v>
      </c>
      <c r="G2560" s="202" t="s">
        <v>689</v>
      </c>
    </row>
    <row r="2561" spans="1:7" hidden="1">
      <c r="A2561" s="202" t="s">
        <v>402</v>
      </c>
      <c r="B2561" s="203">
        <v>-950</v>
      </c>
      <c r="C2561" s="203">
        <v>0</v>
      </c>
      <c r="D2561" s="202" t="s">
        <v>443</v>
      </c>
      <c r="E2561" s="202" t="s">
        <v>320</v>
      </c>
      <c r="F2561" s="202" t="s">
        <v>395</v>
      </c>
      <c r="G2561" s="202" t="s">
        <v>689</v>
      </c>
    </row>
    <row r="2562" spans="1:7">
      <c r="A2562" s="202" t="s">
        <v>366</v>
      </c>
      <c r="B2562" s="203">
        <v>6365</v>
      </c>
      <c r="C2562" s="203">
        <v>0</v>
      </c>
      <c r="D2562" s="202" t="s">
        <v>282</v>
      </c>
      <c r="E2562" s="202" t="s">
        <v>688</v>
      </c>
      <c r="F2562" s="202" t="s">
        <v>395</v>
      </c>
      <c r="G2562" s="202" t="s">
        <v>689</v>
      </c>
    </row>
    <row r="2563" spans="1:7">
      <c r="A2563" s="202" t="s">
        <v>366</v>
      </c>
      <c r="B2563" s="203">
        <v>-6365</v>
      </c>
      <c r="C2563" s="203">
        <v>0</v>
      </c>
      <c r="D2563" s="202" t="s">
        <v>282</v>
      </c>
      <c r="E2563" s="202" t="s">
        <v>688</v>
      </c>
      <c r="F2563" s="202" t="s">
        <v>394</v>
      </c>
      <c r="G2563" s="202" t="s">
        <v>689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1665</v>
      </c>
      <c r="B1" s="328" t="s">
        <v>313</v>
      </c>
      <c r="C1" s="328" t="s">
        <v>1666</v>
      </c>
      <c r="D1" s="328" t="s">
        <v>174</v>
      </c>
      <c r="E1" s="328" t="s">
        <v>152</v>
      </c>
      <c r="F1" s="328" t="s">
        <v>399</v>
      </c>
      <c r="G1" t="s">
        <v>1685</v>
      </c>
      <c r="R1" t="s">
        <v>1671</v>
      </c>
      <c r="S1" t="s">
        <v>1683</v>
      </c>
      <c r="T1" t="s">
        <v>1684</v>
      </c>
      <c r="U1" t="s">
        <v>1693</v>
      </c>
      <c r="V1" t="s">
        <v>1672</v>
      </c>
      <c r="W1" t="s">
        <v>399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1735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P&amp;L'!$AE$11:$AE$84,'Master P&amp;L'!$B$11:$B$84,'Check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1831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P&amp;L'!$AE$11:$AE$84,'Master P&amp;L'!$B$11:$B$84,'Check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1807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P&amp;L'!$AE$11:$AE$84,'Master P&amp;L'!$B$11:$B$84,'Check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1740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P&amp;L'!$AE$11:$AE$84,'Master P&amp;L'!$B$11:$B$84,'Check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1681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P&amp;L'!$AE$11:$AE$84,'Master P&amp;L'!$B$11:$B$84,'Check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1723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P&amp;L'!$AE$11:$AE$84,'Master P&amp;L'!$B$11:$B$84,'Check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P&amp;L'!$AE$11:$AE$84,'Master P&amp;L'!$B$11:$B$84,'Check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1741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P&amp;L'!$AE$11:$AE$84,'Master P&amp;L'!$B$11:$B$84,'Check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1833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P&amp;L'!$AE$11:$AE$84,'Master P&amp;L'!$B$11:$B$84,'Check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1710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P&amp;L'!$AE$11:$AE$84,'Master P&amp;L'!$B$11:$B$84,'Check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P&amp;L'!$AE$11:$AE$84,'Master P&amp;L'!$B$11:$B$84,'Check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1725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P&amp;L'!$AE$11:$AE$84,'Master P&amp;L'!$B$11:$B$84,'Check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1788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P&amp;L'!$AE$11:$AE$84,'Master P&amp;L'!$B$11:$B$84,'Check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1819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P&amp;L'!$AE$11:$AE$84,'Master P&amp;L'!$B$11:$B$84,'Check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1815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P&amp;L'!$AE$11:$AE$84,'Master P&amp;L'!$B$11:$B$84,'Check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P&amp;L'!$AE$11:$AE$84,'Master P&amp;L'!$B$11:$B$84,'Check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1721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P&amp;L'!$AE$11:$AE$84,'Master P&amp;L'!$B$11:$B$84,'Check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P&amp;L'!$AE$11:$AE$84,'Master P&amp;L'!$B$11:$B$84,'Check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1737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P&amp;L'!$AE$11:$AE$84,'Master P&amp;L'!$B$11:$B$84,'Check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1739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P&amp;L'!$AE$11:$AE$84,'Master P&amp;L'!$B$11:$B$84,'Check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1825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P&amp;L'!$AE$11:$AE$84,'Master P&amp;L'!$B$11:$B$84,'Check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1691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P&amp;L'!$AE$11:$AE$84,'Master P&amp;L'!$B$11:$B$84,'Check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402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P&amp;L'!$AE$11:$AE$84,'Master P&amp;L'!$B$11:$B$84,'Check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1817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P&amp;L'!$AE$11:$AE$84,'Master P&amp;L'!$B$11:$B$84,'Check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P&amp;L'!$AE$11:$AE$84,'Master P&amp;L'!$B$11:$B$84,'Check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1829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P&amp;L'!$AE$11:$AE$84,'Master P&amp;L'!$B$11:$B$84,'Check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1816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P&amp;L'!$AE$11:$AE$84,'Master P&amp;L'!$B$11:$B$84,'Check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1772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P&amp;L'!$AE$11:$AE$84,'Master P&amp;L'!$B$11:$B$84,'Check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1836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P&amp;L'!$AE$11:$AE$84,'Master P&amp;L'!$B$11:$B$84,'Check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1742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P&amp;L'!$AE$11:$AE$84,'Master P&amp;L'!$B$11:$B$84,'Check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1789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P&amp;L'!$AE$11:$AE$84,'Master P&amp;L'!$B$11:$B$84,'Check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P&amp;L'!$AE$11:$AE$84,'Master P&amp;L'!$B$11:$B$84,'Check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1779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P&amp;L'!$AE$11:$AE$84,'Master P&amp;L'!$B$11:$B$84,'Check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P&amp;L'!$AE$11:$AE$84,'Master P&amp;L'!$B$11:$B$84,'Check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P&amp;L'!$AE$11:$AE$84,'Master P&amp;L'!$B$11:$B$84,'Check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1827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P&amp;L'!$AE$11:$AE$84,'Master P&amp;L'!$B$11:$B$84,'Check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1822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P&amp;L'!$AE$11:$AE$84,'Master P&amp;L'!$B$11:$B$84,'Check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1820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P&amp;L'!$AE$11:$AE$84,'Master P&amp;L'!$B$11:$B$84,'Check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1716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P&amp;L'!$AE$11:$AE$84,'Master P&amp;L'!$B$11:$B$84,'Check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P&amp;L'!$AE$11:$AE$84,'Master P&amp;L'!$B$11:$B$84,'Check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1680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P&amp;L'!$AE$11:$AE$84,'Master P&amp;L'!$B$11:$B$84,'Check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P&amp;L'!$AE$11:$AE$84,'Master P&amp;L'!$B$11:$B$84,'Check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P&amp;L'!$AE$11:$AE$84,'Master P&amp;L'!$B$11:$B$84,'Check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1686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P&amp;L'!$AE$11:$AE$84,'Master P&amp;L'!$B$11:$B$84,'Check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1799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P&amp;L'!$AE$11:$AE$84,'Master P&amp;L'!$B$11:$B$84,'Check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1690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P&amp;L'!$AE$11:$AE$84,'Master P&amp;L'!$B$11:$B$84,'Check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P&amp;L'!$AE$11:$AE$84,'Master P&amp;L'!$B$11:$B$84,'Check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1711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P&amp;L'!$AE$11:$AE$84,'Master P&amp;L'!$B$11:$B$84,'Check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P&amp;L'!$AE$11:$AE$84,'Master P&amp;L'!$B$11:$B$84,'Check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640</v>
      </c>
      <c r="D51" s="330" t="s">
        <v>1729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P&amp;L'!$AE$11:$AE$84,'Master P&amp;L'!$B$11:$B$84,'Check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P&amp;L'!$AE$11:$AE$84,'Master P&amp;L'!$B$11:$B$84,'Check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P&amp;L'!$AE$11:$AE$84,'Master P&amp;L'!$B$11:$B$84,'Check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1808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P&amp;L'!$AE$11:$AE$84,'Master P&amp;L'!$B$11:$B$84,'Check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1713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P&amp;L'!$AE$11:$AE$84,'Master P&amp;L'!$B$11:$B$84,'Check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514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P&amp;L'!$AE$11:$AE$84,'Master P&amp;L'!$B$11:$B$84,'Check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1837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P&amp;L'!$AE$11:$AE$84,'Master P&amp;L'!$B$11:$B$84,'Check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1726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P&amp;L'!$AE$11:$AE$84,'Master P&amp;L'!$B$11:$B$84,'Check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1811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P&amp;L'!$AE$11:$AE$84,'Master P&amp;L'!$B$11:$B$84,'Check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1698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P&amp;L'!$AE$11:$AE$84,'Master P&amp;L'!$B$11:$B$84,'Check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P&amp;L'!$AE$11:$AE$84,'Master P&amp;L'!$B$11:$B$84,'Check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478</v>
      </c>
      <c r="D62" s="330" t="s">
        <v>1773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P&amp;L'!$AE$11:$AE$84,'Master P&amp;L'!$B$11:$B$84,'Check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1689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P&amp;L'!$AE$11:$AE$84,'Master P&amp;L'!$B$11:$B$84,'Check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1707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P&amp;L'!$AE$11:$AE$84,'Master P&amp;L'!$B$11:$B$84,'Check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1731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P&amp;L'!$AE$11:$AE$84,'Master P&amp;L'!$B$11:$B$84,'Check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1746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P&amp;L'!$AE$11:$AE$84,'Master P&amp;L'!$B$11:$B$84,'Check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1774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P&amp;L'!$AE$11:$AE$84,'Master P&amp;L'!$B$11:$B$84,'Check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P&amp;L'!$AE$11:$AE$84,'Master P&amp;L'!$B$11:$B$84,'Check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1796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P&amp;L'!$AE$11:$AE$84,'Master P&amp;L'!$B$11:$B$84,'Check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1801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P&amp;L'!$AE$11:$AE$84,'Master P&amp;L'!$B$11:$B$84,'Check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1804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P&amp;L'!$AE$11:$AE$84,'Master P&amp;L'!$B$11:$B$84,'Check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1753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P&amp;L'!$AE$11:$AE$84,'Master P&amp;L'!$B$11:$B$84,'Check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1749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P&amp;L'!$AE$11:$AE$84,'Master P&amp;L'!$B$11:$B$84,'Check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1798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P&amp;L'!$AE$11:$AE$84,'Master P&amp;L'!$B$11:$B$84,'Check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1838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P&amp;L'!$AE$11:$AE$84,'Master P&amp;L'!$B$11:$B$84,'Check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1790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P&amp;L'!$AE$11:$AE$84,'Master P&amp;L'!$B$11:$B$84,'Check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1784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P&amp;L'!$AE$11:$AE$84,'Master P&amp;L'!$B$11:$B$84,'Check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1706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P&amp;L'!$AE$11:$AE$84,'Master P&amp;L'!$B$11:$B$84,'Check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P&amp;L'!$AE$11:$AE$84,'Master P&amp;L'!$B$11:$B$84,'Check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1719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P&amp;L'!$AE$11:$AE$84,'Master P&amp;L'!$B$11:$B$84,'Check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P&amp;L'!$AE$11:$AE$84,'Master P&amp;L'!$B$11:$B$84,'Check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1823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P&amp;L'!$AE$11:$AE$84,'Master P&amp;L'!$B$11:$B$84,'Check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1778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P&amp;L'!$AE$11:$AE$84,'Master P&amp;L'!$B$11:$B$84,'Check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1758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P&amp;L'!$AE$11:$AE$84,'Master P&amp;L'!$B$11:$B$84,'Check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1760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P&amp;L'!$AE$11:$AE$84,'Master P&amp;L'!$B$11:$B$84,'Check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1834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P&amp;L'!$AE$11:$AE$84,'Master P&amp;L'!$B$11:$B$84,'Check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P&amp;L'!$AE$11:$AE$84,'Master P&amp;L'!$B$11:$B$84,'Check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1839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P&amp;L'!$AE$11:$AE$84,'Master P&amp;L'!$B$11:$B$84,'Check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P&amp;L'!$AE$11:$AE$84,'Master P&amp;L'!$B$11:$B$84,'Check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1776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P&amp;L'!$AE$11:$AE$84,'Master P&amp;L'!$B$11:$B$84,'Check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P&amp;L'!$AE$11:$AE$84,'Master P&amp;L'!$B$11:$B$84,'Check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P&amp;L'!$AE$11:$AE$84,'Master P&amp;L'!$B$11:$B$84,'Check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1667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P&amp;L'!$AE$11:$AE$84,'Master P&amp;L'!$B$11:$B$84,'Check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1802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P&amp;L'!$AE$11:$AE$84,'Master P&amp;L'!$B$11:$B$84,'Check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P&amp;L'!$AE$11:$AE$84,'Master P&amp;L'!$B$11:$B$84,'Check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P&amp;L'!$AE$11:$AE$84,'Master P&amp;L'!$B$11:$B$84,'Check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1668</v>
      </c>
      <c r="C97" s="330" t="s">
        <v>1669</v>
      </c>
      <c r="D97" s="330" t="s">
        <v>1670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P&amp;L'!$AE$11:$AE$84,'Master P&amp;L'!$B$11:$B$84,'Check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P&amp;L'!$AE$11:$AE$84,'Master P&amp;L'!$B$11:$B$84,'Check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P&amp;L'!$AE$11:$AE$84,'Master P&amp;L'!$B$11:$B$84,'Check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P&amp;L'!$AE$11:$AE$84,'Master P&amp;L'!$B$11:$B$84,'Check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1824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P&amp;L'!$AE$11:$AE$84,'Master P&amp;L'!$B$11:$B$84,'Check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1785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P&amp;L'!$AE$11:$AE$84,'Master P&amp;L'!$B$11:$B$84,'Check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P&amp;L'!$AE$11:$AE$84,'Master P&amp;L'!$B$11:$B$84,'Check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1791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P&amp;L'!$AE$11:$AE$84,'Master P&amp;L'!$B$11:$B$84,'Check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P&amp;L'!$AE$11:$AE$84,'Master P&amp;L'!$B$11:$B$84,'Check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1812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P&amp;L'!$AE$11:$AE$84,'Master P&amp;L'!$B$11:$B$84,'Check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P&amp;L'!$AE$11:$AE$84,'Master P&amp;L'!$B$11:$B$84,'Check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1730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P&amp;L'!$AE$11:$AE$84,'Master P&amp;L'!$B$11:$B$84,'Check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1692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P&amp;L'!$AE$11:$AE$84,'Master P&amp;L'!$B$11:$B$84,'Check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1727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P&amp;L'!$AE$11:$AE$84,'Master P&amp;L'!$B$11:$B$84,'Check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1714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P&amp;L'!$AE$11:$AE$84,'Master P&amp;L'!$B$11:$B$84,'Check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1747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P&amp;L'!$AE$11:$AE$84,'Master P&amp;L'!$B$11:$B$84,'Check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1795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P&amp;L'!$AE$11:$AE$84,'Master P&amp;L'!$B$11:$B$84,'Check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1717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P&amp;L'!$AE$11:$AE$84,'Master P&amp;L'!$B$11:$B$84,'Check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1712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P&amp;L'!$AE$11:$AE$84,'Master P&amp;L'!$B$11:$B$84,'Check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1797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P&amp;L'!$AE$11:$AE$84,'Master P&amp;L'!$B$11:$B$84,'Check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P&amp;L'!$AE$11:$AE$84,'Master P&amp;L'!$B$11:$B$84,'Check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1809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P&amp;L'!$AE$11:$AE$84,'Master P&amp;L'!$B$11:$B$84,'Check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1748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P&amp;L'!$AE$11:$AE$84,'Master P&amp;L'!$B$11:$B$84,'Check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1755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P&amp;L'!$AE$11:$AE$84,'Master P&amp;L'!$B$11:$B$84,'Check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1826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P&amp;L'!$AE$11:$AE$84,'Master P&amp;L'!$B$11:$B$84,'Check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1787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P&amp;L'!$AE$11:$AE$84,'Master P&amp;L'!$B$11:$B$84,'Check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401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P&amp;L'!$AE$11:$AE$84,'Master P&amp;L'!$B$11:$B$84,'Check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1810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P&amp;L'!$AE$11:$AE$84,'Master P&amp;L'!$B$11:$B$84,'Check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P&amp;L'!$AE$11:$AE$84,'Master P&amp;L'!$B$11:$B$84,'Check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1744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P&amp;L'!$AE$11:$AE$84,'Master P&amp;L'!$B$11:$B$84,'Check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1694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P&amp;L'!$AE$11:$AE$84,'Master P&amp;L'!$B$11:$B$84,'Check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1764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P&amp;L'!$AE$11:$AE$84,'Master P&amp;L'!$B$11:$B$84,'Check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1821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P&amp;L'!$AE$11:$AE$84,'Master P&amp;L'!$B$11:$B$84,'Check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1780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P&amp;L'!$AE$11:$AE$84,'Master P&amp;L'!$B$11:$B$84,'Check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P&amp;L'!$AE$11:$AE$84,'Master P&amp;L'!$B$11:$B$84,'Check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1699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P&amp;L'!$AE$11:$AE$84,'Master P&amp;L'!$B$11:$B$84,'Check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1800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P&amp;L'!$AE$11:$AE$84,'Master P&amp;L'!$B$11:$B$84,'Check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1687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P&amp;L'!$AE$11:$AE$84,'Master P&amp;L'!$B$11:$B$84,'Check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1818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P&amp;L'!$AE$11:$AE$84,'Master P&amp;L'!$B$11:$B$84,'Check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1754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P&amp;L'!$AE$11:$AE$84,'Master P&amp;L'!$B$11:$B$84,'Check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1770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P&amp;L'!$AE$11:$AE$84,'Master P&amp;L'!$B$11:$B$84,'Check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1803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P&amp;L'!$AE$11:$AE$84,'Master P&amp;L'!$B$11:$B$84,'Check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1813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P&amp;L'!$AE$11:$AE$84,'Master P&amp;L'!$B$11:$B$84,'Check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1786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P&amp;L'!$AE$11:$AE$84,'Master P&amp;L'!$B$11:$B$84,'Check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1738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P&amp;L'!$AE$11:$AE$84,'Master P&amp;L'!$B$11:$B$84,'Check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570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P&amp;L'!$AE$11:$AE$84,'Master P&amp;L'!$B$11:$B$84,'Check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P&amp;L'!$AE$11:$AE$84,'Master P&amp;L'!$B$11:$B$84,'Check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1775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P&amp;L'!$AE$11:$AE$84,'Master P&amp;L'!$B$11:$B$84,'Check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1722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P&amp;L'!$AE$11:$AE$84,'Master P&amp;L'!$B$11:$B$84,'Check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P&amp;L'!$AE$11:$AE$84,'Master P&amp;L'!$B$11:$B$84,'Check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1832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P&amp;L'!$AE$11:$AE$84,'Master P&amp;L'!$B$11:$B$84,'Check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1720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P&amp;L'!$AE$11:$AE$84,'Master P&amp;L'!$B$11:$B$84,'Check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P&amp;L'!$AE$11:$AE$84,'Master P&amp;L'!$B$11:$B$84,'Check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P&amp;L'!$AE$11:$AE$84,'Master P&amp;L'!$B$11:$B$84,'Check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1688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P&amp;L'!$AE$11:$AE$84,'Master P&amp;L'!$B$11:$B$84,'Check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1715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P&amp;L'!$AE$11:$AE$84,'Master P&amp;L'!$B$11:$B$84,'Check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1724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P&amp;L'!$AE$11:$AE$84,'Master P&amp;L'!$B$11:$B$84,'Check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P&amp;L'!$AE$11:$AE$84,'Master P&amp;L'!$B$11:$B$84,'Check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1682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P&amp;L'!$AE$11:$AE$84,'Master P&amp;L'!$B$11:$B$84,'Check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1835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P&amp;L'!$AE$11:$AE$84,'Master P&amp;L'!$B$11:$B$84,'Check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1828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P&amp;L'!$AE$11:$AE$84,'Master P&amp;L'!$B$11:$B$84,'Check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1705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P&amp;L'!$AE$11:$AE$84,'Master P&amp;L'!$B$11:$B$84,'Check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1679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P&amp;L'!$AE$11:$AE$84,'Master P&amp;L'!$B$11:$B$84,'Check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1709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P&amp;L'!$AE$11:$AE$84,'Master P&amp;L'!$B$11:$B$84,'Check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P&amp;L'!$AE$11:$AE$84,'Master P&amp;L'!$B$11:$B$84,'Check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1806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P&amp;L'!$AE$11:$AE$84,'Master P&amp;L'!$B$11:$B$84,'Check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1830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P&amp;L'!$AE$11:$AE$84,'Master P&amp;L'!$B$11:$B$84,'Check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P&amp;L'!$AE$11:$AE$84,'Master P&amp;L'!$B$11:$B$84,'Check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1734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P&amp;L'!$AE$11:$AE$84,'Master P&amp;L'!$B$11:$B$84,'Check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2"/>
  <sheetViews>
    <sheetView workbookViewId="0">
      <selection sqref="A1:Q112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1923</v>
      </c>
      <c r="C1" s="448" t="s">
        <v>1924</v>
      </c>
      <c r="D1" s="449" t="s">
        <v>1925</v>
      </c>
      <c r="E1" s="450" t="s">
        <v>1926</v>
      </c>
      <c r="F1" s="450" t="s">
        <v>1927</v>
      </c>
      <c r="G1" s="450" t="s">
        <v>203</v>
      </c>
      <c r="H1" s="450" t="s">
        <v>218</v>
      </c>
      <c r="I1" s="450" t="s">
        <v>1928</v>
      </c>
      <c r="J1" s="450" t="s">
        <v>1929</v>
      </c>
      <c r="K1" s="451" t="s">
        <v>1930</v>
      </c>
      <c r="L1" s="452" t="s">
        <v>1931</v>
      </c>
      <c r="M1" s="453" t="s">
        <v>1932</v>
      </c>
      <c r="N1" s="449" t="s">
        <v>1933</v>
      </c>
      <c r="O1" s="454" t="s">
        <v>1934</v>
      </c>
      <c r="P1" s="455" t="s">
        <v>1</v>
      </c>
      <c r="Q1" s="456" t="s">
        <v>1935</v>
      </c>
    </row>
    <row r="2" spans="1:17">
      <c r="A2" s="457" t="s">
        <v>2256</v>
      </c>
      <c r="B2" s="458" t="s">
        <v>1900</v>
      </c>
      <c r="C2" s="459" t="s">
        <v>1939</v>
      </c>
      <c r="D2" s="460" t="s">
        <v>1940</v>
      </c>
      <c r="E2" s="460" t="s">
        <v>2233</v>
      </c>
      <c r="F2" s="460" t="s">
        <v>1941</v>
      </c>
      <c r="G2" s="460" t="s">
        <v>1942</v>
      </c>
      <c r="H2" s="460">
        <v>104</v>
      </c>
      <c r="I2" s="460" t="s">
        <v>1937</v>
      </c>
      <c r="J2" s="461">
        <v>102.91</v>
      </c>
      <c r="K2" s="460">
        <v>0</v>
      </c>
      <c r="L2" s="462">
        <v>3.11</v>
      </c>
      <c r="M2" s="463">
        <v>3.11</v>
      </c>
      <c r="N2" s="461">
        <v>3.11</v>
      </c>
      <c r="O2" s="461">
        <v>3.11</v>
      </c>
      <c r="P2" s="464">
        <v>22.072381669999999</v>
      </c>
      <c r="Q2" s="465" t="s">
        <v>1938</v>
      </c>
    </row>
    <row r="3" spans="1:17">
      <c r="A3" s="457" t="s">
        <v>2256</v>
      </c>
      <c r="B3" s="458" t="s">
        <v>1901</v>
      </c>
      <c r="C3" s="459" t="s">
        <v>1944</v>
      </c>
      <c r="D3" s="460" t="s">
        <v>1940</v>
      </c>
      <c r="E3" s="460" t="s">
        <v>2233</v>
      </c>
      <c r="F3" s="460" t="s">
        <v>1941</v>
      </c>
      <c r="G3" s="460" t="s">
        <v>1942</v>
      </c>
      <c r="H3" s="460">
        <v>119</v>
      </c>
      <c r="I3" s="460" t="s">
        <v>1937</v>
      </c>
      <c r="J3" s="461">
        <v>102.91</v>
      </c>
      <c r="K3" s="460">
        <v>0</v>
      </c>
      <c r="L3" s="462">
        <v>0.43</v>
      </c>
      <c r="M3" s="463">
        <v>0.43</v>
      </c>
      <c r="N3" s="461">
        <v>0.43</v>
      </c>
      <c r="O3" s="461">
        <v>0.43</v>
      </c>
      <c r="P3" s="464">
        <v>23.931539440000002</v>
      </c>
      <c r="Q3" s="465" t="s">
        <v>1943</v>
      </c>
    </row>
    <row r="4" spans="1:17">
      <c r="A4" s="457" t="s">
        <v>2256</v>
      </c>
      <c r="B4" s="458" t="s">
        <v>1950</v>
      </c>
      <c r="C4" s="459" t="s">
        <v>1951</v>
      </c>
      <c r="D4" s="460" t="s">
        <v>1952</v>
      </c>
      <c r="E4" s="460" t="s">
        <v>2234</v>
      </c>
      <c r="F4" s="460" t="s">
        <v>1941</v>
      </c>
      <c r="G4" s="460" t="s">
        <v>1942</v>
      </c>
      <c r="H4" s="460">
        <v>7487.2489999999998</v>
      </c>
      <c r="I4" s="460" t="s">
        <v>1937</v>
      </c>
      <c r="J4" s="466">
        <v>7393.39</v>
      </c>
      <c r="K4" s="460">
        <v>0</v>
      </c>
      <c r="L4" s="467">
        <v>436.55</v>
      </c>
      <c r="M4" s="468">
        <v>436.55</v>
      </c>
      <c r="N4" s="460">
        <v>436.55381369999998</v>
      </c>
      <c r="O4" s="469">
        <v>250.92955570000001</v>
      </c>
      <c r="P4" s="470">
        <v>19.64475302</v>
      </c>
      <c r="Q4" s="465" t="s">
        <v>1938</v>
      </c>
    </row>
    <row r="5" spans="1:17">
      <c r="A5" s="457" t="s">
        <v>2256</v>
      </c>
      <c r="B5" s="458" t="s">
        <v>1953</v>
      </c>
      <c r="C5" s="459" t="s">
        <v>1954</v>
      </c>
      <c r="D5" s="460" t="s">
        <v>1952</v>
      </c>
      <c r="E5" s="460" t="s">
        <v>2234</v>
      </c>
      <c r="F5" s="460" t="s">
        <v>1941</v>
      </c>
      <c r="G5" s="460" t="s">
        <v>1942</v>
      </c>
      <c r="H5" s="460">
        <v>8200.3202999999994</v>
      </c>
      <c r="I5" s="460" t="s">
        <v>1937</v>
      </c>
      <c r="J5" s="466">
        <v>7393.39</v>
      </c>
      <c r="K5" s="460">
        <v>0</v>
      </c>
      <c r="L5" s="467">
        <v>203.41</v>
      </c>
      <c r="M5" s="468">
        <v>203.41</v>
      </c>
      <c r="N5" s="460">
        <v>203.4134162</v>
      </c>
      <c r="O5" s="469">
        <v>102.6948015</v>
      </c>
      <c r="P5" s="470">
        <v>19.64475302</v>
      </c>
      <c r="Q5" s="465" t="s">
        <v>1938</v>
      </c>
    </row>
    <row r="6" spans="1:17">
      <c r="A6" s="457" t="s">
        <v>2256</v>
      </c>
      <c r="B6" s="470" t="s">
        <v>1955</v>
      </c>
      <c r="C6" s="459" t="s">
        <v>1956</v>
      </c>
      <c r="D6" s="460" t="s">
        <v>1957</v>
      </c>
      <c r="E6" s="460" t="s">
        <v>2235</v>
      </c>
      <c r="F6" s="460" t="s">
        <v>1941</v>
      </c>
      <c r="G6" s="460" t="s">
        <v>194</v>
      </c>
      <c r="H6" s="460">
        <v>2.5499999999999998</v>
      </c>
      <c r="I6" s="460"/>
      <c r="J6" s="471">
        <v>2.48</v>
      </c>
      <c r="K6" s="460">
        <v>0</v>
      </c>
      <c r="L6" s="472">
        <v>0.17475010899999999</v>
      </c>
      <c r="M6" s="473">
        <v>0.17475010899999999</v>
      </c>
      <c r="N6" s="460">
        <v>0.17475010899999999</v>
      </c>
      <c r="O6" s="460">
        <v>0.17493663400000001</v>
      </c>
      <c r="P6" s="470">
        <v>35.618680619999999</v>
      </c>
      <c r="Q6" s="465" t="s">
        <v>1938</v>
      </c>
    </row>
    <row r="7" spans="1:17">
      <c r="A7" s="457" t="s">
        <v>2256</v>
      </c>
      <c r="B7" s="470" t="s">
        <v>1958</v>
      </c>
      <c r="C7" s="459" t="s">
        <v>1959</v>
      </c>
      <c r="D7" s="460" t="s">
        <v>1957</v>
      </c>
      <c r="E7" s="460" t="s">
        <v>2235</v>
      </c>
      <c r="F7" s="460" t="s">
        <v>1936</v>
      </c>
      <c r="G7" s="460" t="s">
        <v>194</v>
      </c>
      <c r="H7" s="460">
        <v>1.95</v>
      </c>
      <c r="I7" s="460"/>
      <c r="J7" s="471">
        <v>2.48</v>
      </c>
      <c r="K7" s="460">
        <v>0</v>
      </c>
      <c r="L7" s="472">
        <v>2.1178999E-2</v>
      </c>
      <c r="M7" s="473">
        <v>2.1178999E-2</v>
      </c>
      <c r="N7" s="460">
        <v>2.1178999E-2</v>
      </c>
      <c r="O7" s="460">
        <v>2.1242243000000001E-2</v>
      </c>
      <c r="P7" s="470">
        <v>36.627877009999999</v>
      </c>
      <c r="Q7" s="465" t="s">
        <v>1938</v>
      </c>
    </row>
    <row r="8" spans="1:17">
      <c r="A8" s="457" t="s">
        <v>2256</v>
      </c>
      <c r="B8" s="470" t="s">
        <v>1960</v>
      </c>
      <c r="C8" s="459" t="s">
        <v>1961</v>
      </c>
      <c r="D8" s="460" t="s">
        <v>1957</v>
      </c>
      <c r="E8" s="460" t="s">
        <v>2235</v>
      </c>
      <c r="F8" s="460" t="s">
        <v>1936</v>
      </c>
      <c r="G8" s="460" t="s">
        <v>194</v>
      </c>
      <c r="H8" s="460">
        <v>2.25</v>
      </c>
      <c r="I8" s="460"/>
      <c r="J8" s="471">
        <v>2.48</v>
      </c>
      <c r="K8" s="460">
        <v>0</v>
      </c>
      <c r="L8" s="472">
        <v>8.135191E-2</v>
      </c>
      <c r="M8" s="473">
        <v>8.135191E-2</v>
      </c>
      <c r="N8" s="460">
        <v>8.135191E-2</v>
      </c>
      <c r="O8" s="460">
        <v>8.135191E-2</v>
      </c>
      <c r="P8" s="470">
        <v>35.604478739999998</v>
      </c>
      <c r="Q8" s="465" t="s">
        <v>1938</v>
      </c>
    </row>
    <row r="9" spans="1:17">
      <c r="A9" s="457" t="s">
        <v>2256</v>
      </c>
      <c r="B9" s="470" t="s">
        <v>2032</v>
      </c>
      <c r="C9" s="459" t="s">
        <v>2038</v>
      </c>
      <c r="D9" s="460" t="s">
        <v>1949</v>
      </c>
      <c r="E9" s="460" t="s">
        <v>2236</v>
      </c>
      <c r="F9" s="460" t="s">
        <v>1941</v>
      </c>
      <c r="G9" s="460" t="s">
        <v>194</v>
      </c>
      <c r="H9" s="460">
        <v>300</v>
      </c>
      <c r="I9" s="460"/>
      <c r="J9" s="471">
        <v>299.58</v>
      </c>
      <c r="K9" s="460">
        <v>0</v>
      </c>
      <c r="L9" s="472">
        <v>32.25</v>
      </c>
      <c r="M9" s="473">
        <v>33.9</v>
      </c>
      <c r="N9" s="460">
        <v>33.075000000000003</v>
      </c>
      <c r="O9" s="460">
        <v>33.075000000000003</v>
      </c>
      <c r="P9" s="470"/>
      <c r="Q9" s="465" t="s">
        <v>1945</v>
      </c>
    </row>
    <row r="10" spans="1:17">
      <c r="A10" s="457" t="s">
        <v>2256</v>
      </c>
      <c r="B10" s="470" t="s">
        <v>2031</v>
      </c>
      <c r="C10" s="459" t="s">
        <v>2039</v>
      </c>
      <c r="D10" s="460" t="s">
        <v>1949</v>
      </c>
      <c r="E10" s="460" t="s">
        <v>2236</v>
      </c>
      <c r="F10" s="460" t="s">
        <v>1941</v>
      </c>
      <c r="G10" s="460" t="s">
        <v>194</v>
      </c>
      <c r="H10" s="460">
        <v>370</v>
      </c>
      <c r="I10" s="460"/>
      <c r="J10" s="471">
        <v>299.58</v>
      </c>
      <c r="K10" s="460">
        <v>0</v>
      </c>
      <c r="L10" s="472">
        <v>10.9</v>
      </c>
      <c r="M10" s="473">
        <v>11.75</v>
      </c>
      <c r="N10" s="460">
        <v>11.324999999999999</v>
      </c>
      <c r="O10" s="460">
        <v>11.324999999999999</v>
      </c>
      <c r="P10" s="470"/>
      <c r="Q10" s="465" t="s">
        <v>1945</v>
      </c>
    </row>
    <row r="11" spans="1:17">
      <c r="A11" s="457" t="s">
        <v>2256</v>
      </c>
      <c r="B11" s="470" t="s">
        <v>2034</v>
      </c>
      <c r="C11" s="459" t="s">
        <v>2040</v>
      </c>
      <c r="D11" s="460" t="s">
        <v>1949</v>
      </c>
      <c r="E11" s="460" t="s">
        <v>2236</v>
      </c>
      <c r="F11" s="460" t="s">
        <v>1936</v>
      </c>
      <c r="G11" s="460" t="s">
        <v>194</v>
      </c>
      <c r="H11" s="460">
        <v>250</v>
      </c>
      <c r="I11" s="460"/>
      <c r="J11" s="471">
        <v>299.58</v>
      </c>
      <c r="K11" s="460">
        <v>0</v>
      </c>
      <c r="L11" s="472">
        <v>10.1</v>
      </c>
      <c r="M11" s="473">
        <v>10.7</v>
      </c>
      <c r="N11" s="460">
        <v>10.4</v>
      </c>
      <c r="O11" s="460">
        <v>10.4</v>
      </c>
      <c r="P11" s="470"/>
      <c r="Q11" s="465" t="s">
        <v>1945</v>
      </c>
    </row>
    <row r="12" spans="1:17">
      <c r="A12" s="457" t="s">
        <v>2256</v>
      </c>
      <c r="B12" s="470" t="s">
        <v>2033</v>
      </c>
      <c r="C12" s="459" t="s">
        <v>2041</v>
      </c>
      <c r="D12" s="460" t="s">
        <v>1949</v>
      </c>
      <c r="E12" s="460" t="s">
        <v>2236</v>
      </c>
      <c r="F12" s="460" t="s">
        <v>1936</v>
      </c>
      <c r="G12" s="460" t="s">
        <v>194</v>
      </c>
      <c r="H12" s="460">
        <v>210</v>
      </c>
      <c r="I12" s="460"/>
      <c r="J12" s="471">
        <v>299.58</v>
      </c>
      <c r="K12" s="460">
        <v>0</v>
      </c>
      <c r="L12" s="472">
        <v>3.55</v>
      </c>
      <c r="M12" s="473">
        <v>3.9</v>
      </c>
      <c r="N12" s="460">
        <v>3.7250000000000001</v>
      </c>
      <c r="O12" s="460">
        <v>3.7250000000000001</v>
      </c>
      <c r="P12" s="470"/>
      <c r="Q12" s="465" t="s">
        <v>1945</v>
      </c>
    </row>
    <row r="13" spans="1:17">
      <c r="A13" s="457" t="s">
        <v>2256</v>
      </c>
      <c r="B13" s="470" t="s">
        <v>2037</v>
      </c>
      <c r="C13" s="459" t="s">
        <v>2042</v>
      </c>
      <c r="D13" s="460" t="s">
        <v>1948</v>
      </c>
      <c r="E13" s="460" t="s">
        <v>2236</v>
      </c>
      <c r="F13" s="460" t="s">
        <v>1936</v>
      </c>
      <c r="G13" s="460" t="s">
        <v>194</v>
      </c>
      <c r="H13" s="460">
        <v>425</v>
      </c>
      <c r="I13" s="460"/>
      <c r="J13" s="471">
        <v>487.48</v>
      </c>
      <c r="K13" s="460">
        <v>0</v>
      </c>
      <c r="L13" s="472">
        <v>10.5</v>
      </c>
      <c r="M13" s="473">
        <v>10.7</v>
      </c>
      <c r="N13" s="460">
        <v>10.6</v>
      </c>
      <c r="O13" s="460">
        <v>10.6</v>
      </c>
      <c r="P13" s="470"/>
      <c r="Q13" s="465" t="s">
        <v>1945</v>
      </c>
    </row>
    <row r="14" spans="1:17">
      <c r="A14" s="457" t="s">
        <v>2256</v>
      </c>
      <c r="B14" s="470" t="s">
        <v>2036</v>
      </c>
      <c r="C14" s="459" t="s">
        <v>2043</v>
      </c>
      <c r="D14" s="460" t="s">
        <v>1948</v>
      </c>
      <c r="E14" s="460" t="s">
        <v>2236</v>
      </c>
      <c r="F14" s="460" t="s">
        <v>1941</v>
      </c>
      <c r="G14" s="460" t="s">
        <v>194</v>
      </c>
      <c r="H14" s="460">
        <v>515</v>
      </c>
      <c r="I14" s="460"/>
      <c r="J14" s="471">
        <v>487.48</v>
      </c>
      <c r="K14" s="460">
        <v>0</v>
      </c>
      <c r="L14" s="472">
        <v>24.65</v>
      </c>
      <c r="M14" s="473">
        <v>24.95</v>
      </c>
      <c r="N14" s="460">
        <v>24.8</v>
      </c>
      <c r="O14" s="460">
        <v>24.8</v>
      </c>
      <c r="P14" s="470"/>
      <c r="Q14" s="465" t="s">
        <v>1945</v>
      </c>
    </row>
    <row r="15" spans="1:17">
      <c r="A15" s="457" t="s">
        <v>2256</v>
      </c>
      <c r="B15" s="470" t="s">
        <v>2035</v>
      </c>
      <c r="C15" s="459" t="s">
        <v>2044</v>
      </c>
      <c r="D15" s="460" t="s">
        <v>1948</v>
      </c>
      <c r="E15" s="460" t="s">
        <v>2236</v>
      </c>
      <c r="F15" s="460" t="s">
        <v>1941</v>
      </c>
      <c r="G15" s="460" t="s">
        <v>194</v>
      </c>
      <c r="H15" s="460">
        <v>585</v>
      </c>
      <c r="I15" s="460"/>
      <c r="J15" s="471">
        <v>487.48</v>
      </c>
      <c r="K15" s="460">
        <v>0</v>
      </c>
      <c r="L15" s="472">
        <v>6.85</v>
      </c>
      <c r="M15" s="473">
        <v>7.05</v>
      </c>
      <c r="N15" s="460">
        <v>6.95</v>
      </c>
      <c r="O15" s="460">
        <v>6.95</v>
      </c>
      <c r="P15" s="470"/>
      <c r="Q15" s="465" t="s">
        <v>1945</v>
      </c>
    </row>
    <row r="16" spans="1:17">
      <c r="A16" s="457" t="s">
        <v>2256</v>
      </c>
      <c r="B16" s="470" t="s">
        <v>2049</v>
      </c>
      <c r="C16" s="459" t="s">
        <v>2050</v>
      </c>
      <c r="D16" s="460" t="s">
        <v>1962</v>
      </c>
      <c r="E16" s="460" t="s">
        <v>2233</v>
      </c>
      <c r="F16" s="460" t="s">
        <v>1936</v>
      </c>
      <c r="G16" s="460" t="s">
        <v>194</v>
      </c>
      <c r="H16" s="460">
        <v>550</v>
      </c>
      <c r="I16" s="460"/>
      <c r="J16" s="471">
        <v>619.42999999999995</v>
      </c>
      <c r="K16" s="460">
        <v>0</v>
      </c>
      <c r="L16" s="472">
        <v>4.83</v>
      </c>
      <c r="M16" s="473">
        <v>4.8899999999999997</v>
      </c>
      <c r="N16" s="460">
        <v>4.8600000000000003</v>
      </c>
      <c r="O16" s="460">
        <v>4.8600000000000003</v>
      </c>
      <c r="P16" s="470"/>
      <c r="Q16" s="465" t="s">
        <v>1945</v>
      </c>
    </row>
    <row r="17" spans="1:17">
      <c r="A17" s="457" t="s">
        <v>2256</v>
      </c>
      <c r="B17" s="470" t="s">
        <v>2048</v>
      </c>
      <c r="C17" s="459" t="s">
        <v>2052</v>
      </c>
      <c r="D17" s="460" t="s">
        <v>1962</v>
      </c>
      <c r="E17" s="460" t="s">
        <v>2233</v>
      </c>
      <c r="F17" s="460" t="s">
        <v>1936</v>
      </c>
      <c r="G17" s="460" t="s">
        <v>194</v>
      </c>
      <c r="H17" s="460">
        <v>580</v>
      </c>
      <c r="I17" s="460"/>
      <c r="J17" s="471">
        <v>619.42999999999995</v>
      </c>
      <c r="K17" s="460">
        <v>0</v>
      </c>
      <c r="L17" s="472">
        <v>8.65</v>
      </c>
      <c r="M17" s="473">
        <v>8.73</v>
      </c>
      <c r="N17" s="460">
        <v>8.69</v>
      </c>
      <c r="O17" s="460">
        <v>8.69</v>
      </c>
      <c r="P17" s="470"/>
      <c r="Q17" s="465" t="s">
        <v>1945</v>
      </c>
    </row>
    <row r="18" spans="1:17">
      <c r="A18" s="457" t="s">
        <v>2256</v>
      </c>
      <c r="B18" s="470" t="s">
        <v>2053</v>
      </c>
      <c r="C18" s="459" t="s">
        <v>2056</v>
      </c>
      <c r="D18" s="460" t="s">
        <v>2051</v>
      </c>
      <c r="E18" s="460" t="s">
        <v>2236</v>
      </c>
      <c r="F18" s="460" t="s">
        <v>1941</v>
      </c>
      <c r="G18" s="460" t="s">
        <v>194</v>
      </c>
      <c r="H18" s="460">
        <v>230</v>
      </c>
      <c r="I18" s="460"/>
      <c r="J18" s="471">
        <v>232.53</v>
      </c>
      <c r="K18" s="460">
        <v>2.5299999999999998</v>
      </c>
      <c r="L18" s="472">
        <v>24.3</v>
      </c>
      <c r="M18" s="473">
        <v>24.45</v>
      </c>
      <c r="N18" s="460">
        <v>24.375</v>
      </c>
      <c r="O18" s="460">
        <v>24.375</v>
      </c>
      <c r="P18" s="470"/>
      <c r="Q18" s="465" t="s">
        <v>1945</v>
      </c>
    </row>
    <row r="19" spans="1:17">
      <c r="A19" s="457" t="s">
        <v>2256</v>
      </c>
      <c r="B19" s="470" t="s">
        <v>2054</v>
      </c>
      <c r="C19" s="459" t="s">
        <v>2057</v>
      </c>
      <c r="D19" s="460" t="s">
        <v>2051</v>
      </c>
      <c r="E19" s="460" t="s">
        <v>2236</v>
      </c>
      <c r="F19" s="460" t="s">
        <v>1941</v>
      </c>
      <c r="G19" s="460" t="s">
        <v>194</v>
      </c>
      <c r="H19" s="460">
        <v>260</v>
      </c>
      <c r="I19" s="460"/>
      <c r="J19" s="471">
        <v>232.53</v>
      </c>
      <c r="K19" s="460">
        <v>0</v>
      </c>
      <c r="L19" s="472">
        <v>11.8</v>
      </c>
      <c r="M19" s="473">
        <v>11.95</v>
      </c>
      <c r="N19" s="460">
        <v>11.875</v>
      </c>
      <c r="O19" s="460">
        <v>11.875</v>
      </c>
      <c r="P19" s="470"/>
      <c r="Q19" s="465" t="s">
        <v>1945</v>
      </c>
    </row>
    <row r="20" spans="1:17">
      <c r="A20" s="457" t="s">
        <v>2256</v>
      </c>
      <c r="B20" s="470" t="s">
        <v>2055</v>
      </c>
      <c r="C20" s="459" t="s">
        <v>2058</v>
      </c>
      <c r="D20" s="460" t="s">
        <v>2051</v>
      </c>
      <c r="E20" s="460" t="s">
        <v>2236</v>
      </c>
      <c r="F20" s="460" t="s">
        <v>1936</v>
      </c>
      <c r="G20" s="460" t="s">
        <v>194</v>
      </c>
      <c r="H20" s="460">
        <v>200</v>
      </c>
      <c r="I20" s="460"/>
      <c r="J20" s="471">
        <v>232.53</v>
      </c>
      <c r="K20" s="460">
        <v>0</v>
      </c>
      <c r="L20" s="472">
        <v>7.25</v>
      </c>
      <c r="M20" s="473">
        <v>7.35</v>
      </c>
      <c r="N20" s="460">
        <v>7.3</v>
      </c>
      <c r="O20" s="460">
        <v>7.3</v>
      </c>
      <c r="P20" s="470"/>
      <c r="Q20" s="465" t="s">
        <v>1945</v>
      </c>
    </row>
    <row r="21" spans="1:17">
      <c r="A21" s="457" t="s">
        <v>2256</v>
      </c>
      <c r="B21" s="470" t="s">
        <v>2062</v>
      </c>
      <c r="C21" s="459" t="s">
        <v>2070</v>
      </c>
      <c r="D21" s="460" t="s">
        <v>1946</v>
      </c>
      <c r="E21" s="474">
        <v>46054</v>
      </c>
      <c r="F21" s="460" t="s">
        <v>1941</v>
      </c>
      <c r="G21" s="460" t="s">
        <v>194</v>
      </c>
      <c r="H21" s="460">
        <v>200</v>
      </c>
      <c r="I21" s="460"/>
      <c r="J21" s="471">
        <v>187.54</v>
      </c>
      <c r="K21" s="460">
        <v>0</v>
      </c>
      <c r="L21" s="472">
        <v>0.03</v>
      </c>
      <c r="M21" s="473">
        <v>0.04</v>
      </c>
      <c r="N21" s="460">
        <v>3.5000000000000003E-2</v>
      </c>
      <c r="O21" s="460">
        <v>3.5000000000000003E-2</v>
      </c>
      <c r="P21" s="470"/>
      <c r="Q21" s="465" t="s">
        <v>1945</v>
      </c>
    </row>
    <row r="22" spans="1:17">
      <c r="A22" s="457" t="s">
        <v>2256</v>
      </c>
      <c r="B22" s="470" t="s">
        <v>2064</v>
      </c>
      <c r="C22" s="459" t="s">
        <v>2071</v>
      </c>
      <c r="D22" s="460" t="s">
        <v>1946</v>
      </c>
      <c r="E22" s="474">
        <v>46054</v>
      </c>
      <c r="F22" s="460" t="s">
        <v>1936</v>
      </c>
      <c r="G22" s="460" t="s">
        <v>194</v>
      </c>
      <c r="H22" s="460">
        <v>165</v>
      </c>
      <c r="I22" s="460"/>
      <c r="J22" s="471">
        <v>187.54</v>
      </c>
      <c r="K22" s="460">
        <v>0</v>
      </c>
      <c r="L22" s="472">
        <v>0.03</v>
      </c>
      <c r="M22" s="473">
        <v>0.04</v>
      </c>
      <c r="N22" s="460">
        <v>3.5000000000000003E-2</v>
      </c>
      <c r="O22" s="460">
        <v>3.5000000000000003E-2</v>
      </c>
      <c r="P22" s="470"/>
      <c r="Q22" s="465" t="s">
        <v>1945</v>
      </c>
    </row>
    <row r="23" spans="1:17">
      <c r="A23" s="457" t="s">
        <v>2256</v>
      </c>
      <c r="B23" s="470" t="s">
        <v>2063</v>
      </c>
      <c r="C23" s="459" t="s">
        <v>2072</v>
      </c>
      <c r="D23" s="460" t="s">
        <v>1946</v>
      </c>
      <c r="E23" s="474">
        <v>46054</v>
      </c>
      <c r="F23" s="460" t="s">
        <v>1936</v>
      </c>
      <c r="G23" s="460" t="s">
        <v>194</v>
      </c>
      <c r="H23" s="460">
        <v>175</v>
      </c>
      <c r="I23" s="460"/>
      <c r="J23" s="471">
        <v>187.54</v>
      </c>
      <c r="K23" s="460">
        <v>0</v>
      </c>
      <c r="L23" s="472">
        <v>0.08</v>
      </c>
      <c r="M23" s="473">
        <v>0.09</v>
      </c>
      <c r="N23" s="460">
        <v>8.5000000000000006E-2</v>
      </c>
      <c r="O23" s="460">
        <v>8.5000000000000006E-2</v>
      </c>
      <c r="P23" s="470"/>
      <c r="Q23" s="465" t="s">
        <v>1945</v>
      </c>
    </row>
    <row r="24" spans="1:17">
      <c r="A24" s="457" t="s">
        <v>2256</v>
      </c>
      <c r="B24" s="470" t="s">
        <v>2065</v>
      </c>
      <c r="C24" s="459" t="s">
        <v>2073</v>
      </c>
      <c r="D24" s="460" t="s">
        <v>1949</v>
      </c>
      <c r="E24" s="460" t="s">
        <v>2237</v>
      </c>
      <c r="F24" s="460" t="s">
        <v>1941</v>
      </c>
      <c r="G24" s="460" t="s">
        <v>194</v>
      </c>
      <c r="H24" s="460">
        <v>300</v>
      </c>
      <c r="I24" s="460"/>
      <c r="J24" s="471">
        <v>299.58</v>
      </c>
      <c r="K24" s="460">
        <v>0</v>
      </c>
      <c r="L24" s="472">
        <v>9.15</v>
      </c>
      <c r="M24" s="473">
        <v>9.5500000000000007</v>
      </c>
      <c r="N24" s="460">
        <v>9.35</v>
      </c>
      <c r="O24" s="460">
        <v>9.35</v>
      </c>
      <c r="P24" s="470"/>
      <c r="Q24" s="465" t="s">
        <v>1945</v>
      </c>
    </row>
    <row r="25" spans="1:17">
      <c r="A25" s="457" t="s">
        <v>2256</v>
      </c>
      <c r="B25" s="470" t="s">
        <v>2066</v>
      </c>
      <c r="C25" s="459" t="s">
        <v>2074</v>
      </c>
      <c r="D25" s="460" t="s">
        <v>1949</v>
      </c>
      <c r="E25" s="460" t="s">
        <v>2237</v>
      </c>
      <c r="F25" s="460" t="s">
        <v>1941</v>
      </c>
      <c r="G25" s="460" t="s">
        <v>194</v>
      </c>
      <c r="H25" s="460">
        <v>330</v>
      </c>
      <c r="I25" s="460"/>
      <c r="J25" s="471">
        <v>299.58</v>
      </c>
      <c r="K25" s="460">
        <v>0</v>
      </c>
      <c r="L25" s="472">
        <v>1.35</v>
      </c>
      <c r="M25" s="473">
        <v>1.56</v>
      </c>
      <c r="N25" s="460">
        <v>1.4550000000000001</v>
      </c>
      <c r="O25" s="460">
        <v>1.4550000000000001</v>
      </c>
      <c r="P25" s="470"/>
      <c r="Q25" s="465" t="s">
        <v>1945</v>
      </c>
    </row>
    <row r="26" spans="1:17">
      <c r="A26" s="457" t="s">
        <v>2256</v>
      </c>
      <c r="B26" s="470" t="s">
        <v>2068</v>
      </c>
      <c r="C26" s="459" t="s">
        <v>2075</v>
      </c>
      <c r="D26" s="460" t="s">
        <v>2051</v>
      </c>
      <c r="E26" s="460" t="s">
        <v>2237</v>
      </c>
      <c r="F26" s="460" t="s">
        <v>1941</v>
      </c>
      <c r="G26" s="460" t="s">
        <v>194</v>
      </c>
      <c r="H26" s="460">
        <v>265</v>
      </c>
      <c r="I26" s="460"/>
      <c r="J26" s="471">
        <v>232.53</v>
      </c>
      <c r="K26" s="460">
        <v>0</v>
      </c>
      <c r="L26" s="472">
        <v>0.06</v>
      </c>
      <c r="M26" s="473">
        <v>7.0000000000000007E-2</v>
      </c>
      <c r="N26" s="460">
        <v>6.5000000000000002E-2</v>
      </c>
      <c r="O26" s="460">
        <v>6.5000000000000002E-2</v>
      </c>
      <c r="P26" s="470"/>
      <c r="Q26" s="465" t="s">
        <v>1945</v>
      </c>
    </row>
    <row r="27" spans="1:17">
      <c r="A27" s="457" t="s">
        <v>2256</v>
      </c>
      <c r="B27" s="470" t="s">
        <v>2069</v>
      </c>
      <c r="C27" s="459" t="s">
        <v>2076</v>
      </c>
      <c r="D27" s="460" t="s">
        <v>2051</v>
      </c>
      <c r="E27" s="460" t="s">
        <v>2237</v>
      </c>
      <c r="F27" s="460" t="s">
        <v>1936</v>
      </c>
      <c r="G27" s="460" t="s">
        <v>194</v>
      </c>
      <c r="H27" s="460">
        <v>215</v>
      </c>
      <c r="I27" s="460"/>
      <c r="J27" s="471">
        <v>232.53</v>
      </c>
      <c r="K27" s="460">
        <v>0</v>
      </c>
      <c r="L27" s="472">
        <v>0.55000000000000004</v>
      </c>
      <c r="M27" s="473">
        <v>0.56999999999999995</v>
      </c>
      <c r="N27" s="460">
        <v>0.56000000000000005</v>
      </c>
      <c r="O27" s="460">
        <v>0.56000000000000005</v>
      </c>
      <c r="P27" s="470"/>
      <c r="Q27" s="465" t="s">
        <v>1945</v>
      </c>
    </row>
    <row r="28" spans="1:17">
      <c r="A28" s="457" t="s">
        <v>2256</v>
      </c>
      <c r="B28" s="470" t="s">
        <v>2067</v>
      </c>
      <c r="C28" s="459" t="s">
        <v>2077</v>
      </c>
      <c r="D28" s="460" t="s">
        <v>2051</v>
      </c>
      <c r="E28" s="460" t="s">
        <v>2237</v>
      </c>
      <c r="F28" s="460" t="s">
        <v>1936</v>
      </c>
      <c r="G28" s="460" t="s">
        <v>194</v>
      </c>
      <c r="H28" s="460">
        <v>230</v>
      </c>
      <c r="I28" s="460"/>
      <c r="J28" s="471">
        <v>232.53</v>
      </c>
      <c r="K28" s="460">
        <v>0</v>
      </c>
      <c r="L28" s="472">
        <v>3.4</v>
      </c>
      <c r="M28" s="473">
        <v>3.5</v>
      </c>
      <c r="N28" s="460">
        <v>3.45</v>
      </c>
      <c r="O28" s="460">
        <v>3.45</v>
      </c>
      <c r="P28" s="470"/>
      <c r="Q28" s="465" t="s">
        <v>1945</v>
      </c>
    </row>
    <row r="29" spans="1:17">
      <c r="A29" s="457" t="s">
        <v>2256</v>
      </c>
      <c r="B29" s="470" t="s">
        <v>2092</v>
      </c>
      <c r="C29" s="459" t="s">
        <v>2094</v>
      </c>
      <c r="D29" s="460" t="s">
        <v>1946</v>
      </c>
      <c r="E29" s="474">
        <v>46266</v>
      </c>
      <c r="F29" s="460" t="s">
        <v>1941</v>
      </c>
      <c r="G29" s="460" t="s">
        <v>194</v>
      </c>
      <c r="H29" s="460">
        <v>205</v>
      </c>
      <c r="I29" s="460"/>
      <c r="J29" s="471">
        <v>187.54</v>
      </c>
      <c r="K29" s="460">
        <v>0</v>
      </c>
      <c r="L29" s="472">
        <v>0.17</v>
      </c>
      <c r="M29" s="473">
        <v>0.18</v>
      </c>
      <c r="N29" s="460">
        <v>0.17499999999999999</v>
      </c>
      <c r="O29" s="460">
        <v>0.17499999999999999</v>
      </c>
      <c r="P29" s="470"/>
      <c r="Q29" s="465" t="s">
        <v>1945</v>
      </c>
    </row>
    <row r="30" spans="1:17">
      <c r="A30" s="457" t="s">
        <v>2256</v>
      </c>
      <c r="B30" s="470" t="s">
        <v>2093</v>
      </c>
      <c r="C30" s="459" t="s">
        <v>2095</v>
      </c>
      <c r="D30" s="460" t="s">
        <v>1946</v>
      </c>
      <c r="E30" s="474">
        <v>46266</v>
      </c>
      <c r="F30" s="460" t="s">
        <v>1941</v>
      </c>
      <c r="G30" s="460" t="s">
        <v>194</v>
      </c>
      <c r="H30" s="460">
        <v>215</v>
      </c>
      <c r="I30" s="460"/>
      <c r="J30" s="471">
        <v>187.54</v>
      </c>
      <c r="K30" s="460">
        <v>0</v>
      </c>
      <c r="L30" s="472">
        <v>0.04</v>
      </c>
      <c r="M30" s="473">
        <v>0.05</v>
      </c>
      <c r="N30" s="460">
        <v>4.4999999999999998E-2</v>
      </c>
      <c r="O30" s="460">
        <v>4.4999999999999998E-2</v>
      </c>
      <c r="P30" s="470"/>
      <c r="Q30" s="465" t="s">
        <v>1945</v>
      </c>
    </row>
    <row r="31" spans="1:17">
      <c r="A31" s="457" t="s">
        <v>2256</v>
      </c>
      <c r="B31" s="470" t="s">
        <v>2097</v>
      </c>
      <c r="C31" s="459" t="s">
        <v>2100</v>
      </c>
      <c r="D31" s="460" t="s">
        <v>1948</v>
      </c>
      <c r="E31" s="460" t="s">
        <v>2233</v>
      </c>
      <c r="F31" s="460" t="s">
        <v>1941</v>
      </c>
      <c r="G31" s="460" t="s">
        <v>194</v>
      </c>
      <c r="H31" s="460">
        <v>490</v>
      </c>
      <c r="I31" s="460"/>
      <c r="J31" s="471">
        <v>487.48</v>
      </c>
      <c r="K31" s="460">
        <v>0</v>
      </c>
      <c r="L31" s="472">
        <v>23</v>
      </c>
      <c r="M31" s="473">
        <v>23.25</v>
      </c>
      <c r="N31" s="460">
        <v>23.125</v>
      </c>
      <c r="O31" s="460">
        <v>23.125</v>
      </c>
      <c r="P31" s="470"/>
      <c r="Q31" s="465" t="s">
        <v>1945</v>
      </c>
    </row>
    <row r="32" spans="1:17">
      <c r="A32" s="457" t="s">
        <v>2256</v>
      </c>
      <c r="B32" s="470" t="s">
        <v>2096</v>
      </c>
      <c r="C32" s="459" t="s">
        <v>2101</v>
      </c>
      <c r="D32" s="460" t="s">
        <v>1948</v>
      </c>
      <c r="E32" s="460" t="s">
        <v>2233</v>
      </c>
      <c r="F32" s="460" t="s">
        <v>1941</v>
      </c>
      <c r="G32" s="460" t="s">
        <v>194</v>
      </c>
      <c r="H32" s="460">
        <v>515</v>
      </c>
      <c r="I32" s="460"/>
      <c r="J32" s="471">
        <v>487.48</v>
      </c>
      <c r="K32" s="460">
        <v>0</v>
      </c>
      <c r="L32" s="472">
        <v>12.3</v>
      </c>
      <c r="M32" s="473">
        <v>12.55</v>
      </c>
      <c r="N32" s="460">
        <v>12.425000000000001</v>
      </c>
      <c r="O32" s="460">
        <v>12.425000000000001</v>
      </c>
      <c r="P32" s="470"/>
      <c r="Q32" s="465" t="s">
        <v>1945</v>
      </c>
    </row>
    <row r="33" spans="1:17">
      <c r="A33" s="457" t="s">
        <v>2256</v>
      </c>
      <c r="B33" s="475" t="s">
        <v>2099</v>
      </c>
      <c r="C33" s="459" t="s">
        <v>2102</v>
      </c>
      <c r="D33" s="460" t="s">
        <v>1948</v>
      </c>
      <c r="E33" s="460" t="s">
        <v>2233</v>
      </c>
      <c r="F33" s="460" t="s">
        <v>1936</v>
      </c>
      <c r="G33" s="460" t="s">
        <v>194</v>
      </c>
      <c r="H33" s="460">
        <v>455</v>
      </c>
      <c r="I33" s="460"/>
      <c r="J33" s="471">
        <v>487.48</v>
      </c>
      <c r="K33" s="460">
        <v>0</v>
      </c>
      <c r="L33" s="472">
        <v>9.4</v>
      </c>
      <c r="M33" s="473">
        <v>9.6</v>
      </c>
      <c r="N33" s="460">
        <v>9.5</v>
      </c>
      <c r="O33" s="460">
        <v>9.5</v>
      </c>
      <c r="P33" s="470"/>
      <c r="Q33" s="465" t="s">
        <v>1945</v>
      </c>
    </row>
    <row r="34" spans="1:17">
      <c r="A34" s="457" t="s">
        <v>2256</v>
      </c>
      <c r="B34" s="475" t="s">
        <v>2098</v>
      </c>
      <c r="C34" s="459" t="s">
        <v>2103</v>
      </c>
      <c r="D34" s="460" t="s">
        <v>1948</v>
      </c>
      <c r="E34" s="460" t="s">
        <v>2233</v>
      </c>
      <c r="F34" s="460" t="s">
        <v>1936</v>
      </c>
      <c r="G34" s="460" t="s">
        <v>194</v>
      </c>
      <c r="H34" s="460">
        <v>465</v>
      </c>
      <c r="I34" s="460"/>
      <c r="J34" s="471">
        <v>487.48</v>
      </c>
      <c r="K34" s="460">
        <v>0</v>
      </c>
      <c r="L34" s="472">
        <v>12.15</v>
      </c>
      <c r="M34" s="473">
        <v>12.35</v>
      </c>
      <c r="N34" s="460">
        <v>12.25</v>
      </c>
      <c r="O34" s="460">
        <v>12.25</v>
      </c>
      <c r="P34" s="470"/>
      <c r="Q34" s="465" t="s">
        <v>1945</v>
      </c>
    </row>
    <row r="35" spans="1:17">
      <c r="A35" s="457" t="s">
        <v>2256</v>
      </c>
      <c r="B35" s="475" t="s">
        <v>2107</v>
      </c>
      <c r="C35" s="459" t="s">
        <v>2110</v>
      </c>
      <c r="D35" s="460" t="s">
        <v>2111</v>
      </c>
      <c r="E35" s="460" t="s">
        <v>2233</v>
      </c>
      <c r="F35" s="460" t="s">
        <v>1936</v>
      </c>
      <c r="G35" s="460" t="s">
        <v>194</v>
      </c>
      <c r="H35" s="460">
        <v>80</v>
      </c>
      <c r="I35" s="460"/>
      <c r="J35" s="471">
        <v>86.76</v>
      </c>
      <c r="K35" s="460">
        <v>0</v>
      </c>
      <c r="L35" s="472">
        <v>5.25</v>
      </c>
      <c r="M35" s="473">
        <v>5.5</v>
      </c>
      <c r="N35" s="460">
        <v>5.375</v>
      </c>
      <c r="O35" s="460">
        <v>5.375</v>
      </c>
      <c r="P35" s="470"/>
      <c r="Q35" s="465" t="s">
        <v>1945</v>
      </c>
    </row>
    <row r="36" spans="1:17">
      <c r="A36" s="457" t="s">
        <v>2256</v>
      </c>
      <c r="B36" s="475" t="s">
        <v>2108</v>
      </c>
      <c r="C36" s="459" t="s">
        <v>2112</v>
      </c>
      <c r="D36" s="460" t="s">
        <v>2111</v>
      </c>
      <c r="E36" s="460" t="s">
        <v>2233</v>
      </c>
      <c r="F36" s="460" t="s">
        <v>1936</v>
      </c>
      <c r="G36" s="460" t="s">
        <v>194</v>
      </c>
      <c r="H36" s="460">
        <v>90</v>
      </c>
      <c r="I36" s="460"/>
      <c r="J36" s="471">
        <v>86.76</v>
      </c>
      <c r="K36" s="460">
        <v>3.24</v>
      </c>
      <c r="L36" s="472">
        <v>10.199999999999999</v>
      </c>
      <c r="M36" s="473">
        <v>10.55</v>
      </c>
      <c r="N36" s="460">
        <v>10.375</v>
      </c>
      <c r="O36" s="460">
        <v>10.375</v>
      </c>
      <c r="P36" s="470"/>
      <c r="Q36" s="465" t="s">
        <v>1945</v>
      </c>
    </row>
    <row r="37" spans="1:17">
      <c r="A37" s="457" t="s">
        <v>2256</v>
      </c>
      <c r="B37" s="475" t="s">
        <v>2118</v>
      </c>
      <c r="C37" s="459" t="s">
        <v>2119</v>
      </c>
      <c r="D37" s="460" t="s">
        <v>1947</v>
      </c>
      <c r="E37" s="460" t="s">
        <v>2237</v>
      </c>
      <c r="F37" s="460" t="s">
        <v>1936</v>
      </c>
      <c r="G37" s="460" t="s">
        <v>194</v>
      </c>
      <c r="H37" s="460">
        <v>34</v>
      </c>
      <c r="I37" s="460"/>
      <c r="J37" s="466">
        <v>31.99</v>
      </c>
      <c r="K37" s="460">
        <v>2.0099999999999998</v>
      </c>
      <c r="L37" s="467">
        <v>2.12</v>
      </c>
      <c r="M37" s="468">
        <v>2.12</v>
      </c>
      <c r="N37" s="460">
        <v>2.1219640630000001</v>
      </c>
      <c r="O37" s="460">
        <v>2.123897334</v>
      </c>
      <c r="P37" s="470">
        <v>26.002344220000001</v>
      </c>
      <c r="Q37" s="465" t="s">
        <v>1938</v>
      </c>
    </row>
    <row r="38" spans="1:17">
      <c r="A38" s="457" t="s">
        <v>2256</v>
      </c>
      <c r="B38" s="475" t="s">
        <v>2125</v>
      </c>
      <c r="C38" s="459" t="s">
        <v>2127</v>
      </c>
      <c r="D38" s="460" t="s">
        <v>2128</v>
      </c>
      <c r="E38" s="460" t="s">
        <v>2235</v>
      </c>
      <c r="F38" s="460" t="s">
        <v>1941</v>
      </c>
      <c r="G38" s="460" t="s">
        <v>194</v>
      </c>
      <c r="H38" s="460">
        <v>690</v>
      </c>
      <c r="I38" s="460"/>
      <c r="J38" s="471">
        <v>665.95</v>
      </c>
      <c r="K38" s="460">
        <v>0</v>
      </c>
      <c r="L38" s="472">
        <v>38.85</v>
      </c>
      <c r="M38" s="473">
        <v>39.15</v>
      </c>
      <c r="N38" s="460">
        <v>39</v>
      </c>
      <c r="O38" s="460">
        <v>39</v>
      </c>
      <c r="P38" s="470"/>
      <c r="Q38" s="465" t="s">
        <v>1945</v>
      </c>
    </row>
    <row r="39" spans="1:17">
      <c r="A39" s="457" t="s">
        <v>2256</v>
      </c>
      <c r="B39" s="458" t="s">
        <v>2124</v>
      </c>
      <c r="C39" s="459" t="s">
        <v>2129</v>
      </c>
      <c r="D39" s="460" t="s">
        <v>2128</v>
      </c>
      <c r="E39" s="460" t="s">
        <v>2235</v>
      </c>
      <c r="F39" s="460" t="s">
        <v>1941</v>
      </c>
      <c r="G39" s="460" t="s">
        <v>194</v>
      </c>
      <c r="H39" s="460">
        <v>750</v>
      </c>
      <c r="I39" s="460"/>
      <c r="J39" s="471">
        <v>665.95</v>
      </c>
      <c r="K39" s="460">
        <v>0</v>
      </c>
      <c r="L39" s="472">
        <v>19.350000000000001</v>
      </c>
      <c r="M39" s="473">
        <v>19.55</v>
      </c>
      <c r="N39" s="460">
        <v>19.45</v>
      </c>
      <c r="O39" s="460">
        <v>19.45</v>
      </c>
      <c r="P39" s="470"/>
      <c r="Q39" s="465" t="s">
        <v>1945</v>
      </c>
    </row>
    <row r="40" spans="1:17">
      <c r="A40" s="457" t="s">
        <v>2256</v>
      </c>
      <c r="B40" s="475" t="s">
        <v>2126</v>
      </c>
      <c r="C40" s="459" t="s">
        <v>2130</v>
      </c>
      <c r="D40" s="460" t="s">
        <v>2128</v>
      </c>
      <c r="E40" s="460" t="s">
        <v>2235</v>
      </c>
      <c r="F40" s="460" t="s">
        <v>1936</v>
      </c>
      <c r="G40" s="460" t="s">
        <v>194</v>
      </c>
      <c r="H40" s="460">
        <v>590</v>
      </c>
      <c r="I40" s="460"/>
      <c r="J40" s="471">
        <v>665.95</v>
      </c>
      <c r="K40" s="460">
        <v>0</v>
      </c>
      <c r="L40" s="472">
        <v>15.3</v>
      </c>
      <c r="M40" s="473">
        <v>15.55</v>
      </c>
      <c r="N40" s="460">
        <v>15.425000000000001</v>
      </c>
      <c r="O40" s="460">
        <v>15.425000000000001</v>
      </c>
      <c r="P40" s="470"/>
      <c r="Q40" s="465" t="s">
        <v>1945</v>
      </c>
    </row>
    <row r="41" spans="1:17">
      <c r="A41" s="457" t="s">
        <v>2256</v>
      </c>
      <c r="B41" s="475" t="s">
        <v>2132</v>
      </c>
      <c r="C41" s="459" t="s">
        <v>2138</v>
      </c>
      <c r="D41" s="460" t="s">
        <v>2139</v>
      </c>
      <c r="E41" s="460" t="s">
        <v>2238</v>
      </c>
      <c r="F41" s="460" t="s">
        <v>1941</v>
      </c>
      <c r="G41" s="460" t="s">
        <v>194</v>
      </c>
      <c r="H41" s="460">
        <v>450</v>
      </c>
      <c r="I41" s="460"/>
      <c r="J41" s="471">
        <v>371.18</v>
      </c>
      <c r="K41" s="460">
        <v>0</v>
      </c>
      <c r="L41" s="472">
        <v>25.2</v>
      </c>
      <c r="M41" s="473">
        <v>28</v>
      </c>
      <c r="N41" s="460">
        <v>26.6</v>
      </c>
      <c r="O41" s="460">
        <v>26.6</v>
      </c>
      <c r="P41" s="470"/>
      <c r="Q41" s="465" t="s">
        <v>1945</v>
      </c>
    </row>
    <row r="42" spans="1:17">
      <c r="A42" s="457" t="s">
        <v>2256</v>
      </c>
      <c r="B42" s="475" t="s">
        <v>2131</v>
      </c>
      <c r="C42" s="459" t="s">
        <v>2140</v>
      </c>
      <c r="D42" s="460" t="s">
        <v>2139</v>
      </c>
      <c r="E42" s="460" t="s">
        <v>2238</v>
      </c>
      <c r="F42" s="460" t="s">
        <v>1941</v>
      </c>
      <c r="G42" s="460" t="s">
        <v>194</v>
      </c>
      <c r="H42" s="460">
        <v>400</v>
      </c>
      <c r="I42" s="460"/>
      <c r="J42" s="471">
        <v>371.18</v>
      </c>
      <c r="K42" s="460">
        <v>0</v>
      </c>
      <c r="L42" s="472">
        <v>39.5</v>
      </c>
      <c r="M42" s="473">
        <v>41.2</v>
      </c>
      <c r="N42" s="460">
        <v>40.35</v>
      </c>
      <c r="O42" s="460">
        <v>40.35</v>
      </c>
      <c r="P42" s="470"/>
      <c r="Q42" s="465" t="s">
        <v>1945</v>
      </c>
    </row>
    <row r="43" spans="1:17">
      <c r="A43" s="457" t="s">
        <v>2256</v>
      </c>
      <c r="B43" s="475" t="s">
        <v>2135</v>
      </c>
      <c r="C43" s="459" t="s">
        <v>2141</v>
      </c>
      <c r="D43" s="460" t="s">
        <v>2142</v>
      </c>
      <c r="E43" s="460" t="s">
        <v>2233</v>
      </c>
      <c r="F43" s="460" t="s">
        <v>1941</v>
      </c>
      <c r="G43" s="460" t="s">
        <v>194</v>
      </c>
      <c r="H43" s="460">
        <v>210</v>
      </c>
      <c r="I43" s="460"/>
      <c r="J43" s="471">
        <v>186.81</v>
      </c>
      <c r="K43" s="460">
        <v>0</v>
      </c>
      <c r="L43" s="472">
        <v>16.899999999999999</v>
      </c>
      <c r="M43" s="473">
        <v>17.899999999999999</v>
      </c>
      <c r="N43" s="460">
        <v>17.399999999999999</v>
      </c>
      <c r="O43" s="460">
        <v>17.399999999999999</v>
      </c>
      <c r="P43" s="470"/>
      <c r="Q43" s="465" t="s">
        <v>1945</v>
      </c>
    </row>
    <row r="44" spans="1:17">
      <c r="A44" s="457" t="s">
        <v>2256</v>
      </c>
      <c r="B44" s="475" t="s">
        <v>2136</v>
      </c>
      <c r="C44" s="459" t="s">
        <v>2143</v>
      </c>
      <c r="D44" s="460" t="s">
        <v>2142</v>
      </c>
      <c r="E44" s="460" t="s">
        <v>2233</v>
      </c>
      <c r="F44" s="460" t="s">
        <v>1941</v>
      </c>
      <c r="G44" s="460" t="s">
        <v>194</v>
      </c>
      <c r="H44" s="460">
        <v>250</v>
      </c>
      <c r="I44" s="460"/>
      <c r="J44" s="471">
        <v>186.81</v>
      </c>
      <c r="K44" s="460">
        <v>0</v>
      </c>
      <c r="L44" s="472">
        <v>6.6</v>
      </c>
      <c r="M44" s="473">
        <v>9.6</v>
      </c>
      <c r="N44" s="460">
        <v>8.1</v>
      </c>
      <c r="O44" s="460">
        <v>8.1</v>
      </c>
      <c r="P44" s="470"/>
      <c r="Q44" s="465" t="s">
        <v>1945</v>
      </c>
    </row>
    <row r="45" spans="1:17">
      <c r="A45" s="457" t="s">
        <v>2256</v>
      </c>
      <c r="B45" s="475" t="s">
        <v>2154</v>
      </c>
      <c r="C45" s="459" t="s">
        <v>2156</v>
      </c>
      <c r="D45" s="460" t="s">
        <v>2157</v>
      </c>
      <c r="E45" s="460" t="s">
        <v>2233</v>
      </c>
      <c r="F45" s="460" t="s">
        <v>1941</v>
      </c>
      <c r="G45" s="460" t="s">
        <v>194</v>
      </c>
      <c r="H45" s="460">
        <v>104</v>
      </c>
      <c r="I45" s="460"/>
      <c r="J45" s="471">
        <v>93.78</v>
      </c>
      <c r="K45" s="460">
        <v>0</v>
      </c>
      <c r="L45" s="472">
        <v>2.85</v>
      </c>
      <c r="M45" s="473">
        <v>2.98</v>
      </c>
      <c r="N45" s="460">
        <v>2.915</v>
      </c>
      <c r="O45" s="460">
        <v>2.915</v>
      </c>
      <c r="P45" s="470"/>
      <c r="Q45" s="465" t="s">
        <v>1945</v>
      </c>
    </row>
    <row r="46" spans="1:17">
      <c r="A46" s="457" t="s">
        <v>2256</v>
      </c>
      <c r="B46" s="475" t="s">
        <v>2155</v>
      </c>
      <c r="C46" s="459" t="s">
        <v>2158</v>
      </c>
      <c r="D46" s="460" t="s">
        <v>2157</v>
      </c>
      <c r="E46" s="460" t="s">
        <v>2233</v>
      </c>
      <c r="F46" s="460" t="s">
        <v>1936</v>
      </c>
      <c r="G46" s="460" t="s">
        <v>194</v>
      </c>
      <c r="H46" s="460">
        <v>83</v>
      </c>
      <c r="I46" s="460"/>
      <c r="J46" s="471">
        <v>93.78</v>
      </c>
      <c r="K46" s="460">
        <v>0</v>
      </c>
      <c r="L46" s="472">
        <v>1.98</v>
      </c>
      <c r="M46" s="473">
        <v>2.04</v>
      </c>
      <c r="N46" s="460">
        <v>2.0099999999999998</v>
      </c>
      <c r="O46" s="460">
        <v>2.0099999999999998</v>
      </c>
      <c r="P46" s="470"/>
      <c r="Q46" s="465" t="s">
        <v>1945</v>
      </c>
    </row>
    <row r="47" spans="1:17">
      <c r="A47" s="457" t="s">
        <v>2256</v>
      </c>
      <c r="B47" s="475" t="s">
        <v>2153</v>
      </c>
      <c r="C47" s="459" t="s">
        <v>2159</v>
      </c>
      <c r="D47" s="460" t="s">
        <v>2157</v>
      </c>
      <c r="E47" s="460" t="s">
        <v>2233</v>
      </c>
      <c r="F47" s="460" t="s">
        <v>1936</v>
      </c>
      <c r="G47" s="460" t="s">
        <v>194</v>
      </c>
      <c r="H47" s="460">
        <v>92</v>
      </c>
      <c r="I47" s="460"/>
      <c r="J47" s="471">
        <v>93.78</v>
      </c>
      <c r="K47" s="460">
        <v>0</v>
      </c>
      <c r="L47" s="472">
        <v>4.95</v>
      </c>
      <c r="M47" s="473">
        <v>5.15</v>
      </c>
      <c r="N47" s="460">
        <v>5.05</v>
      </c>
      <c r="O47" s="460">
        <v>5.05</v>
      </c>
      <c r="P47" s="470"/>
      <c r="Q47" s="465" t="s">
        <v>1945</v>
      </c>
    </row>
    <row r="48" spans="1:17">
      <c r="A48" s="457" t="s">
        <v>2256</v>
      </c>
      <c r="B48" s="475" t="s">
        <v>2163</v>
      </c>
      <c r="C48" s="459" t="s">
        <v>2166</v>
      </c>
      <c r="D48" s="460" t="s">
        <v>2111</v>
      </c>
      <c r="E48" s="460" t="s">
        <v>2233</v>
      </c>
      <c r="F48" s="460" t="s">
        <v>1936</v>
      </c>
      <c r="G48" s="460" t="s">
        <v>194</v>
      </c>
      <c r="H48" s="460">
        <v>75</v>
      </c>
      <c r="I48" s="460"/>
      <c r="J48" s="471">
        <v>86.76</v>
      </c>
      <c r="K48" s="460">
        <v>0</v>
      </c>
      <c r="L48" s="472">
        <v>3.5</v>
      </c>
      <c r="M48" s="473">
        <v>3.85</v>
      </c>
      <c r="N48" s="460">
        <v>3.6749999999999998</v>
      </c>
      <c r="O48" s="460">
        <v>3.6749999999999998</v>
      </c>
      <c r="P48" s="470"/>
      <c r="Q48" s="465" t="s">
        <v>1945</v>
      </c>
    </row>
    <row r="49" spans="1:17">
      <c r="A49" s="457" t="s">
        <v>2256</v>
      </c>
      <c r="B49" s="475" t="s">
        <v>2162</v>
      </c>
      <c r="C49" s="459" t="s">
        <v>2167</v>
      </c>
      <c r="D49" s="460" t="s">
        <v>2111</v>
      </c>
      <c r="E49" s="460" t="s">
        <v>2233</v>
      </c>
      <c r="F49" s="460" t="s">
        <v>1936</v>
      </c>
      <c r="G49" s="460" t="s">
        <v>194</v>
      </c>
      <c r="H49" s="460">
        <v>85</v>
      </c>
      <c r="I49" s="460"/>
      <c r="J49" s="471">
        <v>86.76</v>
      </c>
      <c r="K49" s="460">
        <v>0</v>
      </c>
      <c r="L49" s="472">
        <v>7.5</v>
      </c>
      <c r="M49" s="473">
        <v>7.9</v>
      </c>
      <c r="N49" s="460">
        <v>7.7</v>
      </c>
      <c r="O49" s="460">
        <v>7.7</v>
      </c>
      <c r="P49" s="470"/>
      <c r="Q49" s="465" t="s">
        <v>1945</v>
      </c>
    </row>
    <row r="50" spans="1:17">
      <c r="A50" s="457" t="s">
        <v>2256</v>
      </c>
      <c r="B50" s="475" t="s">
        <v>2179</v>
      </c>
      <c r="C50" s="459" t="s">
        <v>2189</v>
      </c>
      <c r="D50" s="460" t="s">
        <v>2190</v>
      </c>
      <c r="E50" s="460" t="s">
        <v>2236</v>
      </c>
      <c r="F50" s="460" t="s">
        <v>1941</v>
      </c>
      <c r="G50" s="460" t="s">
        <v>194</v>
      </c>
      <c r="H50" s="460">
        <v>350</v>
      </c>
      <c r="I50" s="460"/>
      <c r="J50" s="471">
        <v>349.85</v>
      </c>
      <c r="K50" s="460">
        <v>0</v>
      </c>
      <c r="L50" s="472">
        <v>47.8</v>
      </c>
      <c r="M50" s="473">
        <v>48.15</v>
      </c>
      <c r="N50" s="460">
        <v>47.975000000000001</v>
      </c>
      <c r="O50" s="460">
        <v>47.975000000000001</v>
      </c>
      <c r="P50" s="470"/>
      <c r="Q50" s="465" t="s">
        <v>1945</v>
      </c>
    </row>
    <row r="51" spans="1:17">
      <c r="A51" s="457" t="s">
        <v>2256</v>
      </c>
      <c r="B51" s="475" t="s">
        <v>2181</v>
      </c>
      <c r="C51" s="459" t="s">
        <v>2191</v>
      </c>
      <c r="D51" s="460" t="s">
        <v>2190</v>
      </c>
      <c r="E51" s="460" t="s">
        <v>2236</v>
      </c>
      <c r="F51" s="460" t="s">
        <v>1941</v>
      </c>
      <c r="G51" s="460" t="s">
        <v>194</v>
      </c>
      <c r="H51" s="460">
        <v>410</v>
      </c>
      <c r="I51" s="460"/>
      <c r="J51" s="471">
        <v>349.85</v>
      </c>
      <c r="K51" s="460">
        <v>0</v>
      </c>
      <c r="L51" s="472">
        <v>25.75</v>
      </c>
      <c r="M51" s="473">
        <v>26.25</v>
      </c>
      <c r="N51" s="460">
        <v>26</v>
      </c>
      <c r="O51" s="460">
        <v>26</v>
      </c>
      <c r="P51" s="470"/>
      <c r="Q51" s="465" t="s">
        <v>1945</v>
      </c>
    </row>
    <row r="52" spans="1:17">
      <c r="A52" s="457" t="s">
        <v>2256</v>
      </c>
      <c r="B52" s="475" t="s">
        <v>2180</v>
      </c>
      <c r="C52" s="459" t="s">
        <v>2192</v>
      </c>
      <c r="D52" s="460" t="s">
        <v>2190</v>
      </c>
      <c r="E52" s="460" t="s">
        <v>2236</v>
      </c>
      <c r="F52" s="460" t="s">
        <v>1936</v>
      </c>
      <c r="G52" s="460" t="s">
        <v>194</v>
      </c>
      <c r="H52" s="460">
        <v>270</v>
      </c>
      <c r="I52" s="460"/>
      <c r="J52" s="471">
        <v>349.85</v>
      </c>
      <c r="K52" s="460">
        <v>0</v>
      </c>
      <c r="L52" s="472">
        <v>12.55</v>
      </c>
      <c r="M52" s="473">
        <v>12.75</v>
      </c>
      <c r="N52" s="460">
        <v>12.65</v>
      </c>
      <c r="O52" s="460">
        <v>12.65</v>
      </c>
      <c r="P52" s="470"/>
      <c r="Q52" s="465" t="s">
        <v>1945</v>
      </c>
    </row>
    <row r="53" spans="1:17">
      <c r="A53" s="457" t="s">
        <v>2256</v>
      </c>
      <c r="B53" s="475" t="s">
        <v>2178</v>
      </c>
      <c r="C53" s="459" t="s">
        <v>2193</v>
      </c>
      <c r="D53" s="460" t="s">
        <v>2190</v>
      </c>
      <c r="E53" s="460" t="s">
        <v>2236</v>
      </c>
      <c r="F53" s="460" t="s">
        <v>1936</v>
      </c>
      <c r="G53" s="460" t="s">
        <v>194</v>
      </c>
      <c r="H53" s="460">
        <v>300</v>
      </c>
      <c r="I53" s="460"/>
      <c r="J53" s="471">
        <v>349.85</v>
      </c>
      <c r="K53" s="460">
        <v>0</v>
      </c>
      <c r="L53" s="472">
        <v>20.85</v>
      </c>
      <c r="M53" s="473">
        <v>21.1</v>
      </c>
      <c r="N53" s="460">
        <v>20.975000000000001</v>
      </c>
      <c r="O53" s="460">
        <v>20.975000000000001</v>
      </c>
      <c r="P53" s="470"/>
      <c r="Q53" s="465" t="s">
        <v>1945</v>
      </c>
    </row>
    <row r="54" spans="1:17">
      <c r="A54" s="457" t="s">
        <v>2256</v>
      </c>
      <c r="B54" s="475" t="s">
        <v>2183</v>
      </c>
      <c r="C54" s="459" t="s">
        <v>2194</v>
      </c>
      <c r="D54" s="460" t="s">
        <v>2128</v>
      </c>
      <c r="E54" s="460" t="s">
        <v>2235</v>
      </c>
      <c r="F54" s="460" t="s">
        <v>1936</v>
      </c>
      <c r="G54" s="460" t="s">
        <v>194</v>
      </c>
      <c r="H54" s="460">
        <v>600</v>
      </c>
      <c r="I54" s="460"/>
      <c r="J54" s="471">
        <v>665.95</v>
      </c>
      <c r="K54" s="460">
        <v>0</v>
      </c>
      <c r="L54" s="472">
        <v>17.8</v>
      </c>
      <c r="M54" s="473">
        <v>18.05</v>
      </c>
      <c r="N54" s="460">
        <v>17.925000000000001</v>
      </c>
      <c r="O54" s="460">
        <v>17.925000000000001</v>
      </c>
      <c r="P54" s="470"/>
      <c r="Q54" s="465" t="s">
        <v>1945</v>
      </c>
    </row>
    <row r="55" spans="1:17">
      <c r="A55" s="457" t="s">
        <v>2256</v>
      </c>
      <c r="B55" s="475" t="s">
        <v>2165</v>
      </c>
      <c r="C55" s="459" t="s">
        <v>2195</v>
      </c>
      <c r="D55" s="460" t="s">
        <v>1949</v>
      </c>
      <c r="E55" s="460" t="s">
        <v>2233</v>
      </c>
      <c r="F55" s="460" t="s">
        <v>1941</v>
      </c>
      <c r="G55" s="460" t="s">
        <v>194</v>
      </c>
      <c r="H55" s="460">
        <v>330</v>
      </c>
      <c r="I55" s="460"/>
      <c r="J55" s="471">
        <v>299.58</v>
      </c>
      <c r="K55" s="460">
        <v>0</v>
      </c>
      <c r="L55" s="472">
        <v>9.65</v>
      </c>
      <c r="M55" s="473">
        <v>10.55</v>
      </c>
      <c r="N55" s="460">
        <v>10.1</v>
      </c>
      <c r="O55" s="460">
        <v>10.1</v>
      </c>
      <c r="P55" s="470"/>
      <c r="Q55" s="465" t="s">
        <v>1945</v>
      </c>
    </row>
    <row r="56" spans="1:17">
      <c r="A56" s="457" t="s">
        <v>2256</v>
      </c>
      <c r="B56" s="475" t="s">
        <v>2164</v>
      </c>
      <c r="C56" s="459" t="s">
        <v>2196</v>
      </c>
      <c r="D56" s="460" t="s">
        <v>1949</v>
      </c>
      <c r="E56" s="460" t="s">
        <v>2233</v>
      </c>
      <c r="F56" s="460" t="s">
        <v>1941</v>
      </c>
      <c r="G56" s="460" t="s">
        <v>194</v>
      </c>
      <c r="H56" s="460">
        <v>300</v>
      </c>
      <c r="I56" s="460"/>
      <c r="J56" s="471">
        <v>299.58</v>
      </c>
      <c r="K56" s="460">
        <v>0</v>
      </c>
      <c r="L56" s="472">
        <v>20.85</v>
      </c>
      <c r="M56" s="473">
        <v>21.65</v>
      </c>
      <c r="N56" s="460">
        <v>21.25</v>
      </c>
      <c r="O56" s="460">
        <v>21.25</v>
      </c>
      <c r="P56" s="470"/>
      <c r="Q56" s="465" t="s">
        <v>1945</v>
      </c>
    </row>
    <row r="57" spans="1:17">
      <c r="A57" s="457" t="s">
        <v>2256</v>
      </c>
      <c r="B57" s="475" t="s">
        <v>2184</v>
      </c>
      <c r="C57" s="459" t="s">
        <v>2197</v>
      </c>
      <c r="D57" s="460" t="s">
        <v>2128</v>
      </c>
      <c r="E57" s="460" t="s">
        <v>2235</v>
      </c>
      <c r="F57" s="460" t="s">
        <v>1936</v>
      </c>
      <c r="G57" s="460" t="s">
        <v>194</v>
      </c>
      <c r="H57" s="460">
        <v>570</v>
      </c>
      <c r="I57" s="460"/>
      <c r="J57" s="471">
        <v>665.95</v>
      </c>
      <c r="K57" s="460">
        <v>0</v>
      </c>
      <c r="L57" s="472">
        <v>11.2</v>
      </c>
      <c r="M57" s="473">
        <v>11.4</v>
      </c>
      <c r="N57" s="460">
        <v>11.3</v>
      </c>
      <c r="O57" s="460">
        <v>11.3</v>
      </c>
      <c r="P57" s="470"/>
      <c r="Q57" s="465" t="s">
        <v>1945</v>
      </c>
    </row>
    <row r="58" spans="1:17">
      <c r="A58" s="457" t="s">
        <v>2256</v>
      </c>
      <c r="B58" s="475" t="s">
        <v>2206</v>
      </c>
      <c r="C58" s="459" t="s">
        <v>2212</v>
      </c>
      <c r="D58" s="460" t="s">
        <v>2109</v>
      </c>
      <c r="E58" s="474">
        <v>46266</v>
      </c>
      <c r="F58" s="460" t="s">
        <v>1936</v>
      </c>
      <c r="G58" s="460" t="s">
        <v>194</v>
      </c>
      <c r="H58" s="460">
        <v>355</v>
      </c>
      <c r="I58" s="460"/>
      <c r="J58" s="471">
        <v>363.31</v>
      </c>
      <c r="K58" s="460">
        <v>0</v>
      </c>
      <c r="L58" s="472">
        <v>2.62</v>
      </c>
      <c r="M58" s="473">
        <v>3</v>
      </c>
      <c r="N58" s="460">
        <v>2.81</v>
      </c>
      <c r="O58" s="460">
        <v>2.81</v>
      </c>
      <c r="P58" s="470"/>
      <c r="Q58" s="465" t="s">
        <v>1945</v>
      </c>
    </row>
    <row r="59" spans="1:17">
      <c r="A59" s="457" t="s">
        <v>2256</v>
      </c>
      <c r="B59" s="475" t="s">
        <v>2219</v>
      </c>
      <c r="C59" s="459" t="s">
        <v>2222</v>
      </c>
      <c r="D59" s="460" t="s">
        <v>1946</v>
      </c>
      <c r="E59" s="474">
        <v>46266</v>
      </c>
      <c r="F59" s="460" t="s">
        <v>1941</v>
      </c>
      <c r="G59" s="460" t="s">
        <v>194</v>
      </c>
      <c r="H59" s="460">
        <v>200</v>
      </c>
      <c r="I59" s="460"/>
      <c r="J59" s="471">
        <v>187.54</v>
      </c>
      <c r="K59" s="460">
        <v>0</v>
      </c>
      <c r="L59" s="472">
        <v>0.46</v>
      </c>
      <c r="M59" s="473">
        <v>0.47</v>
      </c>
      <c r="N59" s="460">
        <v>0.46500000000000002</v>
      </c>
      <c r="O59" s="460">
        <v>0.46500000000000002</v>
      </c>
      <c r="P59" s="470"/>
      <c r="Q59" s="465" t="s">
        <v>1945</v>
      </c>
    </row>
    <row r="60" spans="1:17">
      <c r="A60" s="457" t="s">
        <v>2256</v>
      </c>
      <c r="B60" s="458" t="s">
        <v>2211</v>
      </c>
      <c r="C60" s="459" t="s">
        <v>2225</v>
      </c>
      <c r="D60" s="460" t="s">
        <v>2226</v>
      </c>
      <c r="E60" s="460" t="s">
        <v>2239</v>
      </c>
      <c r="F60" s="460" t="s">
        <v>1941</v>
      </c>
      <c r="G60" s="460" t="s">
        <v>194</v>
      </c>
      <c r="H60" s="460">
        <v>6950</v>
      </c>
      <c r="I60" s="460"/>
      <c r="J60" s="471">
        <v>6896.24</v>
      </c>
      <c r="K60" s="460">
        <v>0</v>
      </c>
      <c r="L60" s="472">
        <v>1.05</v>
      </c>
      <c r="M60" s="473">
        <v>1.1000000000000001</v>
      </c>
      <c r="N60" s="460">
        <v>1.075</v>
      </c>
      <c r="O60" s="460">
        <v>1.075</v>
      </c>
      <c r="P60" s="470"/>
      <c r="Q60" s="465" t="s">
        <v>1945</v>
      </c>
    </row>
    <row r="61" spans="1:17">
      <c r="A61" s="457" t="s">
        <v>2256</v>
      </c>
      <c r="B61" s="493" t="s">
        <v>2243</v>
      </c>
      <c r="C61" s="459" t="s">
        <v>2244</v>
      </c>
      <c r="D61" s="460" t="s">
        <v>2245</v>
      </c>
      <c r="E61" s="460" t="s">
        <v>2237</v>
      </c>
      <c r="F61" s="460" t="s">
        <v>1941</v>
      </c>
      <c r="G61" s="460" t="s">
        <v>194</v>
      </c>
      <c r="H61" s="460">
        <v>46</v>
      </c>
      <c r="I61" s="460"/>
      <c r="J61" s="466">
        <v>44.96</v>
      </c>
      <c r="K61" s="460">
        <v>0</v>
      </c>
      <c r="L61" s="467">
        <v>0.28999999999999998</v>
      </c>
      <c r="M61" s="468">
        <v>0.28999999999999998</v>
      </c>
      <c r="N61" s="460">
        <v>0.28895920000000003</v>
      </c>
      <c r="O61" s="460">
        <v>0.29227577599999999</v>
      </c>
      <c r="P61" s="470">
        <v>16.889919840000001</v>
      </c>
      <c r="Q61" s="465" t="s">
        <v>1938</v>
      </c>
    </row>
    <row r="62" spans="1:17">
      <c r="A62" s="457" t="s">
        <v>2256</v>
      </c>
      <c r="B62" s="493" t="s">
        <v>2246</v>
      </c>
      <c r="C62" s="459" t="s">
        <v>2247</v>
      </c>
      <c r="D62" s="460" t="s">
        <v>2248</v>
      </c>
      <c r="E62" s="460" t="s">
        <v>2237</v>
      </c>
      <c r="F62" s="460" t="s">
        <v>1941</v>
      </c>
      <c r="G62" s="460" t="s">
        <v>194</v>
      </c>
      <c r="H62" s="460">
        <v>131.5</v>
      </c>
      <c r="I62" s="460"/>
      <c r="J62" s="466">
        <v>127.43</v>
      </c>
      <c r="K62" s="460">
        <v>0</v>
      </c>
      <c r="L62" s="467">
        <v>1.1499999999999999</v>
      </c>
      <c r="M62" s="468">
        <v>1.1499999999999999</v>
      </c>
      <c r="N62" s="460">
        <v>1.150467906</v>
      </c>
      <c r="O62" s="460">
        <v>1.163404511</v>
      </c>
      <c r="P62" s="470">
        <v>23.857845040000001</v>
      </c>
      <c r="Q62" s="465" t="s">
        <v>1938</v>
      </c>
    </row>
    <row r="63" spans="1:17">
      <c r="A63" s="457" t="s">
        <v>2256</v>
      </c>
      <c r="B63" s="493" t="s">
        <v>2257</v>
      </c>
      <c r="C63" s="459" t="s">
        <v>2258</v>
      </c>
      <c r="D63" s="460" t="s">
        <v>1947</v>
      </c>
      <c r="E63" s="460" t="s">
        <v>2237</v>
      </c>
      <c r="F63" s="460" t="s">
        <v>1936</v>
      </c>
      <c r="G63" s="460" t="s">
        <v>194</v>
      </c>
      <c r="H63" s="460">
        <v>32</v>
      </c>
      <c r="I63" s="460"/>
      <c r="J63" s="471">
        <v>31.99</v>
      </c>
      <c r="K63" s="460">
        <v>0.01</v>
      </c>
      <c r="L63" s="472">
        <v>0.5</v>
      </c>
      <c r="M63" s="473">
        <v>0.83</v>
      </c>
      <c r="N63" s="460">
        <v>0.66500000000000004</v>
      </c>
      <c r="O63" s="460">
        <v>0.66500000000000004</v>
      </c>
      <c r="P63" s="470"/>
      <c r="Q63" s="465" t="s">
        <v>1945</v>
      </c>
    </row>
    <row r="64" spans="1:17">
      <c r="A64" s="457" t="s">
        <v>2256</v>
      </c>
      <c r="B64" s="493" t="s">
        <v>2255</v>
      </c>
      <c r="C64" s="459" t="s">
        <v>2259</v>
      </c>
      <c r="D64" s="460" t="s">
        <v>1962</v>
      </c>
      <c r="E64" s="474">
        <v>46054</v>
      </c>
      <c r="F64" s="460" t="s">
        <v>1936</v>
      </c>
      <c r="G64" s="460" t="s">
        <v>194</v>
      </c>
      <c r="H64" s="460">
        <v>614</v>
      </c>
      <c r="I64" s="460"/>
      <c r="J64" s="471">
        <v>619.42999999999995</v>
      </c>
      <c r="K64" s="460">
        <v>0</v>
      </c>
      <c r="L64" s="472">
        <v>0.94</v>
      </c>
      <c r="M64" s="473">
        <v>0.96</v>
      </c>
      <c r="N64" s="460">
        <v>0.95</v>
      </c>
      <c r="O64" s="460">
        <v>0.95</v>
      </c>
      <c r="P64" s="470"/>
      <c r="Q64" s="465" t="s">
        <v>1945</v>
      </c>
    </row>
    <row r="65" spans="1:17">
      <c r="A65" s="457" t="s">
        <v>2256</v>
      </c>
      <c r="B65" s="470" t="s">
        <v>1967</v>
      </c>
      <c r="C65" s="459" t="s">
        <v>1967</v>
      </c>
      <c r="D65" s="460" t="s">
        <v>1965</v>
      </c>
      <c r="E65" s="460" t="s">
        <v>2237</v>
      </c>
      <c r="F65" s="460" t="s">
        <v>1941</v>
      </c>
      <c r="G65" s="460" t="s">
        <v>194</v>
      </c>
      <c r="H65" s="460">
        <v>12.86</v>
      </c>
      <c r="I65" s="460" t="s">
        <v>1937</v>
      </c>
      <c r="J65" s="471">
        <v>1.66</v>
      </c>
      <c r="K65" s="460">
        <v>0</v>
      </c>
      <c r="L65" s="476">
        <v>0</v>
      </c>
      <c r="M65" s="477">
        <v>0</v>
      </c>
      <c r="N65" s="460">
        <v>0</v>
      </c>
      <c r="O65" s="460" t="e">
        <v>#VALUE!</v>
      </c>
      <c r="P65" s="470" t="s">
        <v>2249</v>
      </c>
      <c r="Q65" s="465" t="s">
        <v>1964</v>
      </c>
    </row>
    <row r="66" spans="1:17">
      <c r="A66" s="457" t="s">
        <v>2256</v>
      </c>
      <c r="B66" s="470" t="s">
        <v>2046</v>
      </c>
      <c r="C66" s="459" t="s">
        <v>2046</v>
      </c>
      <c r="D66" s="460" t="s">
        <v>2047</v>
      </c>
      <c r="E66" s="460" t="s">
        <v>2237</v>
      </c>
      <c r="F66" s="460" t="s">
        <v>1936</v>
      </c>
      <c r="G66" s="460" t="s">
        <v>194</v>
      </c>
      <c r="H66" s="460">
        <v>41.89</v>
      </c>
      <c r="I66" s="460" t="s">
        <v>1937</v>
      </c>
      <c r="J66" s="471">
        <v>0.22</v>
      </c>
      <c r="K66" s="460">
        <v>41.67</v>
      </c>
      <c r="L66" s="476">
        <v>0</v>
      </c>
      <c r="M66" s="477">
        <v>0</v>
      </c>
      <c r="N66" s="460">
        <v>0</v>
      </c>
      <c r="O66" s="460" t="e">
        <v>#VALUE!</v>
      </c>
      <c r="P66" s="470" t="s">
        <v>2249</v>
      </c>
      <c r="Q66" s="465" t="s">
        <v>1964</v>
      </c>
    </row>
    <row r="67" spans="1:17">
      <c r="A67" s="457" t="s">
        <v>2256</v>
      </c>
      <c r="B67" s="470" t="s">
        <v>2060</v>
      </c>
      <c r="C67" s="459" t="s">
        <v>2060</v>
      </c>
      <c r="D67" s="460" t="s">
        <v>1968</v>
      </c>
      <c r="E67" s="460" t="s">
        <v>2237</v>
      </c>
      <c r="F67" s="460" t="s">
        <v>1936</v>
      </c>
      <c r="G67" s="460" t="s">
        <v>194</v>
      </c>
      <c r="H67" s="460">
        <v>36.25</v>
      </c>
      <c r="I67" s="460" t="s">
        <v>1937</v>
      </c>
      <c r="J67" s="471">
        <v>0.04</v>
      </c>
      <c r="K67" s="460">
        <v>36.21</v>
      </c>
      <c r="L67" s="476">
        <v>0</v>
      </c>
      <c r="M67" s="477">
        <v>0</v>
      </c>
      <c r="N67" s="460">
        <v>0</v>
      </c>
      <c r="O67" s="460">
        <v>5.6949289999999996E-3</v>
      </c>
      <c r="P67" s="470">
        <v>33.718864750000002</v>
      </c>
      <c r="Q67" s="465" t="s">
        <v>1964</v>
      </c>
    </row>
    <row r="68" spans="1:17">
      <c r="A68" s="457" t="s">
        <v>2256</v>
      </c>
      <c r="B68" s="470" t="s">
        <v>2061</v>
      </c>
      <c r="C68" s="459" t="s">
        <v>2061</v>
      </c>
      <c r="D68" s="460" t="s">
        <v>1968</v>
      </c>
      <c r="E68" s="460" t="s">
        <v>2237</v>
      </c>
      <c r="F68" s="460" t="s">
        <v>1936</v>
      </c>
      <c r="G68" s="460" t="s">
        <v>194</v>
      </c>
      <c r="H68" s="460">
        <v>39.25</v>
      </c>
      <c r="I68" s="460" t="s">
        <v>1937</v>
      </c>
      <c r="J68" s="471">
        <v>0.25</v>
      </c>
      <c r="K68" s="460">
        <v>39</v>
      </c>
      <c r="L68" s="476">
        <v>0</v>
      </c>
      <c r="M68" s="477">
        <v>0</v>
      </c>
      <c r="N68" s="460">
        <v>0</v>
      </c>
      <c r="O68" s="460">
        <v>3.9559253000000003E-2</v>
      </c>
      <c r="P68" s="470">
        <v>28.38136986</v>
      </c>
      <c r="Q68" s="465" t="s">
        <v>1964</v>
      </c>
    </row>
    <row r="69" spans="1:17">
      <c r="A69" s="457" t="s">
        <v>2256</v>
      </c>
      <c r="B69" s="470" t="s">
        <v>2078</v>
      </c>
      <c r="C69" s="459" t="s">
        <v>2078</v>
      </c>
      <c r="D69" s="460" t="s">
        <v>1963</v>
      </c>
      <c r="E69" s="460" t="s">
        <v>2238</v>
      </c>
      <c r="F69" s="460" t="s">
        <v>1941</v>
      </c>
      <c r="G69" s="460" t="s">
        <v>194</v>
      </c>
      <c r="H69" s="460">
        <v>27.57</v>
      </c>
      <c r="I69" s="460" t="s">
        <v>1937</v>
      </c>
      <c r="J69" s="471">
        <v>0.81</v>
      </c>
      <c r="K69" s="460">
        <v>0</v>
      </c>
      <c r="L69" s="476">
        <v>0</v>
      </c>
      <c r="M69" s="477">
        <v>0</v>
      </c>
      <c r="N69" s="460">
        <v>0</v>
      </c>
      <c r="O69" s="460" t="e">
        <v>#VALUE!</v>
      </c>
      <c r="P69" s="470" t="s">
        <v>2249</v>
      </c>
      <c r="Q69" s="465" t="s">
        <v>1964</v>
      </c>
    </row>
    <row r="70" spans="1:17">
      <c r="A70" s="457" t="s">
        <v>2256</v>
      </c>
      <c r="B70" s="470" t="s">
        <v>2079</v>
      </c>
      <c r="C70" s="459" t="s">
        <v>2079</v>
      </c>
      <c r="D70" s="460" t="s">
        <v>1963</v>
      </c>
      <c r="E70" s="460" t="s">
        <v>2238</v>
      </c>
      <c r="F70" s="460" t="s">
        <v>1936</v>
      </c>
      <c r="G70" s="460" t="s">
        <v>194</v>
      </c>
      <c r="H70" s="460">
        <v>21.57</v>
      </c>
      <c r="I70" s="460" t="s">
        <v>1937</v>
      </c>
      <c r="J70" s="471">
        <v>0.28999999999999998</v>
      </c>
      <c r="K70" s="460">
        <v>21.28</v>
      </c>
      <c r="L70" s="476">
        <v>0</v>
      </c>
      <c r="M70" s="477">
        <v>0</v>
      </c>
      <c r="N70" s="460">
        <v>0</v>
      </c>
      <c r="O70" s="460" t="e">
        <v>#VALUE!</v>
      </c>
      <c r="P70" s="470" t="s">
        <v>2249</v>
      </c>
      <c r="Q70" s="465" t="s">
        <v>1964</v>
      </c>
    </row>
    <row r="71" spans="1:17">
      <c r="A71" s="457" t="s">
        <v>2256</v>
      </c>
      <c r="B71" s="470" t="s">
        <v>2080</v>
      </c>
      <c r="C71" s="459" t="s">
        <v>2080</v>
      </c>
      <c r="D71" s="460" t="s">
        <v>1963</v>
      </c>
      <c r="E71" s="460" t="s">
        <v>2238</v>
      </c>
      <c r="F71" s="460" t="s">
        <v>1936</v>
      </c>
      <c r="G71" s="460" t="s">
        <v>194</v>
      </c>
      <c r="H71" s="460">
        <v>24.07</v>
      </c>
      <c r="I71" s="460" t="s">
        <v>1937</v>
      </c>
      <c r="J71" s="471">
        <v>0.85</v>
      </c>
      <c r="K71" s="460">
        <v>23.22</v>
      </c>
      <c r="L71" s="476">
        <v>0</v>
      </c>
      <c r="M71" s="477">
        <v>0</v>
      </c>
      <c r="N71" s="460">
        <v>0</v>
      </c>
      <c r="O71" s="460" t="e">
        <v>#VALUE!</v>
      </c>
      <c r="P71" s="470" t="s">
        <v>2249</v>
      </c>
      <c r="Q71" s="465" t="s">
        <v>1964</v>
      </c>
    </row>
    <row r="72" spans="1:17">
      <c r="A72" s="457" t="s">
        <v>2256</v>
      </c>
      <c r="B72" s="470" t="s">
        <v>2081</v>
      </c>
      <c r="C72" s="459" t="s">
        <v>2081</v>
      </c>
      <c r="D72" s="460" t="s">
        <v>1966</v>
      </c>
      <c r="E72" s="460" t="s">
        <v>2237</v>
      </c>
      <c r="F72" s="460" t="s">
        <v>1941</v>
      </c>
      <c r="G72" s="460" t="s">
        <v>194</v>
      </c>
      <c r="H72" s="460">
        <v>24.99</v>
      </c>
      <c r="I72" s="460" t="s">
        <v>1937</v>
      </c>
      <c r="J72" s="471">
        <v>0.34</v>
      </c>
      <c r="K72" s="460">
        <v>0</v>
      </c>
      <c r="L72" s="476">
        <v>0</v>
      </c>
      <c r="M72" s="477">
        <v>0</v>
      </c>
      <c r="N72" s="460">
        <v>0</v>
      </c>
      <c r="O72" s="460" t="e">
        <v>#VALUE!</v>
      </c>
      <c r="P72" s="470" t="s">
        <v>2249</v>
      </c>
      <c r="Q72" s="465" t="s">
        <v>1964</v>
      </c>
    </row>
    <row r="73" spans="1:17">
      <c r="A73" s="457" t="s">
        <v>2256</v>
      </c>
      <c r="B73" s="470" t="s">
        <v>2082</v>
      </c>
      <c r="C73" s="459" t="s">
        <v>2082</v>
      </c>
      <c r="D73" s="460" t="s">
        <v>1966</v>
      </c>
      <c r="E73" s="460" t="s">
        <v>2237</v>
      </c>
      <c r="F73" s="460" t="s">
        <v>1936</v>
      </c>
      <c r="G73" s="460" t="s">
        <v>194</v>
      </c>
      <c r="H73" s="460">
        <v>20.99</v>
      </c>
      <c r="I73" s="460" t="s">
        <v>1937</v>
      </c>
      <c r="J73" s="471">
        <v>0.04</v>
      </c>
      <c r="K73" s="460">
        <v>20.95</v>
      </c>
      <c r="L73" s="476">
        <v>0</v>
      </c>
      <c r="M73" s="477">
        <v>0</v>
      </c>
      <c r="N73" s="460">
        <v>0</v>
      </c>
      <c r="O73" s="460" t="e">
        <v>#VALUE!</v>
      </c>
      <c r="P73" s="470" t="s">
        <v>2249</v>
      </c>
      <c r="Q73" s="465" t="s">
        <v>1964</v>
      </c>
    </row>
    <row r="74" spans="1:17">
      <c r="A74" s="457" t="s">
        <v>2256</v>
      </c>
      <c r="B74" s="470" t="s">
        <v>2083</v>
      </c>
      <c r="C74" s="459" t="s">
        <v>2083</v>
      </c>
      <c r="D74" s="460" t="s">
        <v>1966</v>
      </c>
      <c r="E74" s="460" t="s">
        <v>2237</v>
      </c>
      <c r="F74" s="460" t="s">
        <v>1936</v>
      </c>
      <c r="G74" s="460" t="s">
        <v>194</v>
      </c>
      <c r="H74" s="460">
        <v>22.99</v>
      </c>
      <c r="I74" s="460" t="s">
        <v>1937</v>
      </c>
      <c r="J74" s="471">
        <v>0.27</v>
      </c>
      <c r="K74" s="460">
        <v>22.72</v>
      </c>
      <c r="L74" s="476">
        <v>0</v>
      </c>
      <c r="M74" s="477">
        <v>0</v>
      </c>
      <c r="N74" s="460">
        <v>0</v>
      </c>
      <c r="O74" s="460" t="e">
        <v>#VALUE!</v>
      </c>
      <c r="P74" s="470" t="s">
        <v>2249</v>
      </c>
      <c r="Q74" s="465" t="s">
        <v>1964</v>
      </c>
    </row>
    <row r="75" spans="1:17">
      <c r="A75" s="457" t="s">
        <v>2256</v>
      </c>
      <c r="B75" s="470" t="s">
        <v>2084</v>
      </c>
      <c r="C75" s="459" t="s">
        <v>2084</v>
      </c>
      <c r="D75" s="460" t="s">
        <v>1969</v>
      </c>
      <c r="E75" s="460" t="s">
        <v>2237</v>
      </c>
      <c r="F75" s="460" t="s">
        <v>1941</v>
      </c>
      <c r="G75" s="460" t="s">
        <v>194</v>
      </c>
      <c r="H75" s="460">
        <v>37.93</v>
      </c>
      <c r="I75" s="460" t="s">
        <v>1937</v>
      </c>
      <c r="J75" s="471">
        <v>0.03</v>
      </c>
      <c r="K75" s="460">
        <v>0</v>
      </c>
      <c r="L75" s="476">
        <v>0</v>
      </c>
      <c r="M75" s="477">
        <v>0</v>
      </c>
      <c r="N75" s="460">
        <v>0</v>
      </c>
      <c r="O75" s="460" t="e">
        <v>#VALUE!</v>
      </c>
      <c r="P75" s="470" t="s">
        <v>2249</v>
      </c>
      <c r="Q75" s="465" t="s">
        <v>1964</v>
      </c>
    </row>
    <row r="76" spans="1:17">
      <c r="A76" s="457" t="s">
        <v>2256</v>
      </c>
      <c r="B76" s="470" t="s">
        <v>2085</v>
      </c>
      <c r="C76" s="459" t="s">
        <v>2085</v>
      </c>
      <c r="D76" s="460" t="s">
        <v>1969</v>
      </c>
      <c r="E76" s="460" t="s">
        <v>2237</v>
      </c>
      <c r="F76" s="460" t="s">
        <v>1936</v>
      </c>
      <c r="G76" s="460" t="s">
        <v>194</v>
      </c>
      <c r="H76" s="460">
        <v>32.18</v>
      </c>
      <c r="I76" s="460" t="s">
        <v>1937</v>
      </c>
      <c r="J76" s="471">
        <v>0.65</v>
      </c>
      <c r="K76" s="460">
        <v>31.53</v>
      </c>
      <c r="L76" s="476">
        <v>0</v>
      </c>
      <c r="M76" s="477">
        <v>0</v>
      </c>
      <c r="N76" s="460">
        <v>0</v>
      </c>
      <c r="O76" s="460" t="e">
        <v>#VALUE!</v>
      </c>
      <c r="P76" s="470" t="s">
        <v>2249</v>
      </c>
      <c r="Q76" s="465" t="s">
        <v>1964</v>
      </c>
    </row>
    <row r="77" spans="1:17">
      <c r="A77" s="457" t="s">
        <v>2256</v>
      </c>
      <c r="B77" s="470" t="s">
        <v>2086</v>
      </c>
      <c r="C77" s="459" t="s">
        <v>2086</v>
      </c>
      <c r="D77" s="460" t="s">
        <v>1969</v>
      </c>
      <c r="E77" s="460" t="s">
        <v>2237</v>
      </c>
      <c r="F77" s="460" t="s">
        <v>1936</v>
      </c>
      <c r="G77" s="460" t="s">
        <v>194</v>
      </c>
      <c r="H77" s="460">
        <v>34.43</v>
      </c>
      <c r="I77" s="460" t="s">
        <v>1937</v>
      </c>
      <c r="J77" s="471">
        <v>2.0299999999999998</v>
      </c>
      <c r="K77" s="460">
        <v>32.4</v>
      </c>
      <c r="L77" s="476">
        <v>0</v>
      </c>
      <c r="M77" s="477">
        <v>0</v>
      </c>
      <c r="N77" s="460">
        <v>0</v>
      </c>
      <c r="O77" s="460" t="e">
        <v>#VALUE!</v>
      </c>
      <c r="P77" s="470" t="s">
        <v>2249</v>
      </c>
      <c r="Q77" s="465" t="s">
        <v>1964</v>
      </c>
    </row>
    <row r="78" spans="1:17">
      <c r="A78" s="457" t="s">
        <v>2256</v>
      </c>
      <c r="B78" s="470" t="s">
        <v>2087</v>
      </c>
      <c r="C78" s="459" t="s">
        <v>2087</v>
      </c>
      <c r="D78" s="460" t="s">
        <v>1965</v>
      </c>
      <c r="E78" s="460" t="s">
        <v>2237</v>
      </c>
      <c r="F78" s="460" t="s">
        <v>1936</v>
      </c>
      <c r="G78" s="460" t="s">
        <v>194</v>
      </c>
      <c r="H78" s="460">
        <v>12.61</v>
      </c>
      <c r="I78" s="460" t="s">
        <v>1937</v>
      </c>
      <c r="J78" s="471">
        <v>0.02</v>
      </c>
      <c r="K78" s="460">
        <v>12.59</v>
      </c>
      <c r="L78" s="476">
        <v>0</v>
      </c>
      <c r="M78" s="477">
        <v>0</v>
      </c>
      <c r="N78" s="460">
        <v>0</v>
      </c>
      <c r="O78" s="460" t="e">
        <v>#VALUE!</v>
      </c>
      <c r="P78" s="470" t="s">
        <v>2249</v>
      </c>
      <c r="Q78" s="465" t="s">
        <v>1964</v>
      </c>
    </row>
    <row r="79" spans="1:17">
      <c r="A79" s="457" t="s">
        <v>2256</v>
      </c>
      <c r="B79" s="470" t="s">
        <v>2088</v>
      </c>
      <c r="C79" s="459" t="s">
        <v>2088</v>
      </c>
      <c r="D79" s="460" t="s">
        <v>1965</v>
      </c>
      <c r="E79" s="460" t="s">
        <v>2237</v>
      </c>
      <c r="F79" s="460" t="s">
        <v>1936</v>
      </c>
      <c r="G79" s="460" t="s">
        <v>194</v>
      </c>
      <c r="H79" s="460">
        <v>13.61</v>
      </c>
      <c r="I79" s="460" t="s">
        <v>1937</v>
      </c>
      <c r="J79" s="471">
        <v>0.08</v>
      </c>
      <c r="K79" s="460">
        <v>13.53</v>
      </c>
      <c r="L79" s="476">
        <v>0</v>
      </c>
      <c r="M79" s="477">
        <v>0</v>
      </c>
      <c r="N79" s="460">
        <v>0</v>
      </c>
      <c r="O79" s="460" t="e">
        <v>#VALUE!</v>
      </c>
      <c r="P79" s="470" t="s">
        <v>2249</v>
      </c>
      <c r="Q79" s="465" t="s">
        <v>1964</v>
      </c>
    </row>
    <row r="80" spans="1:17">
      <c r="A80" s="457" t="s">
        <v>2256</v>
      </c>
      <c r="B80" s="470" t="s">
        <v>2089</v>
      </c>
      <c r="C80" s="459" t="s">
        <v>2089</v>
      </c>
      <c r="D80" s="460" t="s">
        <v>1963</v>
      </c>
      <c r="E80" s="460" t="s">
        <v>2238</v>
      </c>
      <c r="F80" s="460" t="s">
        <v>1941</v>
      </c>
      <c r="G80" s="460" t="s">
        <v>194</v>
      </c>
      <c r="H80" s="460">
        <v>28.32</v>
      </c>
      <c r="I80" s="460" t="s">
        <v>1937</v>
      </c>
      <c r="J80" s="471">
        <v>1.1399999999999999</v>
      </c>
      <c r="K80" s="460">
        <v>0</v>
      </c>
      <c r="L80" s="476">
        <v>0</v>
      </c>
      <c r="M80" s="477">
        <v>0</v>
      </c>
      <c r="N80" s="460">
        <v>0</v>
      </c>
      <c r="O80" s="460" t="e">
        <v>#VALUE!</v>
      </c>
      <c r="P80" s="470" t="s">
        <v>2249</v>
      </c>
      <c r="Q80" s="465" t="s">
        <v>1964</v>
      </c>
    </row>
    <row r="81" spans="1:17">
      <c r="A81" s="457" t="s">
        <v>2256</v>
      </c>
      <c r="B81" s="470" t="s">
        <v>2090</v>
      </c>
      <c r="C81" s="459" t="s">
        <v>2090</v>
      </c>
      <c r="D81" s="460" t="s">
        <v>1963</v>
      </c>
      <c r="E81" s="460" t="s">
        <v>2238</v>
      </c>
      <c r="F81" s="460" t="s">
        <v>1936</v>
      </c>
      <c r="G81" s="460" t="s">
        <v>194</v>
      </c>
      <c r="H81" s="460">
        <v>23.82</v>
      </c>
      <c r="I81" s="460" t="s">
        <v>1937</v>
      </c>
      <c r="J81" s="471">
        <v>0.82</v>
      </c>
      <c r="K81" s="460">
        <v>23</v>
      </c>
      <c r="L81" s="476">
        <v>0</v>
      </c>
      <c r="M81" s="477">
        <v>0</v>
      </c>
      <c r="N81" s="460">
        <v>0</v>
      </c>
      <c r="O81" s="460" t="e">
        <v>#VALUE!</v>
      </c>
      <c r="P81" s="470" t="s">
        <v>2249</v>
      </c>
      <c r="Q81" s="465" t="s">
        <v>1964</v>
      </c>
    </row>
    <row r="82" spans="1:17">
      <c r="A82" s="457" t="s">
        <v>2256</v>
      </c>
      <c r="B82" s="470" t="s">
        <v>2091</v>
      </c>
      <c r="C82" s="459" t="s">
        <v>2091</v>
      </c>
      <c r="D82" s="460" t="s">
        <v>1963</v>
      </c>
      <c r="E82" s="460" t="s">
        <v>2238</v>
      </c>
      <c r="F82" s="460" t="s">
        <v>1936</v>
      </c>
      <c r="G82" s="460" t="s">
        <v>194</v>
      </c>
      <c r="H82" s="460">
        <v>26.32</v>
      </c>
      <c r="I82" s="460" t="s">
        <v>1937</v>
      </c>
      <c r="J82" s="471">
        <v>1.64</v>
      </c>
      <c r="K82" s="460">
        <v>24.68</v>
      </c>
      <c r="L82" s="476">
        <v>0</v>
      </c>
      <c r="M82" s="477">
        <v>0</v>
      </c>
      <c r="N82" s="460">
        <v>0</v>
      </c>
      <c r="O82" s="460" t="e">
        <v>#VALUE!</v>
      </c>
      <c r="P82" s="470" t="s">
        <v>2249</v>
      </c>
      <c r="Q82" s="465" t="s">
        <v>1964</v>
      </c>
    </row>
    <row r="83" spans="1:17">
      <c r="A83" s="457" t="s">
        <v>2256</v>
      </c>
      <c r="B83" s="470" t="s">
        <v>2104</v>
      </c>
      <c r="C83" s="459" t="s">
        <v>2104</v>
      </c>
      <c r="D83" s="460" t="s">
        <v>2105</v>
      </c>
      <c r="E83" s="460" t="s">
        <v>2238</v>
      </c>
      <c r="F83" s="460" t="s">
        <v>1936</v>
      </c>
      <c r="G83" s="460" t="s">
        <v>194</v>
      </c>
      <c r="H83" s="460">
        <v>19</v>
      </c>
      <c r="I83" s="460" t="s">
        <v>1937</v>
      </c>
      <c r="J83" s="471">
        <v>0.38</v>
      </c>
      <c r="K83" s="460">
        <v>18.62</v>
      </c>
      <c r="L83" s="476">
        <v>0</v>
      </c>
      <c r="M83" s="477">
        <v>0</v>
      </c>
      <c r="N83" s="460">
        <v>0</v>
      </c>
      <c r="O83" s="460">
        <v>8.3341282000000003E-2</v>
      </c>
      <c r="P83" s="470">
        <v>36.5690095</v>
      </c>
      <c r="Q83" s="465" t="s">
        <v>1964</v>
      </c>
    </row>
    <row r="84" spans="1:17">
      <c r="A84" s="457" t="s">
        <v>2256</v>
      </c>
      <c r="B84" s="470" t="s">
        <v>2106</v>
      </c>
      <c r="C84" s="459" t="s">
        <v>2106</v>
      </c>
      <c r="D84" s="460" t="s">
        <v>2105</v>
      </c>
      <c r="E84" s="460" t="s">
        <v>2238</v>
      </c>
      <c r="F84" s="460" t="s">
        <v>1936</v>
      </c>
      <c r="G84" s="460" t="s">
        <v>194</v>
      </c>
      <c r="H84" s="460">
        <v>20.5</v>
      </c>
      <c r="I84" s="460" t="s">
        <v>1937</v>
      </c>
      <c r="J84" s="471">
        <v>0.91</v>
      </c>
      <c r="K84" s="460">
        <v>19.59</v>
      </c>
      <c r="L84" s="476">
        <v>0</v>
      </c>
      <c r="M84" s="477">
        <v>0</v>
      </c>
      <c r="N84" s="460">
        <v>0</v>
      </c>
      <c r="O84" s="460">
        <v>0.18197049500000001</v>
      </c>
      <c r="P84" s="470">
        <v>34.544214150000002</v>
      </c>
      <c r="Q84" s="465" t="s">
        <v>1964</v>
      </c>
    </row>
    <row r="85" spans="1:17">
      <c r="A85" s="457" t="s">
        <v>2256</v>
      </c>
      <c r="B85" s="470" t="s">
        <v>2120</v>
      </c>
      <c r="C85" s="459" t="s">
        <v>2120</v>
      </c>
      <c r="D85" s="460" t="s">
        <v>2030</v>
      </c>
      <c r="E85" s="460" t="s">
        <v>2240</v>
      </c>
      <c r="F85" s="460" t="s">
        <v>1936</v>
      </c>
      <c r="G85" s="460" t="s">
        <v>194</v>
      </c>
      <c r="H85" s="460">
        <v>157000</v>
      </c>
      <c r="I85" s="460" t="s">
        <v>1937</v>
      </c>
      <c r="J85" s="471">
        <v>435</v>
      </c>
      <c r="K85" s="460">
        <v>156565</v>
      </c>
      <c r="L85" s="476">
        <v>0</v>
      </c>
      <c r="M85" s="477">
        <v>0</v>
      </c>
      <c r="N85" s="460">
        <v>0</v>
      </c>
      <c r="O85" s="460">
        <v>97.937670920000002</v>
      </c>
      <c r="P85" s="470">
        <v>17.213247460000002</v>
      </c>
      <c r="Q85" s="465" t="s">
        <v>1964</v>
      </c>
    </row>
    <row r="86" spans="1:17">
      <c r="A86" s="457" t="s">
        <v>2256</v>
      </c>
      <c r="B86" s="470" t="s">
        <v>2121</v>
      </c>
      <c r="C86" s="459" t="s">
        <v>2121</v>
      </c>
      <c r="D86" s="460" t="s">
        <v>2030</v>
      </c>
      <c r="E86" s="460" t="s">
        <v>2240</v>
      </c>
      <c r="F86" s="460" t="s">
        <v>1936</v>
      </c>
      <c r="G86" s="460" t="s">
        <v>194</v>
      </c>
      <c r="H86" s="460">
        <v>164000</v>
      </c>
      <c r="I86" s="460" t="s">
        <v>1937</v>
      </c>
      <c r="J86" s="471">
        <v>2700</v>
      </c>
      <c r="K86" s="460">
        <v>161300</v>
      </c>
      <c r="L86" s="476">
        <v>0</v>
      </c>
      <c r="M86" s="477">
        <v>0</v>
      </c>
      <c r="N86" s="460">
        <v>0</v>
      </c>
      <c r="O86" s="460">
        <v>577.82466439999996</v>
      </c>
      <c r="P86" s="470">
        <v>15.540469420000001</v>
      </c>
      <c r="Q86" s="465" t="s">
        <v>1964</v>
      </c>
    </row>
    <row r="87" spans="1:17">
      <c r="A87" s="457" t="s">
        <v>2256</v>
      </c>
      <c r="B87" s="470" t="s">
        <v>2122</v>
      </c>
      <c r="C87" s="459" t="s">
        <v>2122</v>
      </c>
      <c r="D87" s="460" t="s">
        <v>2030</v>
      </c>
      <c r="E87" s="460" t="s">
        <v>2240</v>
      </c>
      <c r="F87" s="460" t="s">
        <v>1936</v>
      </c>
      <c r="G87" s="460" t="s">
        <v>194</v>
      </c>
      <c r="H87" s="460">
        <v>152000</v>
      </c>
      <c r="I87" s="460" t="s">
        <v>1937</v>
      </c>
      <c r="J87" s="471">
        <v>120</v>
      </c>
      <c r="K87" s="460">
        <v>151880</v>
      </c>
      <c r="L87" s="476">
        <v>0</v>
      </c>
      <c r="M87" s="477">
        <v>0</v>
      </c>
      <c r="N87" s="460">
        <v>0</v>
      </c>
      <c r="O87" s="460">
        <v>24.226216879999999</v>
      </c>
      <c r="P87" s="470">
        <v>19.603318170000001</v>
      </c>
      <c r="Q87" s="465" t="s">
        <v>1964</v>
      </c>
    </row>
    <row r="88" spans="1:17">
      <c r="A88" s="457" t="s">
        <v>2256</v>
      </c>
      <c r="B88" s="470" t="s">
        <v>2123</v>
      </c>
      <c r="C88" s="459" t="s">
        <v>2123</v>
      </c>
      <c r="D88" s="460" t="s">
        <v>2030</v>
      </c>
      <c r="E88" s="460" t="s">
        <v>2240</v>
      </c>
      <c r="F88" s="460" t="s">
        <v>1936</v>
      </c>
      <c r="G88" s="460" t="s">
        <v>194</v>
      </c>
      <c r="H88" s="460">
        <v>158000</v>
      </c>
      <c r="I88" s="460" t="s">
        <v>1937</v>
      </c>
      <c r="J88" s="471">
        <v>570</v>
      </c>
      <c r="K88" s="460">
        <v>157430</v>
      </c>
      <c r="L88" s="476">
        <v>0</v>
      </c>
      <c r="M88" s="477">
        <v>0</v>
      </c>
      <c r="N88" s="460">
        <v>0</v>
      </c>
      <c r="O88" s="460">
        <v>128.4780465</v>
      </c>
      <c r="P88" s="470">
        <v>16.76058042</v>
      </c>
      <c r="Q88" s="465" t="s">
        <v>1964</v>
      </c>
    </row>
    <row r="89" spans="1:17">
      <c r="A89" s="457" t="s">
        <v>2256</v>
      </c>
      <c r="B89" s="470" t="s">
        <v>2133</v>
      </c>
      <c r="C89" s="459" t="s">
        <v>2133</v>
      </c>
      <c r="D89" s="460" t="s">
        <v>1965</v>
      </c>
      <c r="E89" s="460" t="s">
        <v>2238</v>
      </c>
      <c r="F89" s="460" t="s">
        <v>1936</v>
      </c>
      <c r="G89" s="460" t="s">
        <v>194</v>
      </c>
      <c r="H89" s="460">
        <v>12.11</v>
      </c>
      <c r="I89" s="460" t="s">
        <v>1937</v>
      </c>
      <c r="J89" s="471">
        <v>0.04</v>
      </c>
      <c r="K89" s="460">
        <v>12.07</v>
      </c>
      <c r="L89" s="476">
        <v>0</v>
      </c>
      <c r="M89" s="477">
        <v>0</v>
      </c>
      <c r="N89" s="460">
        <v>0</v>
      </c>
      <c r="O89" s="460" t="e">
        <v>#VALUE!</v>
      </c>
      <c r="P89" s="470" t="s">
        <v>2249</v>
      </c>
      <c r="Q89" s="465" t="s">
        <v>1964</v>
      </c>
    </row>
    <row r="90" spans="1:17">
      <c r="A90" s="457" t="s">
        <v>2256</v>
      </c>
      <c r="B90" s="470" t="s">
        <v>2134</v>
      </c>
      <c r="C90" s="459" t="s">
        <v>2134</v>
      </c>
      <c r="D90" s="460" t="s">
        <v>1965</v>
      </c>
      <c r="E90" s="460" t="s">
        <v>2238</v>
      </c>
      <c r="F90" s="460" t="s">
        <v>1936</v>
      </c>
      <c r="G90" s="460" t="s">
        <v>194</v>
      </c>
      <c r="H90" s="460">
        <v>13.36</v>
      </c>
      <c r="I90" s="460" t="s">
        <v>1937</v>
      </c>
      <c r="J90" s="471">
        <v>0.16</v>
      </c>
      <c r="K90" s="460">
        <v>13.2</v>
      </c>
      <c r="L90" s="476">
        <v>0</v>
      </c>
      <c r="M90" s="477">
        <v>0</v>
      </c>
      <c r="N90" s="460">
        <v>0</v>
      </c>
      <c r="O90" s="460" t="e">
        <v>#VALUE!</v>
      </c>
      <c r="P90" s="470" t="s">
        <v>2249</v>
      </c>
      <c r="Q90" s="465" t="s">
        <v>1964</v>
      </c>
    </row>
    <row r="91" spans="1:17">
      <c r="A91" s="457" t="s">
        <v>2256</v>
      </c>
      <c r="B91" s="470" t="s">
        <v>2144</v>
      </c>
      <c r="C91" s="459" t="s">
        <v>2144</v>
      </c>
      <c r="D91" s="460" t="s">
        <v>2145</v>
      </c>
      <c r="E91" s="460" t="s">
        <v>2237</v>
      </c>
      <c r="F91" s="460" t="s">
        <v>1941</v>
      </c>
      <c r="G91" s="460" t="s">
        <v>194</v>
      </c>
      <c r="H91" s="460">
        <v>67.2</v>
      </c>
      <c r="I91" s="460" t="s">
        <v>1937</v>
      </c>
      <c r="J91" s="471" t="s">
        <v>2249</v>
      </c>
      <c r="K91" s="460" t="e">
        <v>#VALUE!</v>
      </c>
      <c r="L91" s="476">
        <v>0</v>
      </c>
      <c r="M91" s="477">
        <v>0</v>
      </c>
      <c r="N91" s="460">
        <v>0</v>
      </c>
      <c r="O91" s="460" t="e">
        <v>#VALUE!</v>
      </c>
      <c r="P91" s="470" t="s">
        <v>2249</v>
      </c>
      <c r="Q91" s="465" t="s">
        <v>1964</v>
      </c>
    </row>
    <row r="92" spans="1:17">
      <c r="A92" s="457" t="s">
        <v>2256</v>
      </c>
      <c r="B92" s="470" t="s">
        <v>2146</v>
      </c>
      <c r="C92" s="459" t="s">
        <v>2146</v>
      </c>
      <c r="D92" s="460" t="s">
        <v>2145</v>
      </c>
      <c r="E92" s="460" t="s">
        <v>2237</v>
      </c>
      <c r="F92" s="460" t="s">
        <v>1936</v>
      </c>
      <c r="G92" s="460" t="s">
        <v>194</v>
      </c>
      <c r="H92" s="460">
        <v>57.7</v>
      </c>
      <c r="I92" s="460" t="s">
        <v>1937</v>
      </c>
      <c r="J92" s="471" t="s">
        <v>2249</v>
      </c>
      <c r="K92" s="460" t="e">
        <v>#VALUE!</v>
      </c>
      <c r="L92" s="476">
        <v>0</v>
      </c>
      <c r="M92" s="477">
        <v>0</v>
      </c>
      <c r="N92" s="460">
        <v>0</v>
      </c>
      <c r="O92" s="460" t="e">
        <v>#VALUE!</v>
      </c>
      <c r="P92" s="470" t="s">
        <v>2249</v>
      </c>
      <c r="Q92" s="465" t="s">
        <v>1964</v>
      </c>
    </row>
    <row r="93" spans="1:17">
      <c r="A93" s="457" t="s">
        <v>2256</v>
      </c>
      <c r="B93" s="470" t="s">
        <v>2147</v>
      </c>
      <c r="C93" s="459" t="s">
        <v>2147</v>
      </c>
      <c r="D93" s="460" t="s">
        <v>2145</v>
      </c>
      <c r="E93" s="460" t="s">
        <v>2237</v>
      </c>
      <c r="F93" s="460" t="s">
        <v>1936</v>
      </c>
      <c r="G93" s="460" t="s">
        <v>194</v>
      </c>
      <c r="H93" s="460">
        <v>62.7</v>
      </c>
      <c r="I93" s="460" t="s">
        <v>1937</v>
      </c>
      <c r="J93" s="471">
        <v>1.8</v>
      </c>
      <c r="K93" s="460">
        <v>60.9</v>
      </c>
      <c r="L93" s="476">
        <v>0</v>
      </c>
      <c r="M93" s="477">
        <v>0</v>
      </c>
      <c r="N93" s="460">
        <v>0</v>
      </c>
      <c r="O93" s="460" t="e">
        <v>#VALUE!</v>
      </c>
      <c r="P93" s="470" t="s">
        <v>2249</v>
      </c>
      <c r="Q93" s="465" t="s">
        <v>1964</v>
      </c>
    </row>
    <row r="94" spans="1:17">
      <c r="A94" s="457" t="s">
        <v>2256</v>
      </c>
      <c r="B94" s="470" t="s">
        <v>2168</v>
      </c>
      <c r="C94" s="459" t="s">
        <v>2168</v>
      </c>
      <c r="D94" s="460" t="s">
        <v>2169</v>
      </c>
      <c r="E94" s="460" t="s">
        <v>2237</v>
      </c>
      <c r="F94" s="460" t="s">
        <v>1936</v>
      </c>
      <c r="G94" s="460" t="s">
        <v>194</v>
      </c>
      <c r="H94" s="460">
        <v>104</v>
      </c>
      <c r="I94" s="460" t="s">
        <v>1937</v>
      </c>
      <c r="J94" s="471">
        <v>0.22</v>
      </c>
      <c r="K94" s="460">
        <v>103.78</v>
      </c>
      <c r="L94" s="476">
        <v>0</v>
      </c>
      <c r="M94" s="477">
        <v>0</v>
      </c>
      <c r="N94" s="460">
        <v>0</v>
      </c>
      <c r="O94" s="460">
        <v>4.2597959999999997E-2</v>
      </c>
      <c r="P94" s="470">
        <v>27.178843959999998</v>
      </c>
      <c r="Q94" s="465" t="s">
        <v>1964</v>
      </c>
    </row>
    <row r="95" spans="1:17">
      <c r="A95" s="457" t="s">
        <v>2256</v>
      </c>
      <c r="B95" s="470" t="s">
        <v>2170</v>
      </c>
      <c r="C95" s="459" t="s">
        <v>2170</v>
      </c>
      <c r="D95" s="460" t="s">
        <v>2169</v>
      </c>
      <c r="E95" s="460" t="s">
        <v>2237</v>
      </c>
      <c r="F95" s="460" t="s">
        <v>1936</v>
      </c>
      <c r="G95" s="460" t="s">
        <v>194</v>
      </c>
      <c r="H95" s="460">
        <v>111</v>
      </c>
      <c r="I95" s="460" t="s">
        <v>1937</v>
      </c>
      <c r="J95" s="471">
        <v>1.22</v>
      </c>
      <c r="K95" s="460">
        <v>109.78</v>
      </c>
      <c r="L95" s="476">
        <v>0</v>
      </c>
      <c r="M95" s="477">
        <v>0</v>
      </c>
      <c r="N95" s="460">
        <v>0</v>
      </c>
      <c r="O95" s="460">
        <v>0.24033592000000001</v>
      </c>
      <c r="P95" s="470">
        <v>22.432649250000001</v>
      </c>
      <c r="Q95" s="465" t="s">
        <v>1964</v>
      </c>
    </row>
    <row r="96" spans="1:17">
      <c r="A96" s="457" t="s">
        <v>2256</v>
      </c>
      <c r="B96" s="470" t="s">
        <v>2171</v>
      </c>
      <c r="C96" s="459" t="s">
        <v>2171</v>
      </c>
      <c r="D96" s="460" t="s">
        <v>2172</v>
      </c>
      <c r="E96" s="460" t="s">
        <v>2237</v>
      </c>
      <c r="F96" s="460" t="s">
        <v>1936</v>
      </c>
      <c r="G96" s="460" t="s">
        <v>194</v>
      </c>
      <c r="H96" s="460">
        <v>11.75</v>
      </c>
      <c r="I96" s="460" t="s">
        <v>1937</v>
      </c>
      <c r="J96" s="471">
        <v>7.0000000000000007E-2</v>
      </c>
      <c r="K96" s="460">
        <v>11.68</v>
      </c>
      <c r="L96" s="476">
        <v>0</v>
      </c>
      <c r="M96" s="477">
        <v>0</v>
      </c>
      <c r="N96" s="460">
        <v>0</v>
      </c>
      <c r="O96" s="460" t="e">
        <v>#VALUE!</v>
      </c>
      <c r="P96" s="470" t="s">
        <v>2249</v>
      </c>
      <c r="Q96" s="465" t="s">
        <v>1964</v>
      </c>
    </row>
    <row r="97" spans="1:17">
      <c r="A97" s="457" t="s">
        <v>2256</v>
      </c>
      <c r="B97" s="470" t="s">
        <v>2173</v>
      </c>
      <c r="C97" s="459" t="s">
        <v>2173</v>
      </c>
      <c r="D97" s="460" t="s">
        <v>2172</v>
      </c>
      <c r="E97" s="460" t="s">
        <v>2237</v>
      </c>
      <c r="F97" s="460" t="s">
        <v>1936</v>
      </c>
      <c r="G97" s="460" t="s">
        <v>194</v>
      </c>
      <c r="H97" s="460">
        <v>12.75</v>
      </c>
      <c r="I97" s="460" t="s">
        <v>1937</v>
      </c>
      <c r="J97" s="471">
        <v>0.28999999999999998</v>
      </c>
      <c r="K97" s="460">
        <v>12.46</v>
      </c>
      <c r="L97" s="476">
        <v>0</v>
      </c>
      <c r="M97" s="477">
        <v>0</v>
      </c>
      <c r="N97" s="460">
        <v>0</v>
      </c>
      <c r="O97" s="460" t="e">
        <v>#VALUE!</v>
      </c>
      <c r="P97" s="470" t="s">
        <v>2249</v>
      </c>
      <c r="Q97" s="465" t="s">
        <v>1964</v>
      </c>
    </row>
    <row r="98" spans="1:17">
      <c r="A98" s="457" t="s">
        <v>2256</v>
      </c>
      <c r="B98" s="470" t="s">
        <v>2198</v>
      </c>
      <c r="C98" s="459" t="s">
        <v>2198</v>
      </c>
      <c r="D98" s="460" t="s">
        <v>2199</v>
      </c>
      <c r="E98" s="460" t="s">
        <v>2238</v>
      </c>
      <c r="F98" s="460" t="s">
        <v>1941</v>
      </c>
      <c r="G98" s="460" t="s">
        <v>194</v>
      </c>
      <c r="H98" s="460">
        <v>57.32</v>
      </c>
      <c r="I98" s="460" t="s">
        <v>1937</v>
      </c>
      <c r="J98" s="471">
        <v>1.02</v>
      </c>
      <c r="K98" s="460">
        <v>0</v>
      </c>
      <c r="L98" s="476">
        <v>0</v>
      </c>
      <c r="M98" s="477">
        <v>0</v>
      </c>
      <c r="N98" s="460">
        <v>0</v>
      </c>
      <c r="O98" s="460" t="e">
        <v>#VALUE!</v>
      </c>
      <c r="P98" s="470" t="s">
        <v>2249</v>
      </c>
      <c r="Q98" s="465" t="s">
        <v>1964</v>
      </c>
    </row>
    <row r="99" spans="1:17">
      <c r="A99" s="457" t="s">
        <v>2256</v>
      </c>
      <c r="B99" s="470" t="s">
        <v>2200</v>
      </c>
      <c r="C99" s="459" t="s">
        <v>2200</v>
      </c>
      <c r="D99" s="460" t="s">
        <v>2199</v>
      </c>
      <c r="E99" s="460" t="s">
        <v>2238</v>
      </c>
      <c r="F99" s="460" t="s">
        <v>1936</v>
      </c>
      <c r="G99" s="460" t="s">
        <v>194</v>
      </c>
      <c r="H99" s="460">
        <v>47.82</v>
      </c>
      <c r="I99" s="460" t="s">
        <v>1937</v>
      </c>
      <c r="J99" s="471">
        <v>0.5</v>
      </c>
      <c r="K99" s="460">
        <v>47.32</v>
      </c>
      <c r="L99" s="476">
        <v>0</v>
      </c>
      <c r="M99" s="477">
        <v>0</v>
      </c>
      <c r="N99" s="460">
        <v>0</v>
      </c>
      <c r="O99" s="460" t="e">
        <v>#VALUE!</v>
      </c>
      <c r="P99" s="470" t="s">
        <v>2249</v>
      </c>
      <c r="Q99" s="465" t="s">
        <v>1964</v>
      </c>
    </row>
    <row r="100" spans="1:17">
      <c r="A100" s="457" t="s">
        <v>2256</v>
      </c>
      <c r="B100" s="470" t="s">
        <v>2201</v>
      </c>
      <c r="C100" s="459" t="s">
        <v>2201</v>
      </c>
      <c r="D100" s="460" t="s">
        <v>2199</v>
      </c>
      <c r="E100" s="460" t="s">
        <v>2238</v>
      </c>
      <c r="F100" s="460" t="s">
        <v>1936</v>
      </c>
      <c r="G100" s="460" t="s">
        <v>194</v>
      </c>
      <c r="H100" s="460">
        <v>51.82</v>
      </c>
      <c r="I100" s="460" t="s">
        <v>1937</v>
      </c>
      <c r="J100" s="471">
        <v>1.43</v>
      </c>
      <c r="K100" s="460">
        <v>50.39</v>
      </c>
      <c r="L100" s="476">
        <v>0</v>
      </c>
      <c r="M100" s="477">
        <v>0</v>
      </c>
      <c r="N100" s="460">
        <v>0</v>
      </c>
      <c r="O100" s="460" t="e">
        <v>#VALUE!</v>
      </c>
      <c r="P100" s="470" t="s">
        <v>2249</v>
      </c>
      <c r="Q100" s="465" t="s">
        <v>1964</v>
      </c>
    </row>
    <row r="101" spans="1:17">
      <c r="A101" s="457" t="s">
        <v>2256</v>
      </c>
      <c r="B101" s="470" t="s">
        <v>2213</v>
      </c>
      <c r="C101" s="459" t="s">
        <v>2213</v>
      </c>
      <c r="D101" s="460" t="s">
        <v>2145</v>
      </c>
      <c r="E101" s="460" t="s">
        <v>2238</v>
      </c>
      <c r="F101" s="460" t="s">
        <v>1936</v>
      </c>
      <c r="G101" s="460" t="s">
        <v>194</v>
      </c>
      <c r="H101" s="460">
        <v>43</v>
      </c>
      <c r="I101" s="460" t="s">
        <v>1937</v>
      </c>
      <c r="J101" s="471">
        <v>0.22</v>
      </c>
      <c r="K101" s="460">
        <v>42.78</v>
      </c>
      <c r="L101" s="476">
        <v>0</v>
      </c>
      <c r="M101" s="477">
        <v>0</v>
      </c>
      <c r="N101" s="460">
        <v>0</v>
      </c>
      <c r="O101" s="460" t="e">
        <v>#VALUE!</v>
      </c>
      <c r="P101" s="470" t="s">
        <v>2249</v>
      </c>
      <c r="Q101" s="465" t="s">
        <v>1964</v>
      </c>
    </row>
    <row r="102" spans="1:17">
      <c r="A102" s="457" t="s">
        <v>2256</v>
      </c>
      <c r="B102" s="470" t="s">
        <v>2214</v>
      </c>
      <c r="C102" s="459" t="s">
        <v>2214</v>
      </c>
      <c r="D102" s="460" t="s">
        <v>2145</v>
      </c>
      <c r="E102" s="460" t="s">
        <v>2238</v>
      </c>
      <c r="F102" s="460" t="s">
        <v>1936</v>
      </c>
      <c r="G102" s="460" t="s">
        <v>194</v>
      </c>
      <c r="H102" s="460">
        <v>48</v>
      </c>
      <c r="I102" s="460" t="s">
        <v>1937</v>
      </c>
      <c r="J102" s="471">
        <v>0.6</v>
      </c>
      <c r="K102" s="460">
        <v>47.4</v>
      </c>
      <c r="L102" s="476">
        <v>0</v>
      </c>
      <c r="M102" s="477">
        <v>0</v>
      </c>
      <c r="N102" s="460">
        <v>0</v>
      </c>
      <c r="O102" s="460" t="e">
        <v>#VALUE!</v>
      </c>
      <c r="P102" s="470" t="s">
        <v>2249</v>
      </c>
      <c r="Q102" s="465" t="s">
        <v>1964</v>
      </c>
    </row>
    <row r="103" spans="1:17">
      <c r="A103" s="457" t="s">
        <v>2256</v>
      </c>
      <c r="B103" s="470" t="s">
        <v>2215</v>
      </c>
      <c r="C103" s="459" t="s">
        <v>2215</v>
      </c>
      <c r="D103" s="460" t="s">
        <v>2216</v>
      </c>
      <c r="E103" s="460" t="s">
        <v>2237</v>
      </c>
      <c r="F103" s="460" t="s">
        <v>1941</v>
      </c>
      <c r="G103" s="460" t="s">
        <v>194</v>
      </c>
      <c r="H103" s="460">
        <v>46.3</v>
      </c>
      <c r="I103" s="460" t="s">
        <v>1937</v>
      </c>
      <c r="J103" s="471">
        <v>0.84</v>
      </c>
      <c r="K103" s="460">
        <v>0</v>
      </c>
      <c r="L103" s="476">
        <v>0</v>
      </c>
      <c r="M103" s="477">
        <v>0</v>
      </c>
      <c r="N103" s="460">
        <v>0</v>
      </c>
      <c r="O103" s="460" t="e">
        <v>#VALUE!</v>
      </c>
      <c r="P103" s="470" t="s">
        <v>2249</v>
      </c>
      <c r="Q103" s="465" t="s">
        <v>1964</v>
      </c>
    </row>
    <row r="104" spans="1:17">
      <c r="A104" s="457" t="s">
        <v>2256</v>
      </c>
      <c r="B104" s="470" t="s">
        <v>2217</v>
      </c>
      <c r="C104" s="459" t="s">
        <v>2217</v>
      </c>
      <c r="D104" s="460" t="s">
        <v>2216</v>
      </c>
      <c r="E104" s="460" t="s">
        <v>2237</v>
      </c>
      <c r="F104" s="460" t="s">
        <v>1936</v>
      </c>
      <c r="G104" s="460" t="s">
        <v>194</v>
      </c>
      <c r="H104" s="460">
        <v>40.799999999999997</v>
      </c>
      <c r="I104" s="460" t="s">
        <v>1937</v>
      </c>
      <c r="J104" s="471">
        <v>0.21</v>
      </c>
      <c r="K104" s="460">
        <v>40.590000000000003</v>
      </c>
      <c r="L104" s="476">
        <v>0</v>
      </c>
      <c r="M104" s="477">
        <v>0</v>
      </c>
      <c r="N104" s="460">
        <v>0</v>
      </c>
      <c r="O104" s="460" t="e">
        <v>#VALUE!</v>
      </c>
      <c r="P104" s="470" t="s">
        <v>2249</v>
      </c>
      <c r="Q104" s="465" t="s">
        <v>1964</v>
      </c>
    </row>
    <row r="105" spans="1:17">
      <c r="A105" s="457" t="s">
        <v>2256</v>
      </c>
      <c r="B105" s="470" t="s">
        <v>2218</v>
      </c>
      <c r="C105" s="459" t="s">
        <v>2218</v>
      </c>
      <c r="D105" s="460" t="s">
        <v>2216</v>
      </c>
      <c r="E105" s="460" t="s">
        <v>2237</v>
      </c>
      <c r="F105" s="460" t="s">
        <v>1936</v>
      </c>
      <c r="G105" s="460" t="s">
        <v>194</v>
      </c>
      <c r="H105" s="460">
        <v>43.3</v>
      </c>
      <c r="I105" s="460" t="s">
        <v>1937</v>
      </c>
      <c r="J105" s="471">
        <v>0.77</v>
      </c>
      <c r="K105" s="460">
        <v>42.53</v>
      </c>
      <c r="L105" s="476">
        <v>0</v>
      </c>
      <c r="M105" s="477">
        <v>0</v>
      </c>
      <c r="N105" s="460">
        <v>0</v>
      </c>
      <c r="O105" s="460" t="e">
        <v>#VALUE!</v>
      </c>
      <c r="P105" s="470" t="s">
        <v>2249</v>
      </c>
      <c r="Q105" s="465" t="s">
        <v>1964</v>
      </c>
    </row>
    <row r="106" spans="1:17">
      <c r="A106" s="457" t="s">
        <v>2256</v>
      </c>
      <c r="B106" s="458" t="s">
        <v>2227</v>
      </c>
      <c r="C106" s="458" t="s">
        <v>2227</v>
      </c>
      <c r="D106" s="460" t="s">
        <v>2045</v>
      </c>
      <c r="E106" s="460" t="s">
        <v>2237</v>
      </c>
      <c r="F106" s="460" t="s">
        <v>1941</v>
      </c>
      <c r="G106" s="460" t="s">
        <v>194</v>
      </c>
      <c r="H106" s="460">
        <v>14.02</v>
      </c>
      <c r="I106" s="460" t="s">
        <v>1937</v>
      </c>
      <c r="J106" s="471">
        <v>0.33</v>
      </c>
      <c r="K106" s="460">
        <v>0</v>
      </c>
      <c r="L106" s="476">
        <v>0</v>
      </c>
      <c r="M106" s="477">
        <v>0</v>
      </c>
      <c r="N106" s="460">
        <v>0</v>
      </c>
      <c r="O106" s="460">
        <v>6.1538586999999999E-2</v>
      </c>
      <c r="P106" s="470">
        <v>29.450681979999999</v>
      </c>
      <c r="Q106" s="465" t="s">
        <v>1964</v>
      </c>
    </row>
    <row r="107" spans="1:17">
      <c r="A107" s="457" t="s">
        <v>2256</v>
      </c>
      <c r="B107" s="458" t="s">
        <v>2228</v>
      </c>
      <c r="C107" s="458" t="s">
        <v>2228</v>
      </c>
      <c r="D107" s="460" t="s">
        <v>2045</v>
      </c>
      <c r="E107" s="460" t="s">
        <v>2237</v>
      </c>
      <c r="F107" s="460" t="s">
        <v>1941</v>
      </c>
      <c r="G107" s="460" t="s">
        <v>194</v>
      </c>
      <c r="H107" s="460">
        <v>14.52</v>
      </c>
      <c r="I107" s="460" t="s">
        <v>1937</v>
      </c>
      <c r="J107" s="471">
        <v>0.12</v>
      </c>
      <c r="K107" s="460">
        <v>0</v>
      </c>
      <c r="L107" s="476">
        <v>0</v>
      </c>
      <c r="M107" s="477">
        <v>0</v>
      </c>
      <c r="N107" s="460">
        <v>0</v>
      </c>
      <c r="O107" s="460">
        <v>2.836371E-2</v>
      </c>
      <c r="P107" s="470">
        <v>29.378118390000001</v>
      </c>
      <c r="Q107" s="465" t="s">
        <v>1964</v>
      </c>
    </row>
    <row r="108" spans="1:17">
      <c r="A108" s="457" t="s">
        <v>2256</v>
      </c>
      <c r="B108" s="458" t="s">
        <v>2229</v>
      </c>
      <c r="C108" s="458" t="s">
        <v>2229</v>
      </c>
      <c r="D108" s="460" t="s">
        <v>2230</v>
      </c>
      <c r="E108" s="460" t="s">
        <v>2238</v>
      </c>
      <c r="F108" s="460" t="s">
        <v>1936</v>
      </c>
      <c r="G108" s="460" t="s">
        <v>194</v>
      </c>
      <c r="H108" s="460">
        <v>50.38</v>
      </c>
      <c r="I108" s="460" t="s">
        <v>1937</v>
      </c>
      <c r="J108" s="471">
        <v>1.04</v>
      </c>
      <c r="K108" s="460">
        <v>49.34</v>
      </c>
      <c r="L108" s="476">
        <v>0</v>
      </c>
      <c r="M108" s="477">
        <v>0</v>
      </c>
      <c r="N108" s="460">
        <v>0</v>
      </c>
      <c r="O108" s="460" t="e">
        <v>#VALUE!</v>
      </c>
      <c r="P108" s="470" t="s">
        <v>2249</v>
      </c>
      <c r="Q108" s="465" t="s">
        <v>1964</v>
      </c>
    </row>
    <row r="109" spans="1:17">
      <c r="A109" s="457" t="s">
        <v>2256</v>
      </c>
      <c r="B109" s="458" t="s">
        <v>2250</v>
      </c>
      <c r="C109" s="458" t="s">
        <v>2250</v>
      </c>
      <c r="D109" s="460" t="s">
        <v>2045</v>
      </c>
      <c r="E109" s="460" t="s">
        <v>2237</v>
      </c>
      <c r="F109" s="460" t="s">
        <v>1941</v>
      </c>
      <c r="G109" s="460" t="s">
        <v>194</v>
      </c>
      <c r="H109" s="460">
        <v>14.77</v>
      </c>
      <c r="I109" s="460" t="s">
        <v>1937</v>
      </c>
      <c r="J109" s="471">
        <v>0.08</v>
      </c>
      <c r="K109" s="460">
        <v>0</v>
      </c>
      <c r="L109" s="476">
        <v>0</v>
      </c>
      <c r="M109" s="477">
        <v>0</v>
      </c>
      <c r="N109" s="460">
        <v>0</v>
      </c>
      <c r="O109" s="460">
        <v>1.9570868000000002E-2</v>
      </c>
      <c r="P109" s="470">
        <v>30.253033800000001</v>
      </c>
      <c r="Q109" s="465" t="s">
        <v>1964</v>
      </c>
    </row>
    <row r="110" spans="1:17">
      <c r="A110" s="457" t="s">
        <v>2256</v>
      </c>
      <c r="B110" s="458" t="s">
        <v>2251</v>
      </c>
      <c r="C110" s="458" t="s">
        <v>2251</v>
      </c>
      <c r="D110" s="460" t="s">
        <v>2045</v>
      </c>
      <c r="E110" s="460" t="s">
        <v>2237</v>
      </c>
      <c r="F110" s="460" t="s">
        <v>1936</v>
      </c>
      <c r="G110" s="460" t="s">
        <v>194</v>
      </c>
      <c r="H110" s="460">
        <v>13.02</v>
      </c>
      <c r="I110" s="460" t="s">
        <v>1937</v>
      </c>
      <c r="J110" s="471">
        <v>0.08</v>
      </c>
      <c r="K110" s="460">
        <v>12.94</v>
      </c>
      <c r="L110" s="476">
        <v>0</v>
      </c>
      <c r="M110" s="477">
        <v>0</v>
      </c>
      <c r="N110" s="460">
        <v>0</v>
      </c>
      <c r="O110" s="460">
        <v>1.8097595000000001E-2</v>
      </c>
      <c r="P110" s="470">
        <v>35.360346579999998</v>
      </c>
      <c r="Q110" s="465" t="s">
        <v>1964</v>
      </c>
    </row>
    <row r="111" spans="1:17">
      <c r="A111" s="457" t="s">
        <v>2256</v>
      </c>
      <c r="B111" s="458" t="s">
        <v>2252</v>
      </c>
      <c r="C111" s="458" t="s">
        <v>2252</v>
      </c>
      <c r="D111" s="460" t="s">
        <v>2045</v>
      </c>
      <c r="E111" s="460" t="s">
        <v>2237</v>
      </c>
      <c r="F111" s="460" t="s">
        <v>1936</v>
      </c>
      <c r="G111" s="460" t="s">
        <v>194</v>
      </c>
      <c r="H111" s="460">
        <v>13.77</v>
      </c>
      <c r="I111" s="460" t="s">
        <v>1937</v>
      </c>
      <c r="J111" s="471">
        <v>0.26</v>
      </c>
      <c r="K111" s="460">
        <v>13.51</v>
      </c>
      <c r="L111" s="476">
        <v>0</v>
      </c>
      <c r="M111" s="477">
        <v>0</v>
      </c>
      <c r="N111" s="460">
        <v>0</v>
      </c>
      <c r="O111" s="460">
        <v>4.9165753E-2</v>
      </c>
      <c r="P111" s="470">
        <v>30.476261319999999</v>
      </c>
      <c r="Q111" s="465" t="s">
        <v>1964</v>
      </c>
    </row>
    <row r="112" spans="1:17">
      <c r="A112" s="457" t="s">
        <v>2256</v>
      </c>
      <c r="B112" s="458" t="s">
        <v>2253</v>
      </c>
      <c r="C112" s="458" t="s">
        <v>2253</v>
      </c>
      <c r="D112" s="460" t="s">
        <v>2254</v>
      </c>
      <c r="E112" s="460" t="s">
        <v>2237</v>
      </c>
      <c r="F112" s="460" t="s">
        <v>1941</v>
      </c>
      <c r="G112" s="460" t="s">
        <v>194</v>
      </c>
      <c r="H112" s="460">
        <v>31.87</v>
      </c>
      <c r="I112" s="460" t="s">
        <v>1937</v>
      </c>
      <c r="J112" s="471">
        <v>0.18</v>
      </c>
      <c r="K112" s="460">
        <v>0</v>
      </c>
      <c r="L112" s="476">
        <v>0</v>
      </c>
      <c r="M112" s="477">
        <v>0</v>
      </c>
      <c r="N112" s="460">
        <v>0</v>
      </c>
      <c r="O112" s="460" t="e">
        <v>#VALUE!</v>
      </c>
      <c r="P112" s="470" t="s">
        <v>2249</v>
      </c>
      <c r="Q112" s="465" t="s">
        <v>1964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2026-01-02T21:31:39Z</dcterms:modified>
  <cp:category/>
  <cp:contentStatus/>
</cp:coreProperties>
</file>