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ip\Desktop\TCC\materiais\02) Planilhas\"/>
    </mc:Choice>
  </mc:AlternateContent>
  <xr:revisionPtr revIDLastSave="0" documentId="13_ncr:1_{915FC018-A51B-47B0-A561-1D92A5BD867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enu" sheetId="4" r:id="rId1"/>
    <sheet name="Aceleração" sheetId="3" r:id="rId2"/>
    <sheet name="Força no pedal" sheetId="1" r:id="rId3"/>
    <sheet name="Calor" sheetId="8" r:id="rId4"/>
  </sheets>
  <externalReferences>
    <externalReference r:id="rId5"/>
    <externalReference r:id="rId6"/>
  </externalReferences>
  <definedNames>
    <definedName name="a" localSheetId="3">Calor!$D$5</definedName>
    <definedName name="a">Aceleração!$G$6</definedName>
    <definedName name="A_cm">'Força no pedal'!$G$15</definedName>
    <definedName name="A_d">Calor!$I$18</definedName>
    <definedName name="A_p">Calor!#REF!</definedName>
    <definedName name="Acm">Aceleração!$G$28</definedName>
    <definedName name="ag" localSheetId="3">Calor!$C$5</definedName>
    <definedName name="ag">[1]Rocha!$E$5</definedName>
    <definedName name="alpha">'Força no pedal'!#REF!</definedName>
    <definedName name="Apist_f">'Força no pedal'!$G$16</definedName>
    <definedName name="Apist_r">'Força no pedal'!$G$17</definedName>
    <definedName name="Apistf">Aceleração!$G$24</definedName>
    <definedName name="Apistr">Aceleração!$G$25</definedName>
    <definedName name="c_ar" localSheetId="3">Calor!$G$9</definedName>
    <definedName name="c_ar">[1]Rocha!$M$5</definedName>
    <definedName name="c_d" localSheetId="3">Calor!$G$14</definedName>
    <definedName name="c_d">[1]Rocha!$G$9</definedName>
    <definedName name="c_p" localSheetId="3">Calor!$F$14</definedName>
    <definedName name="c_p">[1]Rocha!$F$9</definedName>
    <definedName name="D">Calor!$J$18</definedName>
    <definedName name="ef_d">Calor!$I$14</definedName>
    <definedName name="ef_p">Calor!$H$14</definedName>
    <definedName name="F_pd">Aceleração!$G$31</definedName>
    <definedName name="Fat_f">'Força no pedal'!$G$23</definedName>
    <definedName name="Fat_r">'Força no pedal'!$G$24</definedName>
    <definedName name="Fatf">Aceleração!$G$20</definedName>
    <definedName name="Fatr">Aceleração!$G$21</definedName>
    <definedName name="Fpd">'Força no pedal'!$G$8</definedName>
    <definedName name="FpdF">Aceleração!$G$29</definedName>
    <definedName name="FpdR">Aceleração!$G$30</definedName>
    <definedName name="Fpil">'Força no pedal'!$G$6</definedName>
    <definedName name="FzF_din">Aceleração!$G$12</definedName>
    <definedName name="FzR_din">Aceleração!$G$13</definedName>
    <definedName name="g">Aceleração!$G$8</definedName>
    <definedName name="gamma" localSheetId="3">Calor!$K$14</definedName>
    <definedName name="gamma">[1]Rocha!$K$9</definedName>
    <definedName name="h">Menu!$E$10</definedName>
    <definedName name="I" localSheetId="3">Calor!$J$18</definedName>
    <definedName name="I">[1]Rocha!$C$5</definedName>
    <definedName name="I_w">'Força no pedal'!$G$12</definedName>
    <definedName name="Iw">Aceleração!$G$14</definedName>
    <definedName name="K">[1]Rocha!$H$5</definedName>
    <definedName name="k_ar" localSheetId="3">Calor!$B$9</definedName>
    <definedName name="k_ar">[1]Rocha!$B$5</definedName>
    <definedName name="k_d" localSheetId="3">Calor!$C$14</definedName>
    <definedName name="k_d">[1]Rocha!$C$9</definedName>
    <definedName name="k_p" localSheetId="3">Calor!$B$14</definedName>
    <definedName name="k_p">[1]Rocha!$B$9</definedName>
    <definedName name="kar">#REF!</definedName>
    <definedName name="LF">Menu!$C$10</definedName>
    <definedName name="LR">Menu!$D$10</definedName>
    <definedName name="M">#REF!</definedName>
    <definedName name="mi">Aceleração!$G$19</definedName>
    <definedName name="mi_ar" localSheetId="3">Calor!$D$9</definedName>
    <definedName name="mi_ar">[1]Rocha!$J$5</definedName>
    <definedName name="mi_at">'Força no pedal'!$G$22</definedName>
    <definedName name="mi_d">Calor!$B$18</definedName>
    <definedName name="mi_max">Aceleração!$G$7</definedName>
    <definedName name="mp">#REF!</definedName>
    <definedName name="Mt">Menu!$K$10</definedName>
    <definedName name="N_f">'Força no pedal'!$G$20</definedName>
    <definedName name="N_r">'Força no pedal'!$G$21</definedName>
    <definedName name="Nf">Aceleração!$G$22</definedName>
    <definedName name="Nr">Aceleração!$G$23</definedName>
    <definedName name="omega0">Calor!$E$18</definedName>
    <definedName name="P_f">'Força no pedal'!$G$18</definedName>
    <definedName name="P_r">'Força no pedal'!$G$19</definedName>
    <definedName name="Pf">Aceleração!$G$26</definedName>
    <definedName name="phi">Calor!$K$18</definedName>
    <definedName name="pmax">Calor!$C$18</definedName>
    <definedName name="Pr">Aceleração!$G$27</definedName>
    <definedName name="r_d">Calor!$G$18</definedName>
    <definedName name="Rdf">'Força no pedal'!$G$25</definedName>
    <definedName name="Rdiscf">Aceleração!$G$17</definedName>
    <definedName name="Rdiscr">Aceleração!$G$18</definedName>
    <definedName name="Rdr">'Força no pedal'!$G$26</definedName>
    <definedName name="Re">#REF!</definedName>
    <definedName name="Refet_R">#REF!</definedName>
    <definedName name="rel_ped">Aceleração!$G$33</definedName>
    <definedName name="rel_pedal">'Força no pedal'!$G$7</definedName>
    <definedName name="rho" localSheetId="3">Calor!$C$9</definedName>
    <definedName name="rho">[1]Rocha!$I$5</definedName>
    <definedName name="rho_ar" localSheetId="3">Calor!$C$9</definedName>
    <definedName name="rho_ar">#REF!</definedName>
    <definedName name="rho_d" localSheetId="3">Calor!$E$14</definedName>
    <definedName name="rho_d">[1]Rocha!$E$9</definedName>
    <definedName name="rho_p" localSheetId="3">Calor!$D$14</definedName>
    <definedName name="rho_p">[1]Rocha!$D$9</definedName>
    <definedName name="rm">Calor!$H$18</definedName>
    <definedName name="Rp">'Força no pedal'!$G$11</definedName>
    <definedName name="Rpneu">Aceleração!$G$9</definedName>
    <definedName name="rt">Calor!$F$18</definedName>
    <definedName name="T_max">'Força no pedal'!$G$27</definedName>
    <definedName name="tf">#REF!</definedName>
    <definedName name="ti">#REF!</definedName>
    <definedName name="time_stp">Calor!$G$5</definedName>
    <definedName name="Tmax">Aceleração!$G$15</definedName>
    <definedName name="Tmax_R">Aceleração!$G$16</definedName>
    <definedName name="ts">Calor!$F$5</definedName>
    <definedName name="V">#REF!</definedName>
    <definedName name="v0">[2]Planilha1!$C$3</definedName>
    <definedName name="vf">[2]Planilha1!$C$4</definedName>
    <definedName name="Vi" localSheetId="3">Calor!$B$5</definedName>
    <definedName name="vi">#REF!</definedName>
    <definedName name="λ">'Força no pedal'!$G$10</definedName>
    <definedName name="χ">Menu!$H$10</definedName>
    <definedName name="Ψ">Menu!$F$10</definedName>
  </definedNames>
  <calcPr calcId="181029"/>
</workbook>
</file>

<file path=xl/calcChain.xml><?xml version="1.0" encoding="utf-8"?>
<calcChain xmlns="http://schemas.openxmlformats.org/spreadsheetml/2006/main">
  <c r="G42" i="8" l="1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4" i="8"/>
  <c r="H23" i="8"/>
  <c r="G34" i="8"/>
  <c r="G35" i="8"/>
  <c r="G36" i="8"/>
  <c r="G37" i="8"/>
  <c r="G38" i="8"/>
  <c r="G39" i="8"/>
  <c r="G40" i="8"/>
  <c r="G41" i="8"/>
  <c r="G28" i="8"/>
  <c r="G29" i="8"/>
  <c r="G30" i="8"/>
  <c r="G31" i="8"/>
  <c r="G32" i="8"/>
  <c r="G33" i="8"/>
  <c r="G25" i="8"/>
  <c r="G26" i="8"/>
  <c r="G27" i="8"/>
  <c r="G24" i="8"/>
  <c r="G23" i="8"/>
  <c r="K14" i="8"/>
  <c r="J18" i="8"/>
  <c r="G25" i="1"/>
  <c r="G11" i="1"/>
  <c r="G15" i="1"/>
  <c r="G17" i="3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G28" i="3"/>
  <c r="K10" i="4" l="1"/>
  <c r="B18" i="8"/>
  <c r="I18" i="8" l="1"/>
  <c r="F18" i="8"/>
  <c r="H14" i="8"/>
  <c r="B5" i="8"/>
  <c r="G9" i="8" l="1"/>
  <c r="D9" i="8"/>
  <c r="C5" i="8"/>
  <c r="D5" i="8" s="1"/>
  <c r="G7" i="3"/>
  <c r="H10" i="4"/>
  <c r="G10" i="4"/>
  <c r="F10" i="4"/>
  <c r="G11" i="3" s="1"/>
  <c r="F5" i="8" l="1"/>
  <c r="C23" i="8"/>
  <c r="E23" i="8" s="1"/>
  <c r="B24" i="8"/>
  <c r="G12" i="3"/>
  <c r="G13" i="3"/>
  <c r="G10" i="3"/>
  <c r="F23" i="8"/>
  <c r="I23" i="8" l="1"/>
  <c r="B25" i="8"/>
  <c r="C24" i="8"/>
  <c r="E24" i="8" s="1"/>
  <c r="I14" i="8"/>
  <c r="F41" i="8"/>
  <c r="B26" i="8" l="1"/>
  <c r="C25" i="8"/>
  <c r="E25" i="8" s="1"/>
  <c r="H18" i="8"/>
  <c r="F25" i="8"/>
  <c r="F24" i="8"/>
  <c r="F26" i="8"/>
  <c r="F28" i="8"/>
  <c r="F30" i="8"/>
  <c r="F32" i="8"/>
  <c r="F34" i="8"/>
  <c r="F36" i="8"/>
  <c r="F38" i="8"/>
  <c r="F40" i="8"/>
  <c r="F27" i="8"/>
  <c r="F29" i="8"/>
  <c r="F31" i="8"/>
  <c r="F33" i="8"/>
  <c r="F35" i="8"/>
  <c r="F37" i="8"/>
  <c r="F39" i="8"/>
  <c r="G9" i="3"/>
  <c r="I24" i="8" l="1"/>
  <c r="D18" i="8"/>
  <c r="E18" i="8" s="1"/>
  <c r="D23" i="8" s="1"/>
  <c r="G16" i="3"/>
  <c r="G21" i="3" s="1"/>
  <c r="G23" i="3" s="1"/>
  <c r="G27" i="3" s="1"/>
  <c r="G15" i="3"/>
  <c r="G20" i="3" s="1"/>
  <c r="G22" i="3" s="1"/>
  <c r="G26" i="3" s="1"/>
  <c r="I25" i="8"/>
  <c r="B27" i="8"/>
  <c r="C26" i="8"/>
  <c r="E26" i="8" s="1"/>
  <c r="I26" i="8" l="1"/>
  <c r="B28" i="8"/>
  <c r="C27" i="8"/>
  <c r="E27" i="8" s="1"/>
  <c r="G30" i="3"/>
  <c r="I27" i="8" l="1"/>
  <c r="B29" i="8"/>
  <c r="C28" i="8"/>
  <c r="E28" i="8" s="1"/>
  <c r="G29" i="3"/>
  <c r="C18" i="8"/>
  <c r="D24" i="8" s="1"/>
  <c r="D25" i="8" l="1"/>
  <c r="G31" i="3"/>
  <c r="I28" i="8"/>
  <c r="B30" i="8"/>
  <c r="C29" i="8"/>
  <c r="E29" i="8" s="1"/>
  <c r="D26" i="8" l="1"/>
  <c r="G34" i="3"/>
  <c r="G8" i="1" s="1"/>
  <c r="G32" i="3"/>
  <c r="G9" i="1" s="1"/>
  <c r="G10" i="1" s="1"/>
  <c r="I29" i="8"/>
  <c r="B31" i="8"/>
  <c r="C30" i="8"/>
  <c r="E30" i="8" s="1"/>
  <c r="D27" i="8" l="1"/>
  <c r="G18" i="1"/>
  <c r="G20" i="1" s="1"/>
  <c r="G23" i="1" s="1"/>
  <c r="G27" i="1" s="1"/>
  <c r="G29" i="1" s="1"/>
  <c r="G30" i="1" s="1"/>
  <c r="G14" i="1"/>
  <c r="G19" i="1"/>
  <c r="G21" i="1" s="1"/>
  <c r="G24" i="1" s="1"/>
  <c r="G28" i="1" s="1"/>
  <c r="G13" i="1"/>
  <c r="I30" i="8"/>
  <c r="B32" i="8"/>
  <c r="C31" i="8"/>
  <c r="E31" i="8" s="1"/>
  <c r="D28" i="8" l="1"/>
  <c r="I31" i="8"/>
  <c r="B33" i="8"/>
  <c r="C32" i="8"/>
  <c r="E32" i="8" s="1"/>
  <c r="D29" i="8" l="1"/>
  <c r="I32" i="8"/>
  <c r="B34" i="8"/>
  <c r="C33" i="8"/>
  <c r="E33" i="8" s="1"/>
  <c r="D30" i="8" l="1"/>
  <c r="I33" i="8"/>
  <c r="B35" i="8"/>
  <c r="C34" i="8"/>
  <c r="E34" i="8" s="1"/>
  <c r="D31" i="8" l="1"/>
  <c r="I34" i="8"/>
  <c r="B36" i="8"/>
  <c r="C35" i="8"/>
  <c r="E35" i="8" s="1"/>
  <c r="D32" i="8" l="1"/>
  <c r="I35" i="8"/>
  <c r="B37" i="8"/>
  <c r="C36" i="8"/>
  <c r="E36" i="8" s="1"/>
  <c r="D33" i="8" l="1"/>
  <c r="I36" i="8"/>
  <c r="B38" i="8"/>
  <c r="C37" i="8"/>
  <c r="E37" i="8" s="1"/>
  <c r="D34" i="8" l="1"/>
  <c r="I37" i="8"/>
  <c r="B39" i="8"/>
  <c r="C38" i="8"/>
  <c r="E38" i="8" s="1"/>
  <c r="D35" i="8" l="1"/>
  <c r="I38" i="8"/>
  <c r="B40" i="8"/>
  <c r="C39" i="8"/>
  <c r="E39" i="8" s="1"/>
  <c r="D36" i="8" l="1"/>
  <c r="I39" i="8"/>
  <c r="B41" i="8"/>
  <c r="C40" i="8"/>
  <c r="E40" i="8" s="1"/>
  <c r="D37" i="8" l="1"/>
  <c r="B42" i="8"/>
  <c r="C41" i="8"/>
  <c r="E41" i="8" s="1"/>
  <c r="D38" i="8" l="1"/>
  <c r="I40" i="8"/>
  <c r="I41" i="8"/>
  <c r="B43" i="8"/>
  <c r="C42" i="8"/>
  <c r="E42" i="8" s="1"/>
  <c r="D39" i="8" l="1"/>
  <c r="I42" i="8"/>
  <c r="C43" i="8"/>
  <c r="E43" i="8" s="1"/>
  <c r="B44" i="8"/>
  <c r="D40" i="8" l="1"/>
  <c r="I43" i="8"/>
  <c r="C44" i="8"/>
  <c r="E44" i="8" s="1"/>
  <c r="B45" i="8"/>
  <c r="D41" i="8" l="1"/>
  <c r="I44" i="8"/>
  <c r="C45" i="8"/>
  <c r="E45" i="8" s="1"/>
  <c r="B46" i="8"/>
  <c r="D42" i="8" l="1"/>
  <c r="I45" i="8"/>
  <c r="C46" i="8"/>
  <c r="E46" i="8" s="1"/>
  <c r="B47" i="8"/>
  <c r="D43" i="8" l="1"/>
  <c r="I46" i="8"/>
  <c r="C47" i="8"/>
  <c r="E47" i="8" s="1"/>
  <c r="B48" i="8"/>
  <c r="D44" i="8" l="1"/>
  <c r="I47" i="8"/>
  <c r="C48" i="8"/>
  <c r="E48" i="8" s="1"/>
  <c r="B49" i="8"/>
  <c r="D45" i="8" l="1"/>
  <c r="I48" i="8"/>
  <c r="C49" i="8"/>
  <c r="E49" i="8" s="1"/>
  <c r="B50" i="8"/>
  <c r="D46" i="8" l="1"/>
  <c r="I49" i="8"/>
  <c r="C50" i="8"/>
  <c r="E50" i="8" s="1"/>
  <c r="B51" i="8"/>
  <c r="D47" i="8" l="1"/>
  <c r="I50" i="8"/>
  <c r="C51" i="8"/>
  <c r="E51" i="8" s="1"/>
  <c r="B52" i="8"/>
  <c r="D48" i="8" l="1"/>
  <c r="I51" i="8"/>
  <c r="C52" i="8"/>
  <c r="E52" i="8" s="1"/>
  <c r="B53" i="8"/>
  <c r="D49" i="8" l="1"/>
  <c r="I52" i="8"/>
  <c r="C53" i="8"/>
  <c r="E53" i="8" s="1"/>
  <c r="B54" i="8"/>
  <c r="D50" i="8" l="1"/>
  <c r="I53" i="8"/>
  <c r="C54" i="8"/>
  <c r="E54" i="8" s="1"/>
  <c r="B55" i="8"/>
  <c r="D51" i="8" l="1"/>
  <c r="I54" i="8"/>
  <c r="C55" i="8"/>
  <c r="E55" i="8" s="1"/>
  <c r="B56" i="8"/>
  <c r="D52" i="8" l="1"/>
  <c r="I55" i="8"/>
  <c r="C56" i="8"/>
  <c r="E56" i="8" s="1"/>
  <c r="B57" i="8"/>
  <c r="D53" i="8" l="1"/>
  <c r="I56" i="8"/>
  <c r="C57" i="8"/>
  <c r="E57" i="8" s="1"/>
  <c r="B58" i="8"/>
  <c r="D54" i="8" l="1"/>
  <c r="I57" i="8"/>
  <c r="C58" i="8"/>
  <c r="E58" i="8" s="1"/>
  <c r="B59" i="8"/>
  <c r="D55" i="8" l="1"/>
  <c r="I58" i="8"/>
  <c r="C59" i="8"/>
  <c r="E59" i="8" s="1"/>
  <c r="B60" i="8"/>
  <c r="D56" i="8" l="1"/>
  <c r="I59" i="8"/>
  <c r="C60" i="8"/>
  <c r="E60" i="8" s="1"/>
  <c r="B61" i="8"/>
  <c r="D57" i="8" l="1"/>
  <c r="I60" i="8"/>
  <c r="C61" i="8"/>
  <c r="E61" i="8" s="1"/>
  <c r="B62" i="8"/>
  <c r="D58" i="8" l="1"/>
  <c r="I61" i="8"/>
  <c r="C62" i="8"/>
  <c r="E62" i="8" s="1"/>
  <c r="B63" i="8"/>
  <c r="D59" i="8" l="1"/>
  <c r="I62" i="8"/>
  <c r="C63" i="8"/>
  <c r="E63" i="8" s="1"/>
  <c r="B64" i="8"/>
  <c r="D60" i="8" l="1"/>
  <c r="I63" i="8"/>
  <c r="C64" i="8"/>
  <c r="E64" i="8" s="1"/>
  <c r="B65" i="8"/>
  <c r="D61" i="8" l="1"/>
  <c r="I64" i="8"/>
  <c r="C65" i="8"/>
  <c r="E65" i="8" s="1"/>
  <c r="B66" i="8"/>
  <c r="D62" i="8" l="1"/>
  <c r="I65" i="8"/>
  <c r="C66" i="8"/>
  <c r="E66" i="8" s="1"/>
  <c r="B67" i="8"/>
  <c r="D63" i="8" l="1"/>
  <c r="I66" i="8"/>
  <c r="C67" i="8"/>
  <c r="E67" i="8" s="1"/>
  <c r="B68" i="8"/>
  <c r="D64" i="8" l="1"/>
  <c r="I67" i="8"/>
  <c r="C68" i="8"/>
  <c r="E68" i="8" s="1"/>
  <c r="B69" i="8"/>
  <c r="D65" i="8" l="1"/>
  <c r="I68" i="8"/>
  <c r="C69" i="8"/>
  <c r="E69" i="8" s="1"/>
  <c r="B70" i="8"/>
  <c r="D66" i="8" l="1"/>
  <c r="I69" i="8"/>
  <c r="C70" i="8"/>
  <c r="E70" i="8" s="1"/>
  <c r="B71" i="8"/>
  <c r="D67" i="8" l="1"/>
  <c r="I70" i="8"/>
  <c r="C71" i="8"/>
  <c r="E71" i="8" s="1"/>
  <c r="B72" i="8"/>
  <c r="D68" i="8" l="1"/>
  <c r="I71" i="8"/>
  <c r="C72" i="8"/>
  <c r="E72" i="8" s="1"/>
  <c r="B73" i="8"/>
  <c r="D69" i="8" l="1"/>
  <c r="I72" i="8"/>
  <c r="C73" i="8"/>
  <c r="E73" i="8" s="1"/>
  <c r="B74" i="8"/>
  <c r="D70" i="8" l="1"/>
  <c r="I73" i="8"/>
  <c r="C74" i="8"/>
  <c r="E74" i="8" s="1"/>
  <c r="B75" i="8"/>
  <c r="D71" i="8" l="1"/>
  <c r="I74" i="8"/>
  <c r="C75" i="8"/>
  <c r="E75" i="8" s="1"/>
  <c r="B76" i="8"/>
  <c r="D72" i="8" l="1"/>
  <c r="I75" i="8"/>
  <c r="C76" i="8"/>
  <c r="E76" i="8" s="1"/>
  <c r="B77" i="8"/>
  <c r="D73" i="8" l="1"/>
  <c r="I76" i="8"/>
  <c r="C77" i="8"/>
  <c r="E77" i="8" s="1"/>
  <c r="B78" i="8"/>
  <c r="D74" i="8" l="1"/>
  <c r="I77" i="8"/>
  <c r="C78" i="8"/>
  <c r="E78" i="8" s="1"/>
  <c r="B79" i="8"/>
  <c r="D75" i="8" l="1"/>
  <c r="I78" i="8"/>
  <c r="C79" i="8"/>
  <c r="E79" i="8" s="1"/>
  <c r="B80" i="8"/>
  <c r="D76" i="8" l="1"/>
  <c r="I79" i="8"/>
  <c r="C80" i="8"/>
  <c r="E80" i="8" s="1"/>
  <c r="B81" i="8"/>
  <c r="D77" i="8" l="1"/>
  <c r="I80" i="8"/>
  <c r="C81" i="8"/>
  <c r="E81" i="8" s="1"/>
  <c r="B82" i="8"/>
  <c r="D78" i="8" l="1"/>
  <c r="I81" i="8"/>
  <c r="C82" i="8"/>
  <c r="E82" i="8" s="1"/>
  <c r="B83" i="8"/>
  <c r="D79" i="8" l="1"/>
  <c r="I82" i="8"/>
  <c r="C83" i="8"/>
  <c r="E83" i="8" s="1"/>
  <c r="B84" i="8"/>
  <c r="D80" i="8" l="1"/>
  <c r="I83" i="8"/>
  <c r="C84" i="8"/>
  <c r="E84" i="8" s="1"/>
  <c r="B85" i="8"/>
  <c r="D81" i="8" l="1"/>
  <c r="I84" i="8"/>
  <c r="C85" i="8"/>
  <c r="E85" i="8" s="1"/>
  <c r="B86" i="8"/>
  <c r="D82" i="8" l="1"/>
  <c r="I85" i="8"/>
  <c r="C86" i="8"/>
  <c r="E86" i="8" s="1"/>
  <c r="B87" i="8"/>
  <c r="D83" i="8" l="1"/>
  <c r="I86" i="8"/>
  <c r="C87" i="8"/>
  <c r="E87" i="8" s="1"/>
  <c r="B88" i="8"/>
  <c r="D84" i="8" l="1"/>
  <c r="I87" i="8"/>
  <c r="C88" i="8"/>
  <c r="E88" i="8" s="1"/>
  <c r="B89" i="8"/>
  <c r="D85" i="8" l="1"/>
  <c r="I88" i="8"/>
  <c r="C89" i="8"/>
  <c r="E89" i="8" s="1"/>
  <c r="B90" i="8"/>
  <c r="D86" i="8" l="1"/>
  <c r="I89" i="8"/>
  <c r="C90" i="8"/>
  <c r="E90" i="8" s="1"/>
  <c r="B91" i="8"/>
  <c r="D87" i="8" l="1"/>
  <c r="I90" i="8"/>
  <c r="C91" i="8"/>
  <c r="E91" i="8" s="1"/>
  <c r="B92" i="8"/>
  <c r="D88" i="8" l="1"/>
  <c r="I91" i="8"/>
  <c r="C92" i="8"/>
  <c r="E92" i="8" s="1"/>
  <c r="B93" i="8"/>
  <c r="D89" i="8" l="1"/>
  <c r="I92" i="8"/>
  <c r="C93" i="8"/>
  <c r="E93" i="8" s="1"/>
  <c r="B94" i="8"/>
  <c r="D90" i="8" l="1"/>
  <c r="I93" i="8"/>
  <c r="C94" i="8"/>
  <c r="E94" i="8" s="1"/>
  <c r="B95" i="8"/>
  <c r="D91" i="8" l="1"/>
  <c r="I94" i="8"/>
  <c r="C95" i="8"/>
  <c r="E95" i="8" s="1"/>
  <c r="B96" i="8"/>
  <c r="D92" i="8" l="1"/>
  <c r="I95" i="8"/>
  <c r="C96" i="8"/>
  <c r="E96" i="8" s="1"/>
  <c r="B97" i="8"/>
  <c r="D93" i="8" l="1"/>
  <c r="I96" i="8"/>
  <c r="C97" i="8"/>
  <c r="E97" i="8" s="1"/>
  <c r="B98" i="8"/>
  <c r="D94" i="8" l="1"/>
  <c r="I97" i="8"/>
  <c r="C98" i="8"/>
  <c r="E98" i="8" s="1"/>
  <c r="B99" i="8"/>
  <c r="D95" i="8" l="1"/>
  <c r="I98" i="8"/>
  <c r="C99" i="8"/>
  <c r="E99" i="8" s="1"/>
  <c r="B100" i="8"/>
  <c r="D96" i="8" l="1"/>
  <c r="I99" i="8"/>
  <c r="C100" i="8"/>
  <c r="E100" i="8" s="1"/>
  <c r="B101" i="8"/>
  <c r="D97" i="8" l="1"/>
  <c r="I100" i="8"/>
  <c r="C101" i="8"/>
  <c r="E101" i="8" s="1"/>
  <c r="B102" i="8"/>
  <c r="D98" i="8" l="1"/>
  <c r="I101" i="8"/>
  <c r="C102" i="8"/>
  <c r="E102" i="8" s="1"/>
  <c r="B103" i="8"/>
  <c r="D99" i="8" l="1"/>
  <c r="I102" i="8"/>
  <c r="C103" i="8"/>
  <c r="E103" i="8" s="1"/>
  <c r="B104" i="8"/>
  <c r="D100" i="8" l="1"/>
  <c r="I103" i="8"/>
  <c r="C104" i="8"/>
  <c r="E104" i="8" s="1"/>
  <c r="B105" i="8"/>
  <c r="D101" i="8" l="1"/>
  <c r="I104" i="8"/>
  <c r="C105" i="8"/>
  <c r="E105" i="8" s="1"/>
  <c r="B106" i="8"/>
  <c r="D102" i="8" l="1"/>
  <c r="I105" i="8"/>
  <c r="C106" i="8"/>
  <c r="E106" i="8" s="1"/>
  <c r="B107" i="8"/>
  <c r="D103" i="8" l="1"/>
  <c r="I106" i="8"/>
  <c r="C107" i="8"/>
  <c r="E107" i="8" s="1"/>
  <c r="B108" i="8"/>
  <c r="D104" i="8" l="1"/>
  <c r="I107" i="8"/>
  <c r="C108" i="8"/>
  <c r="E108" i="8" s="1"/>
  <c r="B109" i="8"/>
  <c r="D105" i="8" l="1"/>
  <c r="I108" i="8"/>
  <c r="C109" i="8"/>
  <c r="E109" i="8" s="1"/>
  <c r="B110" i="8"/>
  <c r="D106" i="8" l="1"/>
  <c r="I109" i="8"/>
  <c r="C110" i="8"/>
  <c r="E110" i="8" s="1"/>
  <c r="B111" i="8"/>
  <c r="D107" i="8" l="1"/>
  <c r="I110" i="8"/>
  <c r="C111" i="8"/>
  <c r="E111" i="8" s="1"/>
  <c r="B112" i="8"/>
  <c r="D108" i="8" l="1"/>
  <c r="I111" i="8"/>
  <c r="C112" i="8"/>
  <c r="E112" i="8" s="1"/>
  <c r="B113" i="8"/>
  <c r="D109" i="8" l="1"/>
  <c r="I112" i="8"/>
  <c r="C113" i="8"/>
  <c r="E113" i="8" s="1"/>
  <c r="B114" i="8"/>
  <c r="D110" i="8" l="1"/>
  <c r="I113" i="8"/>
  <c r="C114" i="8"/>
  <c r="E114" i="8" s="1"/>
  <c r="B115" i="8"/>
  <c r="D111" i="8" l="1"/>
  <c r="I114" i="8"/>
  <c r="C115" i="8"/>
  <c r="E115" i="8" s="1"/>
  <c r="B116" i="8"/>
  <c r="D112" i="8" l="1"/>
  <c r="I115" i="8"/>
  <c r="C116" i="8"/>
  <c r="E116" i="8" s="1"/>
  <c r="B117" i="8"/>
  <c r="D113" i="8" l="1"/>
  <c r="I116" i="8"/>
  <c r="C117" i="8"/>
  <c r="E117" i="8" s="1"/>
  <c r="B118" i="8"/>
  <c r="D114" i="8" l="1"/>
  <c r="I117" i="8"/>
  <c r="C118" i="8"/>
  <c r="E118" i="8" s="1"/>
  <c r="B119" i="8"/>
  <c r="D115" i="8" l="1"/>
  <c r="I118" i="8"/>
  <c r="C119" i="8"/>
  <c r="E119" i="8" s="1"/>
  <c r="B120" i="8"/>
  <c r="D116" i="8" l="1"/>
  <c r="I119" i="8"/>
  <c r="C120" i="8"/>
  <c r="E120" i="8" s="1"/>
  <c r="B121" i="8"/>
  <c r="D117" i="8" l="1"/>
  <c r="I120" i="8"/>
  <c r="C121" i="8"/>
  <c r="E121" i="8" s="1"/>
  <c r="B122" i="8"/>
  <c r="D118" i="8" l="1"/>
  <c r="I121" i="8"/>
  <c r="C122" i="8"/>
  <c r="E122" i="8" s="1"/>
  <c r="B123" i="8"/>
  <c r="D119" i="8" l="1"/>
  <c r="I122" i="8"/>
  <c r="C123" i="8"/>
  <c r="E123" i="8" s="1"/>
  <c r="B124" i="8"/>
  <c r="D120" i="8" l="1"/>
  <c r="I123" i="8"/>
  <c r="C124" i="8"/>
  <c r="E124" i="8" s="1"/>
  <c r="B125" i="8"/>
  <c r="D121" i="8" l="1"/>
  <c r="I124" i="8"/>
  <c r="C125" i="8"/>
  <c r="E125" i="8" s="1"/>
  <c r="B126" i="8"/>
  <c r="D122" i="8" l="1"/>
  <c r="I125" i="8"/>
  <c r="C126" i="8"/>
  <c r="E126" i="8" s="1"/>
  <c r="B127" i="8"/>
  <c r="D123" i="8" l="1"/>
  <c r="I126" i="8"/>
  <c r="C127" i="8"/>
  <c r="E127" i="8" s="1"/>
  <c r="B128" i="8"/>
  <c r="D124" i="8" l="1"/>
  <c r="I127" i="8"/>
  <c r="C128" i="8"/>
  <c r="E128" i="8" s="1"/>
  <c r="B129" i="8"/>
  <c r="D125" i="8" l="1"/>
  <c r="I128" i="8"/>
  <c r="C129" i="8"/>
  <c r="E129" i="8" s="1"/>
  <c r="B130" i="8"/>
  <c r="D126" i="8" l="1"/>
  <c r="I129" i="8"/>
  <c r="C130" i="8"/>
  <c r="E130" i="8" s="1"/>
  <c r="B131" i="8"/>
  <c r="D127" i="8" l="1"/>
  <c r="I130" i="8"/>
  <c r="C131" i="8"/>
  <c r="E131" i="8" s="1"/>
  <c r="B132" i="8"/>
  <c r="D128" i="8" l="1"/>
  <c r="I131" i="8"/>
  <c r="C132" i="8"/>
  <c r="E132" i="8" s="1"/>
  <c r="B133" i="8"/>
  <c r="D129" i="8" l="1"/>
  <c r="I132" i="8"/>
  <c r="C133" i="8"/>
  <c r="E133" i="8" s="1"/>
  <c r="B134" i="8"/>
  <c r="D130" i="8" l="1"/>
  <c r="I133" i="8"/>
  <c r="C134" i="8"/>
  <c r="E134" i="8" s="1"/>
  <c r="B135" i="8"/>
  <c r="D131" i="8" l="1"/>
  <c r="I134" i="8"/>
  <c r="C135" i="8"/>
  <c r="E135" i="8" s="1"/>
  <c r="B136" i="8"/>
  <c r="D132" i="8" l="1"/>
  <c r="I135" i="8"/>
  <c r="C136" i="8"/>
  <c r="E136" i="8" s="1"/>
  <c r="B137" i="8"/>
  <c r="D133" i="8" l="1"/>
  <c r="I136" i="8"/>
  <c r="C137" i="8"/>
  <c r="E137" i="8" s="1"/>
  <c r="B138" i="8"/>
  <c r="D134" i="8" l="1"/>
  <c r="I137" i="8"/>
  <c r="C138" i="8"/>
  <c r="E138" i="8" s="1"/>
  <c r="B139" i="8"/>
  <c r="D135" i="8" l="1"/>
  <c r="I138" i="8"/>
  <c r="C139" i="8"/>
  <c r="E139" i="8" s="1"/>
  <c r="B140" i="8"/>
  <c r="D136" i="8" l="1"/>
  <c r="I139" i="8"/>
  <c r="C140" i="8"/>
  <c r="E140" i="8" s="1"/>
  <c r="B141" i="8"/>
  <c r="D137" i="8" l="1"/>
  <c r="I140" i="8"/>
  <c r="C141" i="8"/>
  <c r="E141" i="8" s="1"/>
  <c r="B142" i="8"/>
  <c r="D138" i="8" l="1"/>
  <c r="I141" i="8"/>
  <c r="C142" i="8"/>
  <c r="E142" i="8" s="1"/>
  <c r="B143" i="8"/>
  <c r="D139" i="8" l="1"/>
  <c r="I142" i="8"/>
  <c r="C143" i="8"/>
  <c r="E143" i="8" s="1"/>
  <c r="B144" i="8"/>
  <c r="D140" i="8" l="1"/>
  <c r="I143" i="8"/>
  <c r="C144" i="8"/>
  <c r="E144" i="8" s="1"/>
  <c r="B145" i="8"/>
  <c r="D141" i="8" l="1"/>
  <c r="I144" i="8"/>
  <c r="C145" i="8"/>
  <c r="E145" i="8" s="1"/>
  <c r="B146" i="8"/>
  <c r="D142" i="8" l="1"/>
  <c r="I145" i="8"/>
  <c r="C146" i="8"/>
  <c r="E146" i="8" s="1"/>
  <c r="B147" i="8"/>
  <c r="D143" i="8" l="1"/>
  <c r="I146" i="8"/>
  <c r="C147" i="8"/>
  <c r="E147" i="8" s="1"/>
  <c r="B148" i="8"/>
  <c r="D144" i="8" l="1"/>
  <c r="I147" i="8"/>
  <c r="C148" i="8"/>
  <c r="E148" i="8" s="1"/>
  <c r="B149" i="8"/>
  <c r="D145" i="8" l="1"/>
  <c r="I148" i="8"/>
  <c r="C149" i="8"/>
  <c r="E149" i="8" s="1"/>
  <c r="B150" i="8"/>
  <c r="D146" i="8" l="1"/>
  <c r="I149" i="8"/>
  <c r="C150" i="8"/>
  <c r="E150" i="8" s="1"/>
  <c r="B151" i="8"/>
  <c r="D147" i="8" l="1"/>
  <c r="I150" i="8"/>
  <c r="C151" i="8"/>
  <c r="E151" i="8" s="1"/>
  <c r="B152" i="8"/>
  <c r="D148" i="8" l="1"/>
  <c r="I151" i="8"/>
  <c r="C152" i="8"/>
  <c r="E152" i="8" s="1"/>
  <c r="B153" i="8"/>
  <c r="D149" i="8" l="1"/>
  <c r="I152" i="8"/>
  <c r="C153" i="8"/>
  <c r="E153" i="8" s="1"/>
  <c r="B154" i="8"/>
  <c r="D150" i="8" l="1"/>
  <c r="I153" i="8"/>
  <c r="C154" i="8"/>
  <c r="E154" i="8" s="1"/>
  <c r="B155" i="8"/>
  <c r="D151" i="8" l="1"/>
  <c r="I154" i="8"/>
  <c r="C155" i="8"/>
  <c r="E155" i="8" s="1"/>
  <c r="B156" i="8"/>
  <c r="D152" i="8" l="1"/>
  <c r="I155" i="8"/>
  <c r="C156" i="8"/>
  <c r="E156" i="8" s="1"/>
  <c r="B157" i="8"/>
  <c r="D153" i="8" l="1"/>
  <c r="I156" i="8"/>
  <c r="C157" i="8"/>
  <c r="E157" i="8" s="1"/>
  <c r="B158" i="8"/>
  <c r="D154" i="8" l="1"/>
  <c r="I157" i="8"/>
  <c r="C158" i="8"/>
  <c r="E158" i="8" s="1"/>
  <c r="B159" i="8"/>
  <c r="D155" i="8" l="1"/>
  <c r="I158" i="8"/>
  <c r="C159" i="8"/>
  <c r="E159" i="8" s="1"/>
  <c r="B160" i="8"/>
  <c r="D156" i="8" l="1"/>
  <c r="I159" i="8"/>
  <c r="C160" i="8"/>
  <c r="E160" i="8" s="1"/>
  <c r="B161" i="8"/>
  <c r="D157" i="8" l="1"/>
  <c r="I160" i="8"/>
  <c r="C161" i="8"/>
  <c r="E161" i="8" s="1"/>
  <c r="B162" i="8"/>
  <c r="D158" i="8" l="1"/>
  <c r="I161" i="8"/>
  <c r="C162" i="8"/>
  <c r="E162" i="8" s="1"/>
  <c r="B163" i="8"/>
  <c r="D159" i="8" l="1"/>
  <c r="I162" i="8"/>
  <c r="C163" i="8"/>
  <c r="E163" i="8" s="1"/>
  <c r="B164" i="8"/>
  <c r="D160" i="8" l="1"/>
  <c r="I163" i="8"/>
  <c r="C164" i="8"/>
  <c r="E164" i="8" s="1"/>
  <c r="B165" i="8"/>
  <c r="D161" i="8" l="1"/>
  <c r="I164" i="8"/>
  <c r="C165" i="8"/>
  <c r="E165" i="8" s="1"/>
  <c r="B166" i="8"/>
  <c r="D162" i="8" l="1"/>
  <c r="I165" i="8"/>
  <c r="C166" i="8"/>
  <c r="E166" i="8" s="1"/>
  <c r="B167" i="8"/>
  <c r="D163" i="8" l="1"/>
  <c r="I166" i="8"/>
  <c r="C167" i="8"/>
  <c r="E167" i="8" s="1"/>
  <c r="B168" i="8"/>
  <c r="D164" i="8" l="1"/>
  <c r="I167" i="8"/>
  <c r="C168" i="8"/>
  <c r="E168" i="8" s="1"/>
  <c r="B169" i="8"/>
  <c r="D165" i="8" l="1"/>
  <c r="I168" i="8"/>
  <c r="C169" i="8"/>
  <c r="E169" i="8" s="1"/>
  <c r="B170" i="8"/>
  <c r="D166" i="8" l="1"/>
  <c r="I169" i="8"/>
  <c r="C170" i="8"/>
  <c r="E170" i="8" s="1"/>
  <c r="B171" i="8"/>
  <c r="D167" i="8" l="1"/>
  <c r="I170" i="8"/>
  <c r="C171" i="8"/>
  <c r="E171" i="8" s="1"/>
  <c r="B172" i="8"/>
  <c r="D168" i="8" l="1"/>
  <c r="I171" i="8"/>
  <c r="C172" i="8"/>
  <c r="E172" i="8" s="1"/>
  <c r="B173" i="8"/>
  <c r="D169" i="8" l="1"/>
  <c r="I172" i="8"/>
  <c r="C173" i="8"/>
  <c r="E173" i="8" s="1"/>
  <c r="B174" i="8"/>
  <c r="D170" i="8" l="1"/>
  <c r="I173" i="8"/>
  <c r="C174" i="8"/>
  <c r="E174" i="8" s="1"/>
  <c r="B175" i="8"/>
  <c r="D171" i="8" l="1"/>
  <c r="I174" i="8"/>
  <c r="C175" i="8"/>
  <c r="E175" i="8" s="1"/>
  <c r="B176" i="8"/>
  <c r="D172" i="8" l="1"/>
  <c r="I175" i="8"/>
  <c r="C176" i="8"/>
  <c r="E176" i="8" s="1"/>
  <c r="B177" i="8"/>
  <c r="D173" i="8" l="1"/>
  <c r="I176" i="8"/>
  <c r="C177" i="8"/>
  <c r="E177" i="8" s="1"/>
  <c r="B178" i="8"/>
  <c r="D174" i="8" l="1"/>
  <c r="I177" i="8"/>
  <c r="C178" i="8"/>
  <c r="E178" i="8" s="1"/>
  <c r="B179" i="8"/>
  <c r="D175" i="8" l="1"/>
  <c r="I178" i="8"/>
  <c r="C179" i="8"/>
  <c r="E179" i="8" s="1"/>
  <c r="B180" i="8"/>
  <c r="D176" i="8" l="1"/>
  <c r="I179" i="8"/>
  <c r="C180" i="8"/>
  <c r="E180" i="8" s="1"/>
  <c r="B181" i="8"/>
  <c r="D177" i="8" l="1"/>
  <c r="I180" i="8"/>
  <c r="C181" i="8"/>
  <c r="E181" i="8" s="1"/>
  <c r="B182" i="8"/>
  <c r="D178" i="8" l="1"/>
  <c r="I181" i="8"/>
  <c r="C182" i="8"/>
  <c r="E182" i="8" s="1"/>
  <c r="B183" i="8"/>
  <c r="D179" i="8" l="1"/>
  <c r="I182" i="8"/>
  <c r="C183" i="8"/>
  <c r="E183" i="8" s="1"/>
  <c r="B184" i="8"/>
  <c r="D180" i="8" l="1"/>
  <c r="I183" i="8"/>
  <c r="C184" i="8"/>
  <c r="E184" i="8" s="1"/>
  <c r="B185" i="8"/>
  <c r="D181" i="8" l="1"/>
  <c r="I184" i="8"/>
  <c r="C185" i="8"/>
  <c r="E185" i="8" s="1"/>
  <c r="B186" i="8"/>
  <c r="D182" i="8" l="1"/>
  <c r="I185" i="8"/>
  <c r="C186" i="8"/>
  <c r="E186" i="8" s="1"/>
  <c r="B187" i="8"/>
  <c r="D183" i="8" l="1"/>
  <c r="I186" i="8"/>
  <c r="C187" i="8"/>
  <c r="E187" i="8" s="1"/>
  <c r="B188" i="8"/>
  <c r="D184" i="8" l="1"/>
  <c r="I187" i="8"/>
  <c r="C188" i="8"/>
  <c r="E188" i="8" s="1"/>
  <c r="B189" i="8"/>
  <c r="D185" i="8" l="1"/>
  <c r="I188" i="8"/>
  <c r="C189" i="8"/>
  <c r="E189" i="8" s="1"/>
  <c r="B190" i="8"/>
  <c r="D186" i="8" l="1"/>
  <c r="I189" i="8"/>
  <c r="C190" i="8"/>
  <c r="E190" i="8" s="1"/>
  <c r="B191" i="8"/>
  <c r="D187" i="8" l="1"/>
  <c r="I190" i="8"/>
  <c r="C191" i="8"/>
  <c r="E191" i="8" s="1"/>
  <c r="B192" i="8"/>
  <c r="D188" i="8" l="1"/>
  <c r="I191" i="8"/>
  <c r="C192" i="8"/>
  <c r="E192" i="8" s="1"/>
  <c r="B193" i="8"/>
  <c r="D189" i="8" l="1"/>
  <c r="I192" i="8"/>
  <c r="C193" i="8"/>
  <c r="E193" i="8" s="1"/>
  <c r="B194" i="8"/>
  <c r="D190" i="8" l="1"/>
  <c r="I193" i="8"/>
  <c r="C194" i="8"/>
  <c r="E194" i="8" s="1"/>
  <c r="B195" i="8"/>
  <c r="D191" i="8" l="1"/>
  <c r="I194" i="8"/>
  <c r="C195" i="8"/>
  <c r="E195" i="8" s="1"/>
  <c r="B196" i="8"/>
  <c r="D192" i="8" l="1"/>
  <c r="I195" i="8"/>
  <c r="C196" i="8"/>
  <c r="E196" i="8" s="1"/>
  <c r="B197" i="8"/>
  <c r="D193" i="8" l="1"/>
  <c r="C197" i="8"/>
  <c r="E197" i="8" s="1"/>
  <c r="B198" i="8"/>
  <c r="D194" i="8" l="1"/>
  <c r="I196" i="8"/>
  <c r="C198" i="8"/>
  <c r="E198" i="8" s="1"/>
  <c r="B199" i="8"/>
  <c r="D195" i="8" l="1"/>
  <c r="I197" i="8"/>
  <c r="C199" i="8"/>
  <c r="E199" i="8" s="1"/>
  <c r="B200" i="8"/>
  <c r="D196" i="8" l="1"/>
  <c r="I198" i="8"/>
  <c r="C200" i="8"/>
  <c r="E200" i="8" s="1"/>
  <c r="B201" i="8"/>
  <c r="D197" i="8" l="1"/>
  <c r="I199" i="8"/>
  <c r="C201" i="8"/>
  <c r="E201" i="8" s="1"/>
  <c r="B202" i="8"/>
  <c r="D198" i="8" l="1"/>
  <c r="I200" i="8"/>
  <c r="I201" i="8"/>
  <c r="C202" i="8"/>
  <c r="E202" i="8" s="1"/>
  <c r="B203" i="8"/>
  <c r="D199" i="8" l="1"/>
  <c r="C203" i="8"/>
  <c r="E203" i="8" s="1"/>
  <c r="B204" i="8"/>
  <c r="D200" i="8" l="1"/>
  <c r="I202" i="8"/>
  <c r="I203" i="8"/>
  <c r="C204" i="8"/>
  <c r="E204" i="8" s="1"/>
  <c r="B205" i="8"/>
  <c r="D201" i="8" l="1"/>
  <c r="C205" i="8"/>
  <c r="E205" i="8" s="1"/>
  <c r="B206" i="8"/>
  <c r="D202" i="8" l="1"/>
  <c r="I204" i="8"/>
  <c r="C206" i="8"/>
  <c r="E206" i="8" s="1"/>
  <c r="B207" i="8"/>
  <c r="D203" i="8" l="1"/>
  <c r="I205" i="8"/>
  <c r="C207" i="8"/>
  <c r="E207" i="8" s="1"/>
  <c r="B208" i="8"/>
  <c r="D204" i="8" l="1"/>
  <c r="I206" i="8"/>
  <c r="C208" i="8"/>
  <c r="E208" i="8" s="1"/>
  <c r="B209" i="8"/>
  <c r="D205" i="8" l="1"/>
  <c r="I207" i="8"/>
  <c r="C209" i="8"/>
  <c r="E209" i="8" s="1"/>
  <c r="B210" i="8"/>
  <c r="D206" i="8" l="1"/>
  <c r="I208" i="8"/>
  <c r="C210" i="8"/>
  <c r="E210" i="8" s="1"/>
  <c r="B211" i="8"/>
  <c r="D207" i="8" l="1"/>
  <c r="I209" i="8"/>
  <c r="C211" i="8"/>
  <c r="E211" i="8" s="1"/>
  <c r="B212" i="8"/>
  <c r="D208" i="8" l="1"/>
  <c r="I210" i="8"/>
  <c r="C212" i="8"/>
  <c r="E212" i="8" s="1"/>
  <c r="B213" i="8"/>
  <c r="D209" i="8" l="1"/>
  <c r="I211" i="8"/>
  <c r="I212" i="8"/>
  <c r="C213" i="8"/>
  <c r="E213" i="8" s="1"/>
  <c r="B214" i="8"/>
  <c r="D210" i="8" l="1"/>
  <c r="I213" i="8"/>
  <c r="C214" i="8"/>
  <c r="E214" i="8" s="1"/>
  <c r="B215" i="8"/>
  <c r="D211" i="8" l="1"/>
  <c r="I214" i="8"/>
  <c r="C215" i="8"/>
  <c r="E215" i="8" s="1"/>
  <c r="B216" i="8"/>
  <c r="D212" i="8" l="1"/>
  <c r="I215" i="8"/>
  <c r="C216" i="8"/>
  <c r="E216" i="8" s="1"/>
  <c r="B217" i="8"/>
  <c r="D213" i="8" l="1"/>
  <c r="I216" i="8"/>
  <c r="C217" i="8"/>
  <c r="E217" i="8" s="1"/>
  <c r="B218" i="8"/>
  <c r="D214" i="8" l="1"/>
  <c r="I217" i="8"/>
  <c r="C218" i="8"/>
  <c r="E218" i="8" s="1"/>
  <c r="B219" i="8"/>
  <c r="D215" i="8" l="1"/>
  <c r="I218" i="8"/>
  <c r="C219" i="8"/>
  <c r="E219" i="8" s="1"/>
  <c r="B220" i="8"/>
  <c r="C220" i="8" s="1"/>
  <c r="E220" i="8" s="1"/>
  <c r="D216" i="8" l="1"/>
  <c r="I219" i="8"/>
  <c r="I220" i="8"/>
  <c r="D217" i="8" l="1"/>
  <c r="D218" i="8" l="1"/>
  <c r="D219" i="8" l="1"/>
  <c r="D220" i="8" l="1"/>
</calcChain>
</file>

<file path=xl/sharedStrings.xml><?xml version="1.0" encoding="utf-8"?>
<sst xmlns="http://schemas.openxmlformats.org/spreadsheetml/2006/main" count="268" uniqueCount="158">
  <si>
    <t>Fpd</t>
  </si>
  <si>
    <t>Fpil</t>
  </si>
  <si>
    <t>C</t>
  </si>
  <si>
    <t>Iw</t>
  </si>
  <si>
    <t>g</t>
  </si>
  <si>
    <t>a</t>
  </si>
  <si>
    <t>Fatf</t>
  </si>
  <si>
    <t>Fatr</t>
  </si>
  <si>
    <t>Apistf</t>
  </si>
  <si>
    <t>Apistr</t>
  </si>
  <si>
    <t>Rdiscf</t>
  </si>
  <si>
    <t>Acm</t>
  </si>
  <si>
    <t>N</t>
  </si>
  <si>
    <t>N.m</t>
  </si>
  <si>
    <t>Rpneu</t>
  </si>
  <si>
    <t>m</t>
  </si>
  <si>
    <t>Kg</t>
  </si>
  <si>
    <t>m/s²</t>
  </si>
  <si>
    <t>m²</t>
  </si>
  <si>
    <t>mi</t>
  </si>
  <si>
    <t>Pf</t>
  </si>
  <si>
    <t>Rdiscr</t>
  </si>
  <si>
    <t>Pa</t>
  </si>
  <si>
    <t>Força aplicada pelo piloto</t>
  </si>
  <si>
    <t>Força equivalente na parte de baixo do pedal</t>
  </si>
  <si>
    <t>Braço de alavanca do pedal de freio</t>
  </si>
  <si>
    <t>Porcentagem de força no cilindro mestre dianteiro</t>
  </si>
  <si>
    <t>Variável</t>
  </si>
  <si>
    <t>Valor numérico</t>
  </si>
  <si>
    <t>Unidade</t>
  </si>
  <si>
    <t>Legenda da variável</t>
  </si>
  <si>
    <t>Porcentagem de força no cilindro mestre traseiro</t>
  </si>
  <si>
    <t>Momento de inércia da roda</t>
  </si>
  <si>
    <t>Aceleração da gravidade</t>
  </si>
  <si>
    <t>Área do pistão da pinça dianteira</t>
  </si>
  <si>
    <t>Área do pistão da pinça traseira</t>
  </si>
  <si>
    <t>Área do cilindro mestre</t>
  </si>
  <si>
    <t>Observações</t>
  </si>
  <si>
    <t>Desaceleração do veículo</t>
  </si>
  <si>
    <t>Raio equivalente do pneu</t>
  </si>
  <si>
    <t>Força total de atrito no discos dianteiros</t>
  </si>
  <si>
    <t>Força total de atrito no discos traseiros</t>
  </si>
  <si>
    <t>Coeficiente de atrito entre discos e pastilha</t>
  </si>
  <si>
    <t>Força na parte de baixo do pedal</t>
  </si>
  <si>
    <t>Força que o piloto tem que aplicar</t>
  </si>
  <si>
    <t>Braço de alavanca do pedal</t>
  </si>
  <si>
    <t>[m]</t>
  </si>
  <si>
    <t>Dist. C.G até roda dianteira</t>
  </si>
  <si>
    <t>Dist. C.G até roda traseira</t>
  </si>
  <si>
    <t>Peso estático no eixo dianteiro</t>
  </si>
  <si>
    <t>Peso estático no eixo traseiro</t>
  </si>
  <si>
    <t>Peso dinâmico no eixo dianteiro</t>
  </si>
  <si>
    <t>[-]</t>
  </si>
  <si>
    <t>Desaceleração</t>
  </si>
  <si>
    <t>Viscosidade dinamica do ar</t>
  </si>
  <si>
    <t>[W/mK]</t>
  </si>
  <si>
    <r>
      <t>[m/s</t>
    </r>
    <r>
      <rPr>
        <sz val="11"/>
        <color theme="1"/>
        <rFont val="Calibri"/>
        <family val="2"/>
        <scheme val="minor"/>
      </rPr>
      <t>]</t>
    </r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</si>
  <si>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</si>
  <si>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[kg/m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</si>
  <si>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[Pa.s] = [kg/m.s]</t>
  </si>
  <si>
    <t>[J/kgK]</t>
  </si>
  <si>
    <t>Densidade</t>
  </si>
  <si>
    <t>Gamma</t>
  </si>
  <si>
    <t>Pressão</t>
  </si>
  <si>
    <t>Raio roda</t>
  </si>
  <si>
    <t>Tempo</t>
  </si>
  <si>
    <t>Heat Flow</t>
  </si>
  <si>
    <t>Reynolds</t>
  </si>
  <si>
    <t>Prandt</t>
  </si>
  <si>
    <t>t</t>
  </si>
  <si>
    <t>Partição</t>
  </si>
  <si>
    <t>Área de contato</t>
  </si>
  <si>
    <t>[kg]</t>
  </si>
  <si>
    <t>Altura do C.G.</t>
  </si>
  <si>
    <t>Peso dinâmico no eixo traseiro</t>
  </si>
  <si>
    <t>Tmax</t>
  </si>
  <si>
    <t>Coef de atrito pneu pista</t>
  </si>
  <si>
    <t>mi_max</t>
  </si>
  <si>
    <t>FzF_din</t>
  </si>
  <si>
    <t>FzR_din</t>
  </si>
  <si>
    <t>Torque máximo dianteiro</t>
  </si>
  <si>
    <t>Torque máximo traseiro</t>
  </si>
  <si>
    <t>Ψ</t>
  </si>
  <si>
    <t>(1 - Ψ)</t>
  </si>
  <si>
    <t>χ</t>
  </si>
  <si>
    <t>g unit</t>
  </si>
  <si>
    <t>Tmax_R</t>
  </si>
  <si>
    <t>Nf</t>
  </si>
  <si>
    <t>Nr</t>
  </si>
  <si>
    <t>Força normal do pistão da pinça dianteira</t>
  </si>
  <si>
    <t>Força normal do pistão da pinça traseira</t>
  </si>
  <si>
    <t>pr</t>
  </si>
  <si>
    <t>Pressão na linha dianteira</t>
  </si>
  <si>
    <t>Pressão na linha traseira</t>
  </si>
  <si>
    <t>Kg m²</t>
  </si>
  <si>
    <t>Força na haste do C.M dianteiro</t>
  </si>
  <si>
    <t>Força na haste do C.M traseiro</t>
  </si>
  <si>
    <t>-</t>
  </si>
  <si>
    <t>FpdF</t>
  </si>
  <si>
    <t>FpdR</t>
  </si>
  <si>
    <t>a_max</t>
  </si>
  <si>
    <t>λ</t>
  </si>
  <si>
    <t>(1 - λ)</t>
  </si>
  <si>
    <t>Kg.m²</t>
  </si>
  <si>
    <t>FzF_est</t>
  </si>
  <si>
    <t>FzR_est</t>
  </si>
  <si>
    <t>Força total de atrito nos discos traseiros</t>
  </si>
  <si>
    <t>Força total de atrito no disco dianteiro</t>
  </si>
  <si>
    <t>Legenda:</t>
  </si>
  <si>
    <t>Input</t>
  </si>
  <si>
    <t>Output</t>
  </si>
  <si>
    <t>Nessa calculadora, a desaceleração deve ser a máxima, onde a_max = mi_max.</t>
  </si>
  <si>
    <t>htubo</t>
  </si>
  <si>
    <t>40000 &lt; Re &lt; 400000</t>
  </si>
  <si>
    <t>4000 &lt; Re &lt; 40000</t>
  </si>
  <si>
    <t>Velocidade</t>
  </si>
  <si>
    <t>V [m/s]</t>
  </si>
  <si>
    <t>Re [-]</t>
  </si>
  <si>
    <t>Pr [-]</t>
  </si>
  <si>
    <t>Aplicada nos dois lados do disco</t>
  </si>
  <si>
    <t>[kg/m3]</t>
  </si>
  <si>
    <t>Densidade do ar</t>
  </si>
  <si>
    <t>Cond. Term. do ar</t>
  </si>
  <si>
    <t>Veloc inicial</t>
  </si>
  <si>
    <t>Raio de contato pastilha - disco</t>
  </si>
  <si>
    <t>[Pa]</t>
  </si>
  <si>
    <r>
      <t>Disco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</si>
  <si>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[W/m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K]</t>
    </r>
  </si>
  <si>
    <r>
      <t>[W.s</t>
    </r>
    <r>
      <rPr>
        <vertAlign val="superscript"/>
        <sz val="11"/>
        <color theme="1"/>
        <rFont val="Calibri"/>
        <family val="2"/>
        <scheme val="minor"/>
      </rPr>
      <t xml:space="preserve">1/2 </t>
    </r>
    <r>
      <rPr>
        <sz val="11"/>
        <color theme="1"/>
        <rFont val="Calibri"/>
        <family val="2"/>
        <scheme val="minor"/>
      </rPr>
      <t>/ m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k]</t>
    </r>
  </si>
  <si>
    <t>Efusividade Térmica</t>
  </si>
  <si>
    <t>Condutividade térmica</t>
  </si>
  <si>
    <t>Calor específico do ar</t>
  </si>
  <si>
    <t>Calor específico</t>
  </si>
  <si>
    <t>Coef. de atrito</t>
  </si>
  <si>
    <t>Tempo de parada</t>
  </si>
  <si>
    <t>[s]</t>
  </si>
  <si>
    <t>Máximo [m]</t>
  </si>
  <si>
    <t>Mínimo [m]</t>
  </si>
  <si>
    <t>[g unit]</t>
  </si>
  <si>
    <t>Médio [m]</t>
  </si>
  <si>
    <t>Pastilha</t>
  </si>
  <si>
    <t>Disco</t>
  </si>
  <si>
    <t>Vel. Ang. Inicial</t>
  </si>
  <si>
    <t>Dados de entrada</t>
  </si>
  <si>
    <t>Geometria</t>
  </si>
  <si>
    <t>Massa</t>
  </si>
  <si>
    <t>Protótipo</t>
  </si>
  <si>
    <t>Piloto</t>
  </si>
  <si>
    <t>Total</t>
  </si>
  <si>
    <t>Time step</t>
  </si>
  <si>
    <t>Relação da B.B necessária na dianteira</t>
  </si>
  <si>
    <t>Raio efetivo do disco dianteiro</t>
  </si>
  <si>
    <t>Raio efetivo do disco traseiro</t>
  </si>
  <si>
    <r>
      <t>q [W</t>
    </r>
    <r>
      <rPr>
        <sz val="11"/>
        <color theme="1"/>
        <rFont val="Calibri"/>
        <family val="2"/>
        <scheme val="minor"/>
      </rPr>
      <t>]</t>
    </r>
  </si>
  <si>
    <t>a_fcticia</t>
  </si>
  <si>
    <t>Aceleração final</t>
  </si>
  <si>
    <t>Aceleração fictícia (Não prevê a roda travando)</t>
  </si>
  <si>
    <t>Diâmetro disco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</si>
</sst>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"/>
    <numFmt numFmtId="166" formatCode="0.0"/>
    <numFmt numFmtId="167" formatCode="0.00000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2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97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4" fillId="4" borderId="1" xfId="4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righ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0" xfId="0" applyFont="1" applyAlignment="1">
      <alignment vertical="center" wrapText="1"/>
    </xf>
    <xf numFmtId="2" fontId="4" fillId="4" borderId="1" xfId="4" applyNumberFormat="1" applyBorder="1" applyAlignment="1">
      <alignment horizontal="center"/>
    </xf>
    <xf numFmtId="166" fontId="4" fillId="4" borderId="1" xfId="4" applyNumberFormat="1" applyBorder="1" applyAlignment="1">
      <alignment horizontal="center"/>
    </xf>
    <xf numFmtId="0" fontId="4" fillId="6" borderId="1" xfId="3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6" borderId="1" xfId="0" applyFill="1" applyBorder="1" applyAlignment="1">
      <alignment horizontal="center"/>
    </xf>
    <xf numFmtId="0" fontId="2" fillId="5" borderId="0" xfId="1" applyFont="1" applyFill="1" applyBorder="1" applyAlignment="1">
      <alignment vertical="center" wrapText="1"/>
    </xf>
    <xf numFmtId="0" fontId="0" fillId="5" borderId="0" xfId="0" applyFill="1" applyBorder="1"/>
    <xf numFmtId="0" fontId="0" fillId="0" borderId="0" xfId="0" applyFill="1" applyBorder="1" applyAlignment="1"/>
    <xf numFmtId="0" fontId="0" fillId="0" borderId="0" xfId="0" applyAlignment="1">
      <alignment horizontal="left"/>
    </xf>
    <xf numFmtId="166" fontId="0" fillId="0" borderId="1" xfId="0" applyNumberFormat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0" fontId="3" fillId="6" borderId="1" xfId="3" applyFont="1" applyFill="1" applyBorder="1" applyAlignment="1">
      <alignment horizontal="center"/>
    </xf>
    <xf numFmtId="1" fontId="3" fillId="4" borderId="1" xfId="4" applyNumberFormat="1" applyFont="1" applyBorder="1" applyAlignment="1">
      <alignment horizontal="center"/>
    </xf>
    <xf numFmtId="168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67" fontId="0" fillId="8" borderId="1" xfId="0" applyNumberForma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8" borderId="1" xfId="0" applyNumberFormat="1" applyFill="1" applyBorder="1" applyAlignment="1">
      <alignment horizontal="center"/>
    </xf>
    <xf numFmtId="11" fontId="3" fillId="8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6" fontId="3" fillId="7" borderId="1" xfId="0" applyNumberFormat="1" applyFont="1" applyFill="1" applyBorder="1" applyAlignment="1">
      <alignment horizontal="center"/>
    </xf>
    <xf numFmtId="167" fontId="0" fillId="8" borderId="10" xfId="0" applyNumberFormat="1" applyFill="1" applyBorder="1" applyAlignment="1">
      <alignment horizontal="center"/>
    </xf>
    <xf numFmtId="11" fontId="3" fillId="5" borderId="1" xfId="0" applyNumberFormat="1" applyFont="1" applyFill="1" applyBorder="1" applyAlignment="1">
      <alignment horizontal="center"/>
    </xf>
    <xf numFmtId="0" fontId="8" fillId="6" borderId="1" xfId="3" applyFont="1" applyFill="1" applyBorder="1" applyAlignment="1">
      <alignment horizontal="center"/>
    </xf>
    <xf numFmtId="1" fontId="8" fillId="7" borderId="1" xfId="0" applyNumberFormat="1" applyFont="1" applyFill="1" applyBorder="1" applyAlignment="1">
      <alignment horizontal="center"/>
    </xf>
    <xf numFmtId="0" fontId="8" fillId="0" borderId="0" xfId="0" applyFont="1"/>
    <xf numFmtId="0" fontId="8" fillId="7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6" fillId="5" borderId="0" xfId="2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2" fontId="3" fillId="7" borderId="1" xfId="0" applyNumberFormat="1" applyFont="1" applyFill="1" applyBorder="1" applyAlignment="1">
      <alignment horizontal="center"/>
    </xf>
    <xf numFmtId="11" fontId="4" fillId="4" borderId="1" xfId="4" applyNumberFormat="1" applyBorder="1" applyAlignment="1">
      <alignment horizontal="center"/>
    </xf>
    <xf numFmtId="0" fontId="11" fillId="0" borderId="0" xfId="0" applyFont="1"/>
    <xf numFmtId="0" fontId="4" fillId="6" borderId="1" xfId="3" applyFont="1" applyFill="1" applyBorder="1" applyAlignment="1">
      <alignment horizontal="center"/>
    </xf>
    <xf numFmtId="166" fontId="4" fillId="4" borderId="1" xfId="4" applyNumberFormat="1" applyFont="1" applyBorder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1" fontId="0" fillId="0" borderId="0" xfId="0" applyNumberFormat="1"/>
    <xf numFmtId="2" fontId="0" fillId="0" borderId="0" xfId="0" applyNumberFormat="1"/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8" fontId="4" fillId="4" borderId="1" xfId="4" applyNumberFormat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9" fillId="6" borderId="1" xfId="0" applyFont="1" applyFill="1" applyBorder="1" applyAlignment="1">
      <alignment horizontal="center" vertical="center" wrapText="1"/>
    </xf>
    <xf numFmtId="0" fontId="6" fillId="9" borderId="1" xfId="2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/>
    </xf>
    <xf numFmtId="0" fontId="4" fillId="10" borderId="3" xfId="2" applyFill="1" applyBorder="1" applyAlignment="1">
      <alignment horizontal="center"/>
    </xf>
    <xf numFmtId="0" fontId="4" fillId="10" borderId="4" xfId="2" applyFill="1" applyBorder="1" applyAlignment="1">
      <alignment horizontal="center"/>
    </xf>
    <xf numFmtId="0" fontId="4" fillId="10" borderId="5" xfId="2" applyFill="1" applyBorder="1" applyAlignment="1">
      <alignment horizontal="center"/>
    </xf>
    <xf numFmtId="0" fontId="4" fillId="10" borderId="6" xfId="2" applyFill="1" applyBorder="1" applyAlignment="1">
      <alignment horizontal="center"/>
    </xf>
    <xf numFmtId="0" fontId="4" fillId="10" borderId="7" xfId="2" applyFill="1" applyBorder="1" applyAlignment="1">
      <alignment horizontal="center"/>
    </xf>
    <xf numFmtId="0" fontId="4" fillId="10" borderId="8" xfId="2" applyFill="1" applyBorder="1" applyAlignment="1">
      <alignment horizontal="center"/>
    </xf>
    <xf numFmtId="0" fontId="0" fillId="0" borderId="0" xfId="0" applyAlignment="1">
      <alignment horizontal="left" wrapText="1"/>
    </xf>
    <xf numFmtId="0" fontId="2" fillId="10" borderId="3" xfId="1" applyFont="1" applyFill="1" applyBorder="1" applyAlignment="1">
      <alignment horizontal="center" vertical="center" wrapText="1"/>
    </xf>
    <xf numFmtId="0" fontId="2" fillId="10" borderId="4" xfId="1" applyFont="1" applyFill="1" applyBorder="1" applyAlignment="1">
      <alignment horizontal="center" vertical="center" wrapText="1"/>
    </xf>
    <xf numFmtId="0" fontId="2" fillId="10" borderId="5" xfId="1" applyFont="1" applyFill="1" applyBorder="1" applyAlignment="1">
      <alignment horizontal="center" vertical="center" wrapText="1"/>
    </xf>
    <xf numFmtId="0" fontId="2" fillId="10" borderId="6" xfId="1" applyFont="1" applyFill="1" applyBorder="1" applyAlignment="1">
      <alignment horizontal="center" vertical="center" wrapText="1"/>
    </xf>
    <xf numFmtId="0" fontId="2" fillId="10" borderId="7" xfId="1" applyFont="1" applyFill="1" applyBorder="1" applyAlignment="1">
      <alignment horizontal="center" vertical="center" wrapText="1"/>
    </xf>
    <xf numFmtId="0" fontId="2" fillId="10" borderId="8" xfId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65" fontId="0" fillId="7" borderId="10" xfId="0" applyNumberFormat="1" applyFill="1" applyBorder="1" applyAlignment="1">
      <alignment horizontal="center"/>
    </xf>
    <xf numFmtId="165" fontId="0" fillId="7" borderId="11" xfId="0" applyNumberFormat="1" applyFill="1" applyBorder="1" applyAlignment="1">
      <alignment horizontal="center"/>
    </xf>
    <xf numFmtId="165" fontId="0" fillId="7" borderId="9" xfId="0" applyNumberFormat="1" applyFill="1" applyBorder="1" applyAlignment="1">
      <alignment horizontal="center"/>
    </xf>
    <xf numFmtId="168" fontId="0" fillId="8" borderId="1" xfId="0" applyNumberFormat="1" applyFill="1" applyBorder="1" applyAlignment="1">
      <alignment horizontal="center"/>
    </xf>
  </cellXfs>
  <cellStyles count="5">
    <cellStyle name="20% - Ênfase1" xfId="3" builtinId="30"/>
    <cellStyle name="20% - Ênfase3" xfId="4" builtinId="38"/>
    <cellStyle name="40% - Ênfase1" xfId="2" builtinId="31"/>
    <cellStyle name="Normal" xfId="0" builtinId="0"/>
    <cellStyle name="Título 2" xfId="1" builtinId="1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Acelera&#231;&#227;o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hyperlink" Target="#Calor!A1"/><Relationship Id="rId4" Type="http://schemas.openxmlformats.org/officeDocument/2006/relationships/hyperlink" Target="#'For&#231;a no pedal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hyperlink" Target="#'For&#231;a no pedal'!A1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Acelera&#231;&#227;o!A1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4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20292</xdr:rowOff>
    </xdr:from>
    <xdr:to>
      <xdr:col>2</xdr:col>
      <xdr:colOff>518419</xdr:colOff>
      <xdr:row>3</xdr:row>
      <xdr:rowOff>182217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7" t="6229" r="4838" b="6209"/>
        <a:stretch/>
      </xdr:blipFill>
      <xdr:spPr bwMode="auto">
        <a:xfrm>
          <a:off x="180975" y="210792"/>
          <a:ext cx="994669" cy="5429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125069</xdr:colOff>
      <xdr:row>1</xdr:row>
      <xdr:rowOff>15322</xdr:rowOff>
    </xdr:from>
    <xdr:to>
      <xdr:col>11</xdr:col>
      <xdr:colOff>449332</xdr:colOff>
      <xdr:row>3</xdr:row>
      <xdr:rowOff>157369</xdr:rowOff>
    </xdr:to>
    <xdr:pic>
      <xdr:nvPicPr>
        <xdr:cNvPr id="8" name="Picture" descr="C:\Users\Heitor\Dropbox\Projects\public\Icarus-FSAE\Software\assets\logos\logoufrj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9088094" y="205822"/>
          <a:ext cx="1362488" cy="5230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445662</xdr:colOff>
      <xdr:row>1</xdr:row>
      <xdr:rowOff>1368</xdr:rowOff>
    </xdr:from>
    <xdr:ext cx="4265207" cy="573427"/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253466" y="191868"/>
          <a:ext cx="4265207" cy="57342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0">
              <a:ln w="12700">
                <a:solidFill>
                  <a:schemeClr val="tx1"/>
                </a:solidFill>
                <a:prstDash val="solid"/>
              </a:ln>
              <a:solidFill>
                <a:schemeClr val="accent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+mj-lt"/>
            </a:rPr>
            <a:t>Calculadora de Freios</a:t>
          </a:r>
        </a:p>
      </xdr:txBody>
    </xdr:sp>
    <xdr:clientData/>
  </xdr:oneCellAnchor>
  <xdr:twoCellAnchor>
    <xdr:from>
      <xdr:col>3</xdr:col>
      <xdr:colOff>33131</xdr:colOff>
      <xdr:row>12</xdr:row>
      <xdr:rowOff>165653</xdr:rowOff>
    </xdr:from>
    <xdr:to>
      <xdr:col>5</xdr:col>
      <xdr:colOff>16566</xdr:colOff>
      <xdr:row>14</xdr:row>
      <xdr:rowOff>132522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2FDFA0-FF97-486C-ADE4-4056975A30B0}"/>
            </a:ext>
          </a:extLst>
        </xdr:cNvPr>
        <xdr:cNvSpPr/>
      </xdr:nvSpPr>
      <xdr:spPr>
        <a:xfrm>
          <a:off x="1805609" y="2716696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Aceleração para Força no pedal</a:t>
          </a:r>
          <a:endParaRPr lang="pt-BR" sz="1100"/>
        </a:p>
      </xdr:txBody>
    </xdr:sp>
    <xdr:clientData/>
  </xdr:twoCellAnchor>
  <xdr:twoCellAnchor>
    <xdr:from>
      <xdr:col>5</xdr:col>
      <xdr:colOff>549970</xdr:colOff>
      <xdr:row>12</xdr:row>
      <xdr:rowOff>168966</xdr:rowOff>
    </xdr:from>
    <xdr:to>
      <xdr:col>7</xdr:col>
      <xdr:colOff>533404</xdr:colOff>
      <xdr:row>14</xdr:row>
      <xdr:rowOff>135835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6833DEA-E0E0-4A0A-900D-64E046016136}"/>
            </a:ext>
          </a:extLst>
        </xdr:cNvPr>
        <xdr:cNvSpPr/>
      </xdr:nvSpPr>
      <xdr:spPr>
        <a:xfrm>
          <a:off x="4393100" y="2720009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Força no pedal para </a:t>
          </a:r>
          <a:r>
            <a:rPr lang="pt-BR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Aceleração</a:t>
          </a:r>
        </a:p>
      </xdr:txBody>
    </xdr:sp>
    <xdr:clientData/>
  </xdr:twoCellAnchor>
  <xdr:twoCellAnchor>
    <xdr:from>
      <xdr:col>8</xdr:col>
      <xdr:colOff>6627</xdr:colOff>
      <xdr:row>12</xdr:row>
      <xdr:rowOff>163996</xdr:rowOff>
    </xdr:from>
    <xdr:to>
      <xdr:col>9</xdr:col>
      <xdr:colOff>1025388</xdr:colOff>
      <xdr:row>14</xdr:row>
      <xdr:rowOff>130865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629330C-1E87-486D-8CF1-B393349E1BF2}"/>
            </a:ext>
          </a:extLst>
        </xdr:cNvPr>
        <xdr:cNvSpPr/>
      </xdr:nvSpPr>
      <xdr:spPr>
        <a:xfrm>
          <a:off x="6955736" y="2715039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Transferência de calor no disco</a:t>
          </a:r>
          <a:endParaRPr lang="pt-BR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63796</xdr:colOff>
      <xdr:row>0</xdr:row>
      <xdr:rowOff>0</xdr:rowOff>
    </xdr:from>
    <xdr:ext cx="2917273" cy="468013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302546" y="0"/>
          <a:ext cx="291727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Calculadora de Freios</a:t>
          </a:r>
        </a:p>
      </xdr:txBody>
    </xdr:sp>
    <xdr:clientData/>
  </xdr:oneCellAnchor>
  <xdr:twoCellAnchor editAs="oneCell">
    <xdr:from>
      <xdr:col>10</xdr:col>
      <xdr:colOff>266700</xdr:colOff>
      <xdr:row>2</xdr:row>
      <xdr:rowOff>85725</xdr:rowOff>
    </xdr:from>
    <xdr:to>
      <xdr:col>12</xdr:col>
      <xdr:colOff>476250</xdr:colOff>
      <xdr:row>5</xdr:row>
      <xdr:rowOff>68909</xdr:rowOff>
    </xdr:to>
    <xdr:pic>
      <xdr:nvPicPr>
        <xdr:cNvPr id="4" name="Picture" descr="C:\Users\Heitor\Dropbox\Projects\public\Icarus-FSAE\Software\assets\logos\logoufrj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2087225" y="981075"/>
          <a:ext cx="1476375" cy="5832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2</xdr:row>
      <xdr:rowOff>123825</xdr:rowOff>
    </xdr:from>
    <xdr:to>
      <xdr:col>2</xdr:col>
      <xdr:colOff>334591</xdr:colOff>
      <xdr:row>6</xdr:row>
      <xdr:rowOff>19050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7" t="6229" r="4838" b="6209"/>
        <a:stretch/>
      </xdr:blipFill>
      <xdr:spPr bwMode="auto">
        <a:xfrm>
          <a:off x="295275" y="504825"/>
          <a:ext cx="1258516" cy="6858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9</xdr:col>
      <xdr:colOff>934011</xdr:colOff>
      <xdr:row>28</xdr:row>
      <xdr:rowOff>184898</xdr:rowOff>
    </xdr:from>
    <xdr:to>
      <xdr:col>9</xdr:col>
      <xdr:colOff>1809750</xdr:colOff>
      <xdr:row>30</xdr:row>
      <xdr:rowOff>123825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9392211" y="5547473"/>
          <a:ext cx="875739" cy="3199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 cap="none" spc="0" baseline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</a:rPr>
            <a:t>Menu</a:t>
          </a:r>
          <a:endParaRPr lang="pt-BR" sz="1800" b="1" cap="none" spc="0" baseline="0">
            <a:ln w="900" cmpd="sng">
              <a:solidFill>
                <a:schemeClr val="accent1">
                  <a:satMod val="190000"/>
                  <a:alpha val="55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innerShdw blurRad="101600" dist="76200" dir="5400000">
                <a:schemeClr val="accent1">
                  <a:satMod val="190000"/>
                  <a:tint val="100000"/>
                  <a:alpha val="74000"/>
                </a:schemeClr>
              </a:innerShdw>
            </a:effectLst>
          </a:endParaRPr>
        </a:p>
      </xdr:txBody>
    </xdr:sp>
    <xdr:clientData/>
  </xdr:twoCellAnchor>
  <xdr:twoCellAnchor editAs="oneCell">
    <xdr:from>
      <xdr:col>9</xdr:col>
      <xdr:colOff>85725</xdr:colOff>
      <xdr:row>9</xdr:row>
      <xdr:rowOff>19050</xdr:rowOff>
    </xdr:from>
    <xdr:to>
      <xdr:col>9</xdr:col>
      <xdr:colOff>2238375</xdr:colOff>
      <xdr:row>13</xdr:row>
      <xdr:rowOff>97527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B3FF4F8-F85B-4388-9B2C-774E39D6C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43925" y="1762125"/>
          <a:ext cx="2152650" cy="840477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133351</xdr:colOff>
      <xdr:row>14</xdr:row>
      <xdr:rowOff>0</xdr:rowOff>
    </xdr:from>
    <xdr:to>
      <xdr:col>9</xdr:col>
      <xdr:colOff>1676401</xdr:colOff>
      <xdr:row>16</xdr:row>
      <xdr:rowOff>34437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2C287D7-EA0E-4633-A16C-950F88E1C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91551" y="2695575"/>
          <a:ext cx="1543050" cy="415437"/>
        </a:xfrm>
        <a:prstGeom prst="rect">
          <a:avLst/>
        </a:prstGeom>
      </xdr:spPr>
    </xdr:pic>
    <xdr:clientData/>
  </xdr:twoCellAnchor>
  <xdr:twoCellAnchor>
    <xdr:from>
      <xdr:col>9</xdr:col>
      <xdr:colOff>333375</xdr:colOff>
      <xdr:row>31</xdr:row>
      <xdr:rowOff>152400</xdr:rowOff>
    </xdr:from>
    <xdr:to>
      <xdr:col>9</xdr:col>
      <xdr:colOff>2387462</xdr:colOff>
      <xdr:row>33</xdr:row>
      <xdr:rowOff>119269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F1BBA73-DB6D-4AD5-888D-A641AFF5B239}"/>
            </a:ext>
          </a:extLst>
        </xdr:cNvPr>
        <xdr:cNvSpPr/>
      </xdr:nvSpPr>
      <xdr:spPr>
        <a:xfrm>
          <a:off x="8791575" y="6086475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Força no pedal para </a:t>
          </a:r>
          <a:r>
            <a:rPr lang="pt-BR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Aceleração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24083</xdr:colOff>
      <xdr:row>0</xdr:row>
      <xdr:rowOff>0</xdr:rowOff>
    </xdr:from>
    <xdr:ext cx="2917273" cy="468013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262833" y="0"/>
          <a:ext cx="291727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Calculadora de Freios</a:t>
          </a:r>
        </a:p>
      </xdr:txBody>
    </xdr:sp>
    <xdr:clientData/>
  </xdr:oneCellAnchor>
  <xdr:twoCellAnchor editAs="oneCell">
    <xdr:from>
      <xdr:col>0</xdr:col>
      <xdr:colOff>304228</xdr:colOff>
      <xdr:row>2</xdr:row>
      <xdr:rowOff>123824</xdr:rowOff>
    </xdr:from>
    <xdr:to>
      <xdr:col>2</xdr:col>
      <xdr:colOff>323850</xdr:colOff>
      <xdr:row>6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7" t="6229" r="4838" b="6209"/>
        <a:stretch/>
      </xdr:blipFill>
      <xdr:spPr bwMode="auto">
        <a:xfrm>
          <a:off x="304228" y="514349"/>
          <a:ext cx="1315022" cy="68580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342900</xdr:colOff>
      <xdr:row>2</xdr:row>
      <xdr:rowOff>137712</xdr:rowOff>
    </xdr:from>
    <xdr:to>
      <xdr:col>12</xdr:col>
      <xdr:colOff>552450</xdr:colOff>
      <xdr:row>5</xdr:row>
      <xdr:rowOff>135700</xdr:rowOff>
    </xdr:to>
    <xdr:pic>
      <xdr:nvPicPr>
        <xdr:cNvPr id="5" name="Picture" descr="C:\Users\Heitor\Dropbox\Projects\public\Icarus-FSAE\Software\assets\logos\logoufrj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12820650" y="528237"/>
          <a:ext cx="1476375" cy="598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495300</xdr:colOff>
      <xdr:row>27</xdr:row>
      <xdr:rowOff>38100</xdr:rowOff>
    </xdr:from>
    <xdr:to>
      <xdr:col>9</xdr:col>
      <xdr:colOff>2549387</xdr:colOff>
      <xdr:row>30</xdr:row>
      <xdr:rowOff>4969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C9A0A59-B8BA-4763-9412-108EE4DC66AE}"/>
            </a:ext>
          </a:extLst>
        </xdr:cNvPr>
        <xdr:cNvSpPr/>
      </xdr:nvSpPr>
      <xdr:spPr>
        <a:xfrm>
          <a:off x="9020175" y="5219700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Aceleração para Força no pedal</a:t>
          </a:r>
          <a:endParaRPr lang="pt-BR" sz="1100"/>
        </a:p>
      </xdr:txBody>
    </xdr:sp>
    <xdr:clientData/>
  </xdr:twoCellAnchor>
  <xdr:twoCellAnchor>
    <xdr:from>
      <xdr:col>9</xdr:col>
      <xdr:colOff>1095375</xdr:colOff>
      <xdr:row>24</xdr:row>
      <xdr:rowOff>28575</xdr:rowOff>
    </xdr:from>
    <xdr:to>
      <xdr:col>9</xdr:col>
      <xdr:colOff>1971114</xdr:colOff>
      <xdr:row>25</xdr:row>
      <xdr:rowOff>158002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CF7ED46-EF0E-462A-8024-3017C3404CE6}"/>
            </a:ext>
          </a:extLst>
        </xdr:cNvPr>
        <xdr:cNvSpPr/>
      </xdr:nvSpPr>
      <xdr:spPr>
        <a:xfrm>
          <a:off x="9620250" y="4638675"/>
          <a:ext cx="875739" cy="3199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 cap="none" spc="0" baseline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</a:rPr>
            <a:t>Menu</a:t>
          </a:r>
          <a:endParaRPr lang="pt-BR" sz="1800" b="1" cap="none" spc="0" baseline="0">
            <a:ln w="900" cmpd="sng">
              <a:solidFill>
                <a:schemeClr val="accent1">
                  <a:satMod val="190000"/>
                  <a:alpha val="55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innerShdw blurRad="101600" dist="76200" dir="5400000">
                <a:schemeClr val="accent1">
                  <a:satMod val="190000"/>
                  <a:tint val="100000"/>
                  <a:alpha val="74000"/>
                </a:schemeClr>
              </a:inn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</xdr:row>
      <xdr:rowOff>142875</xdr:rowOff>
    </xdr:from>
    <xdr:to>
      <xdr:col>11</xdr:col>
      <xdr:colOff>161364</xdr:colOff>
      <xdr:row>4</xdr:row>
      <xdr:rowOff>53227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C2D77-0C4E-4926-8845-4E7BB8D90578}"/>
            </a:ext>
          </a:extLst>
        </xdr:cNvPr>
        <xdr:cNvSpPr/>
      </xdr:nvSpPr>
      <xdr:spPr>
        <a:xfrm>
          <a:off x="10344150" y="523875"/>
          <a:ext cx="875739" cy="3199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 cap="none" spc="0" baseline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</a:rPr>
            <a:t>Menu</a:t>
          </a:r>
          <a:endParaRPr lang="pt-BR" sz="1800" b="1" cap="none" spc="0" baseline="0">
            <a:ln w="900" cmpd="sng">
              <a:solidFill>
                <a:schemeClr val="accent1">
                  <a:satMod val="190000"/>
                  <a:alpha val="55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innerShdw blurRad="101600" dist="76200" dir="5400000">
                <a:schemeClr val="accent1">
                  <a:satMod val="190000"/>
                  <a:tint val="100000"/>
                  <a:alpha val="74000"/>
                </a:schemeClr>
              </a:innerShdw>
            </a:effectLst>
          </a:endParaRPr>
        </a:p>
      </xdr:txBody>
    </xdr:sp>
    <xdr:clientData/>
  </xdr:twoCellAnchor>
  <xdr:twoCellAnchor editAs="oneCell">
    <xdr:from>
      <xdr:col>9</xdr:col>
      <xdr:colOff>304800</xdr:colOff>
      <xdr:row>19</xdr:row>
      <xdr:rowOff>180975</xdr:rowOff>
    </xdr:from>
    <xdr:to>
      <xdr:col>18</xdr:col>
      <xdr:colOff>589759</xdr:colOff>
      <xdr:row>28</xdr:row>
      <xdr:rowOff>95043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0073E68-589A-4947-9BA3-98964D7D0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2700" y="3914775"/>
          <a:ext cx="6323809" cy="16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352424</xdr:colOff>
      <xdr:row>30</xdr:row>
      <xdr:rowOff>39516</xdr:rowOff>
    </xdr:from>
    <xdr:to>
      <xdr:col>15</xdr:col>
      <xdr:colOff>85116</xdr:colOff>
      <xdr:row>39</xdr:row>
      <xdr:rowOff>190213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500197D-DB31-412A-8F01-74CA494F2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0324" y="5897391"/>
          <a:ext cx="3971317" cy="18651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p/Desktop/TCC/Planilhas%20freios/calor-pastilha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p/Desktop/TCC/Planilhas%20freios/Calculadora%20compl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lipe"/>
      <sheetName val="Rocha"/>
    </sheetNames>
    <sheetDataSet>
      <sheetData sheetId="0"/>
      <sheetData sheetId="1">
        <row r="5">
          <cell r="B5">
            <v>2.3E-2</v>
          </cell>
          <cell r="C5">
            <v>0.109</v>
          </cell>
          <cell r="E5">
            <v>1.5</v>
          </cell>
          <cell r="H5">
            <v>1.0311485037983923</v>
          </cell>
          <cell r="I5">
            <v>1.169</v>
          </cell>
          <cell r="J5">
            <v>1.6040000000000002E-5</v>
          </cell>
          <cell r="M5">
            <v>1012</v>
          </cell>
        </row>
        <row r="9">
          <cell r="B9">
            <v>1.5</v>
          </cell>
          <cell r="C9">
            <v>49.8</v>
          </cell>
          <cell r="D9">
            <v>3000</v>
          </cell>
          <cell r="E9">
            <v>7850</v>
          </cell>
          <cell r="F9">
            <v>2000</v>
          </cell>
          <cell r="G9">
            <v>486</v>
          </cell>
          <cell r="K9">
            <v>0.83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3">
          <cell r="C3">
            <v>15</v>
          </cell>
        </row>
        <row r="4">
          <cell r="C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6"/>
  <sheetViews>
    <sheetView showGridLines="0" showRowColHeaders="0" tabSelected="1" zoomScale="115" zoomScaleNormal="115" workbookViewId="0">
      <selection activeCell="B2" sqref="B2:L4"/>
    </sheetView>
  </sheetViews>
  <sheetFormatPr defaultRowHeight="15" x14ac:dyDescent="0.25"/>
  <cols>
    <col min="1" max="1" width="3.28515625" customWidth="1"/>
    <col min="2" max="2" width="7.85546875" customWidth="1"/>
    <col min="3" max="11" width="15.5703125" customWidth="1"/>
    <col min="12" max="12" width="7.85546875" customWidth="1"/>
  </cols>
  <sheetData>
    <row r="2" spans="2:17" ht="15" customHeight="1" x14ac:dyDescent="0.25"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50"/>
      <c r="N2" s="50"/>
      <c r="O2" s="50"/>
      <c r="P2" s="50"/>
      <c r="Q2" s="28"/>
    </row>
    <row r="3" spans="2:17" ht="15" customHeight="1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50"/>
      <c r="N3" s="50"/>
      <c r="O3" s="50"/>
      <c r="P3" s="50"/>
      <c r="Q3" s="28"/>
    </row>
    <row r="4" spans="2:17" ht="15.75" customHeight="1" x14ac:dyDescent="0.25"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50"/>
      <c r="N4" s="50"/>
      <c r="O4" s="50"/>
      <c r="P4" s="50"/>
      <c r="Q4" s="28"/>
    </row>
    <row r="6" spans="2:17" ht="15.75" x14ac:dyDescent="0.25">
      <c r="C6" s="74" t="s">
        <v>143</v>
      </c>
      <c r="D6" s="74"/>
      <c r="E6" s="74"/>
      <c r="F6" s="74"/>
      <c r="G6" s="74"/>
      <c r="H6" s="74"/>
      <c r="I6" s="74"/>
      <c r="J6" s="74"/>
      <c r="K6" s="74"/>
    </row>
    <row r="7" spans="2:17" ht="18.75" customHeight="1" x14ac:dyDescent="0.25">
      <c r="C7" s="72" t="s">
        <v>144</v>
      </c>
      <c r="D7" s="72"/>
      <c r="E7" s="72"/>
      <c r="F7" s="72"/>
      <c r="G7" s="72"/>
      <c r="H7" s="72"/>
      <c r="I7" s="72" t="s">
        <v>145</v>
      </c>
      <c r="J7" s="72"/>
      <c r="K7" s="72"/>
      <c r="L7" s="19"/>
      <c r="M7" s="19"/>
      <c r="N7" s="19"/>
    </row>
    <row r="8" spans="2:17" ht="30.75" customHeight="1" x14ac:dyDescent="0.25">
      <c r="C8" s="53" t="s">
        <v>47</v>
      </c>
      <c r="D8" s="53" t="s">
        <v>48</v>
      </c>
      <c r="E8" s="60" t="s">
        <v>73</v>
      </c>
      <c r="F8" s="52" t="s">
        <v>82</v>
      </c>
      <c r="G8" s="52" t="s">
        <v>83</v>
      </c>
      <c r="H8" s="52" t="s">
        <v>84</v>
      </c>
      <c r="I8" s="52" t="s">
        <v>146</v>
      </c>
      <c r="J8" s="52" t="s">
        <v>147</v>
      </c>
      <c r="K8" s="60" t="s">
        <v>148</v>
      </c>
      <c r="L8" s="19"/>
      <c r="M8" s="19"/>
      <c r="N8" s="19"/>
    </row>
    <row r="9" spans="2:17" ht="15" customHeight="1" x14ac:dyDescent="0.25">
      <c r="C9" s="53" t="s">
        <v>46</v>
      </c>
      <c r="D9" s="53" t="s">
        <v>46</v>
      </c>
      <c r="E9" s="53" t="s">
        <v>46</v>
      </c>
      <c r="F9" s="61" t="s">
        <v>52</v>
      </c>
      <c r="G9" s="61" t="s">
        <v>52</v>
      </c>
      <c r="H9" s="61" t="s">
        <v>52</v>
      </c>
      <c r="I9" s="53" t="s">
        <v>72</v>
      </c>
      <c r="J9" s="53" t="s">
        <v>72</v>
      </c>
      <c r="K9" s="53" t="s">
        <v>72</v>
      </c>
      <c r="L9" s="19"/>
      <c r="M9" s="19"/>
      <c r="N9" s="19"/>
    </row>
    <row r="10" spans="2:17" ht="15" customHeight="1" x14ac:dyDescent="0.25">
      <c r="C10" s="62">
        <v>0.7572000000000001</v>
      </c>
      <c r="D10" s="62">
        <v>0.78280000000000005</v>
      </c>
      <c r="E10" s="62">
        <v>0.35</v>
      </c>
      <c r="F10" s="63">
        <f>LF/(LF+LR)</f>
        <v>0.49168831168831173</v>
      </c>
      <c r="G10" s="63">
        <f>LR/(LF+LR)</f>
        <v>0.50831168831168838</v>
      </c>
      <c r="H10" s="64">
        <f>h/(LR+LF)</f>
        <v>0.22727272727272727</v>
      </c>
      <c r="I10" s="62">
        <v>280</v>
      </c>
      <c r="J10" s="62">
        <v>70</v>
      </c>
      <c r="K10" s="65">
        <f>I10+J10</f>
        <v>350</v>
      </c>
      <c r="L10" s="19"/>
      <c r="M10" s="19"/>
      <c r="N10" s="19"/>
    </row>
    <row r="11" spans="2:17" ht="15" customHeight="1" x14ac:dyDescent="0.25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3" spans="2:17" ht="15" customHeight="1" x14ac:dyDescent="0.25">
      <c r="D13" s="54"/>
      <c r="E13" s="54"/>
      <c r="F13" s="54"/>
      <c r="G13" s="54"/>
      <c r="H13" s="54"/>
      <c r="I13" s="54"/>
      <c r="J13" s="54"/>
      <c r="K13" s="54"/>
      <c r="L13" s="54"/>
    </row>
    <row r="14" spans="2:17" ht="15" customHeight="1" x14ac:dyDescent="0.25">
      <c r="D14" s="54"/>
      <c r="E14" s="54"/>
      <c r="F14" s="54"/>
      <c r="G14" s="54"/>
      <c r="H14" s="54"/>
      <c r="I14" s="54"/>
      <c r="J14" s="54"/>
      <c r="K14" s="54"/>
      <c r="L14" s="54"/>
    </row>
    <row r="16" spans="2:17" x14ac:dyDescent="0.25">
      <c r="F16" s="51"/>
      <c r="G16" s="51"/>
      <c r="H16" s="51"/>
      <c r="I16" s="23"/>
      <c r="J16" s="23"/>
    </row>
    <row r="17" spans="3:14" x14ac:dyDescent="0.25">
      <c r="F17" s="51"/>
      <c r="G17" s="51"/>
      <c r="H17" s="51"/>
      <c r="I17" s="23"/>
      <c r="J17" s="23"/>
    </row>
    <row r="18" spans="3:14" x14ac:dyDescent="0.25">
      <c r="F18" s="51"/>
      <c r="G18" s="51"/>
      <c r="H18" s="51"/>
      <c r="I18" s="23"/>
      <c r="J18" s="23"/>
    </row>
    <row r="19" spans="3:14" x14ac:dyDescent="0.25">
      <c r="F19" s="51"/>
      <c r="G19" s="51"/>
      <c r="H19" s="51"/>
      <c r="I19" s="23"/>
      <c r="J19" s="23"/>
    </row>
    <row r="20" spans="3:14" x14ac:dyDescent="0.25">
      <c r="F20" s="51"/>
      <c r="G20" s="51"/>
      <c r="H20" s="51"/>
      <c r="I20" s="23"/>
      <c r="J20" s="23"/>
    </row>
    <row r="21" spans="3:14" x14ac:dyDescent="0.25">
      <c r="F21" s="51"/>
      <c r="G21" s="51"/>
      <c r="H21" s="51"/>
      <c r="I21" s="23"/>
      <c r="J21" s="23"/>
    </row>
    <row r="24" spans="3:14" ht="15" customHeight="1" x14ac:dyDescent="0.3"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3:14" ht="15" customHeight="1" x14ac:dyDescent="0.3"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3:14" ht="15" customHeight="1" x14ac:dyDescent="0.3"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</sheetData>
  <mergeCells count="4">
    <mergeCell ref="I7:K7"/>
    <mergeCell ref="B2:L4"/>
    <mergeCell ref="C6:K6"/>
    <mergeCell ref="C7:H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"/>
  <sheetViews>
    <sheetView showGridLines="0" showRowColHeaders="0" zoomScaleNormal="100" workbookViewId="0">
      <selection activeCell="G17" sqref="G17"/>
    </sheetView>
  </sheetViews>
  <sheetFormatPr defaultRowHeight="15" x14ac:dyDescent="0.25"/>
  <cols>
    <col min="4" max="4" width="47.85546875" customWidth="1"/>
    <col min="5" max="5" width="3.28515625" customWidth="1"/>
    <col min="6" max="6" width="11.7109375" customWidth="1"/>
    <col min="7" max="7" width="21.85546875" customWidth="1"/>
    <col min="8" max="8" width="11.42578125" customWidth="1"/>
    <col min="9" max="9" width="3.28515625" customWidth="1"/>
    <col min="10" max="10" width="50.42578125" customWidth="1"/>
    <col min="12" max="12" width="9.85546875" customWidth="1"/>
  </cols>
  <sheetData>
    <row r="1" spans="1:13" ht="15" customHeight="1" x14ac:dyDescent="0.25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 ht="15" customHeight="1" thickBot="1" x14ac:dyDescent="0.3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80"/>
    </row>
    <row r="3" spans="1:13" ht="15.75" customHeight="1" x14ac:dyDescent="0.25"/>
    <row r="4" spans="1:13" ht="15.75" customHeight="1" x14ac:dyDescent="0.25">
      <c r="D4" s="45" t="s">
        <v>30</v>
      </c>
      <c r="E4" s="47"/>
      <c r="F4" s="45" t="s">
        <v>27</v>
      </c>
      <c r="G4" s="48" t="s">
        <v>28</v>
      </c>
      <c r="H4" s="45" t="s">
        <v>29</v>
      </c>
      <c r="I4" s="47"/>
      <c r="J4" s="45" t="s">
        <v>37</v>
      </c>
    </row>
    <row r="5" spans="1:13" ht="15.75" customHeight="1" x14ac:dyDescent="0.25"/>
    <row r="6" spans="1:13" x14ac:dyDescent="0.25">
      <c r="D6" s="4" t="s">
        <v>38</v>
      </c>
      <c r="F6" s="22" t="s">
        <v>100</v>
      </c>
      <c r="G6" s="14">
        <v>1.5</v>
      </c>
      <c r="H6" s="22" t="s">
        <v>85</v>
      </c>
      <c r="J6" s="81" t="s">
        <v>111</v>
      </c>
    </row>
    <row r="7" spans="1:13" x14ac:dyDescent="0.25">
      <c r="D7" s="8" t="s">
        <v>76</v>
      </c>
      <c r="F7" s="22" t="s">
        <v>77</v>
      </c>
      <c r="G7" s="3">
        <f>a</f>
        <v>1.5</v>
      </c>
      <c r="H7" s="22" t="s">
        <v>52</v>
      </c>
      <c r="J7" s="81"/>
    </row>
    <row r="8" spans="1:13" x14ac:dyDescent="0.25">
      <c r="B8" t="s">
        <v>108</v>
      </c>
      <c r="D8" s="5" t="s">
        <v>33</v>
      </c>
      <c r="F8" s="22" t="s">
        <v>4</v>
      </c>
      <c r="G8" s="14">
        <v>9.81</v>
      </c>
      <c r="H8" s="22" t="s">
        <v>17</v>
      </c>
    </row>
    <row r="9" spans="1:13" x14ac:dyDescent="0.25">
      <c r="B9" s="14" t="s">
        <v>109</v>
      </c>
      <c r="C9" s="30"/>
      <c r="D9" s="5" t="s">
        <v>39</v>
      </c>
      <c r="F9" s="22" t="s">
        <v>14</v>
      </c>
      <c r="G9" s="14">
        <f xml:space="preserve"> 520/2*0.98/1000</f>
        <v>0.25479999999999997</v>
      </c>
      <c r="H9" s="22" t="s">
        <v>15</v>
      </c>
    </row>
    <row r="10" spans="1:13" x14ac:dyDescent="0.25">
      <c r="B10" s="21" t="s">
        <v>110</v>
      </c>
      <c r="C10" s="30"/>
      <c r="D10" s="8" t="s">
        <v>49</v>
      </c>
      <c r="F10" s="22" t="s">
        <v>104</v>
      </c>
      <c r="G10" s="21">
        <f>Mt*g*(1-Ψ)</f>
        <v>1745.2881818181818</v>
      </c>
      <c r="H10" s="22" t="s">
        <v>16</v>
      </c>
    </row>
    <row r="11" spans="1:13" x14ac:dyDescent="0.25">
      <c r="B11" s="6"/>
      <c r="C11" s="6"/>
      <c r="D11" s="8" t="s">
        <v>50</v>
      </c>
      <c r="F11" s="22" t="s">
        <v>105</v>
      </c>
      <c r="G11" s="21">
        <f>Mt*g*Ψ</f>
        <v>1688.2118181818182</v>
      </c>
      <c r="H11" s="22" t="s">
        <v>16</v>
      </c>
    </row>
    <row r="12" spans="1:13" x14ac:dyDescent="0.25">
      <c r="B12" s="6"/>
      <c r="C12" s="6"/>
      <c r="D12" s="8" t="s">
        <v>51</v>
      </c>
      <c r="F12" s="22" t="s">
        <v>78</v>
      </c>
      <c r="G12" s="21">
        <f>Mt*g*(1 - Ψ + a*χ)</f>
        <v>2915.7995454545448</v>
      </c>
      <c r="H12" s="22" t="s">
        <v>16</v>
      </c>
    </row>
    <row r="13" spans="1:13" x14ac:dyDescent="0.25">
      <c r="B13" s="6"/>
      <c r="C13" s="6"/>
      <c r="D13" s="8" t="s">
        <v>74</v>
      </c>
      <c r="F13" s="22" t="s">
        <v>79</v>
      </c>
      <c r="G13" s="21">
        <f>Mt*g*(Ψ - a*χ)</f>
        <v>517.70045454545482</v>
      </c>
      <c r="H13" s="22" t="s">
        <v>16</v>
      </c>
    </row>
    <row r="14" spans="1:13" ht="15" customHeight="1" x14ac:dyDescent="0.25">
      <c r="B14" s="6"/>
      <c r="C14" s="6"/>
      <c r="D14" s="8" t="s">
        <v>32</v>
      </c>
      <c r="F14" s="22" t="s">
        <v>3</v>
      </c>
      <c r="G14" s="14">
        <v>0.55000000000000004</v>
      </c>
      <c r="H14" s="22" t="s">
        <v>103</v>
      </c>
    </row>
    <row r="15" spans="1:13" x14ac:dyDescent="0.25">
      <c r="B15" s="6"/>
      <c r="C15" s="6"/>
      <c r="D15" s="8" t="s">
        <v>80</v>
      </c>
      <c r="F15" s="22" t="s">
        <v>75</v>
      </c>
      <c r="G15" s="21">
        <f>(FzF_din/2)*mi_max*Rpneu + Iw*(a*g/Rpneu)</f>
        <v>588.97244070308238</v>
      </c>
      <c r="H15" s="22" t="s">
        <v>13</v>
      </c>
    </row>
    <row r="16" spans="1:13" x14ac:dyDescent="0.25">
      <c r="B16" s="6"/>
      <c r="C16" s="6"/>
      <c r="D16" s="8" t="s">
        <v>81</v>
      </c>
      <c r="F16" s="22" t="s">
        <v>86</v>
      </c>
      <c r="G16" s="21">
        <f>(FzR_din/2)*mi_max*Rpneu + Iw*(a*g/Rpneu)</f>
        <v>130.69570443035542</v>
      </c>
      <c r="H16" s="22" t="s">
        <v>13</v>
      </c>
    </row>
    <row r="17" spans="1:11" x14ac:dyDescent="0.25">
      <c r="B17" s="6"/>
      <c r="C17" s="6"/>
      <c r="D17" s="11" t="s">
        <v>151</v>
      </c>
      <c r="F17" s="22" t="s">
        <v>10</v>
      </c>
      <c r="G17" s="14">
        <f>(0.109+0.0808)/2</f>
        <v>9.4899999999999998E-2</v>
      </c>
      <c r="H17" s="22" t="s">
        <v>15</v>
      </c>
    </row>
    <row r="18" spans="1:11" x14ac:dyDescent="0.25">
      <c r="B18" s="6"/>
      <c r="C18" s="6"/>
      <c r="D18" s="11" t="s">
        <v>152</v>
      </c>
      <c r="F18" s="22" t="s">
        <v>21</v>
      </c>
      <c r="G18" s="14">
        <v>0.08</v>
      </c>
      <c r="H18" s="22" t="s">
        <v>15</v>
      </c>
    </row>
    <row r="19" spans="1:11" x14ac:dyDescent="0.25">
      <c r="C19" s="29"/>
      <c r="D19" s="11" t="s">
        <v>42</v>
      </c>
      <c r="F19" s="22" t="s">
        <v>19</v>
      </c>
      <c r="G19" s="14">
        <v>0.4</v>
      </c>
      <c r="H19" s="22" t="s">
        <v>97</v>
      </c>
    </row>
    <row r="20" spans="1:11" x14ac:dyDescent="0.25">
      <c r="D20" s="8" t="s">
        <v>107</v>
      </c>
      <c r="F20" s="22" t="s">
        <v>6</v>
      </c>
      <c r="G20" s="21">
        <f>(Tmax/Rdiscf)/2</f>
        <v>3103.1213946421622</v>
      </c>
      <c r="H20" s="22" t="s">
        <v>12</v>
      </c>
      <c r="J20" t="s">
        <v>119</v>
      </c>
    </row>
    <row r="21" spans="1:11" x14ac:dyDescent="0.25">
      <c r="D21" s="8" t="s">
        <v>106</v>
      </c>
      <c r="F21" s="22" t="s">
        <v>7</v>
      </c>
      <c r="G21" s="21">
        <f>(Tmax_R/Rdiscr)/2</f>
        <v>816.84815268972136</v>
      </c>
      <c r="H21" s="22" t="s">
        <v>12</v>
      </c>
      <c r="J21" t="s">
        <v>119</v>
      </c>
    </row>
    <row r="22" spans="1:11" ht="15" customHeight="1" x14ac:dyDescent="0.25">
      <c r="B22" s="29"/>
      <c r="C22" s="29"/>
      <c r="D22" s="11" t="s">
        <v>89</v>
      </c>
      <c r="F22" s="22" t="s">
        <v>87</v>
      </c>
      <c r="G22" s="21">
        <f>Fatf/mi</f>
        <v>7757.8034866054049</v>
      </c>
      <c r="H22" s="22" t="s">
        <v>12</v>
      </c>
      <c r="J22" s="2"/>
      <c r="K22" s="2"/>
    </row>
    <row r="23" spans="1:11" x14ac:dyDescent="0.25">
      <c r="B23" s="29"/>
      <c r="C23" s="29"/>
      <c r="D23" s="11" t="s">
        <v>90</v>
      </c>
      <c r="F23" s="22" t="s">
        <v>88</v>
      </c>
      <c r="G23" s="21">
        <f>Fatr/mi</f>
        <v>2042.1203817243033</v>
      </c>
      <c r="H23" s="22" t="s">
        <v>12</v>
      </c>
      <c r="J23" s="2"/>
      <c r="K23" s="2"/>
    </row>
    <row r="24" spans="1:11" x14ac:dyDescent="0.25">
      <c r="A24" s="8"/>
      <c r="B24" s="8"/>
      <c r="C24" s="8"/>
      <c r="D24" s="8" t="s">
        <v>34</v>
      </c>
      <c r="F24" s="22" t="s">
        <v>8</v>
      </c>
      <c r="G24" s="14">
        <v>9.8174799999999995E-4</v>
      </c>
      <c r="H24" s="22" t="s">
        <v>18</v>
      </c>
      <c r="J24" s="9"/>
      <c r="K24" s="9"/>
    </row>
    <row r="25" spans="1:11" x14ac:dyDescent="0.25">
      <c r="A25" s="8"/>
      <c r="B25" s="8"/>
      <c r="C25" s="8"/>
      <c r="D25" s="8" t="s">
        <v>35</v>
      </c>
      <c r="F25" s="22" t="s">
        <v>9</v>
      </c>
      <c r="G25" s="14">
        <v>9.0791999999999999E-4</v>
      </c>
      <c r="H25" s="22" t="s">
        <v>18</v>
      </c>
      <c r="J25" s="9"/>
      <c r="K25" s="9"/>
    </row>
    <row r="26" spans="1:11" x14ac:dyDescent="0.25">
      <c r="D26" s="5" t="s">
        <v>92</v>
      </c>
      <c r="F26" s="22" t="s">
        <v>20</v>
      </c>
      <c r="G26" s="56">
        <f>Nf/Apistf</f>
        <v>7902031.3630436789</v>
      </c>
      <c r="H26" s="22" t="s">
        <v>22</v>
      </c>
    </row>
    <row r="27" spans="1:11" x14ac:dyDescent="0.25">
      <c r="D27" s="8" t="s">
        <v>93</v>
      </c>
      <c r="F27" s="22" t="s">
        <v>91</v>
      </c>
      <c r="G27" s="56">
        <f>Nr/Apistr</f>
        <v>2249229.4273992237</v>
      </c>
      <c r="H27" s="22" t="s">
        <v>22</v>
      </c>
    </row>
    <row r="28" spans="1:11" x14ac:dyDescent="0.25">
      <c r="D28" s="5" t="s">
        <v>36</v>
      </c>
      <c r="F28" s="22" t="s">
        <v>11</v>
      </c>
      <c r="G28" s="14">
        <f>198.057310615854/1000000</f>
        <v>1.9805731061585399E-4</v>
      </c>
      <c r="H28" s="22" t="s">
        <v>18</v>
      </c>
    </row>
    <row r="29" spans="1:11" x14ac:dyDescent="0.25">
      <c r="D29" s="8" t="s">
        <v>95</v>
      </c>
      <c r="F29" s="22" t="s">
        <v>98</v>
      </c>
      <c r="G29" s="21">
        <f>Pf*Acm</f>
        <v>1565.055080166562</v>
      </c>
      <c r="H29" s="22" t="s">
        <v>12</v>
      </c>
    </row>
    <row r="30" spans="1:11" x14ac:dyDescent="0.25">
      <c r="D30" s="8" t="s">
        <v>96</v>
      </c>
      <c r="F30" s="22" t="s">
        <v>99</v>
      </c>
      <c r="G30" s="21">
        <f>Pr*Acm</f>
        <v>445.47633134872746</v>
      </c>
      <c r="H30" s="22" t="s">
        <v>12</v>
      </c>
    </row>
    <row r="31" spans="1:11" x14ac:dyDescent="0.25">
      <c r="D31" s="8" t="s">
        <v>43</v>
      </c>
      <c r="F31" s="22" t="s">
        <v>0</v>
      </c>
      <c r="G31" s="20">
        <f>FpdF+FpdR</f>
        <v>2010.5314115152894</v>
      </c>
      <c r="H31" s="22" t="s">
        <v>12</v>
      </c>
    </row>
    <row r="32" spans="1:11" x14ac:dyDescent="0.25">
      <c r="D32" s="11" t="s">
        <v>150</v>
      </c>
      <c r="F32" s="22" t="s">
        <v>102</v>
      </c>
      <c r="G32" s="20">
        <f>FpdF/F_pd</f>
        <v>0.77842856431027729</v>
      </c>
      <c r="H32" s="22" t="s">
        <v>97</v>
      </c>
    </row>
    <row r="33" spans="4:8" x14ac:dyDescent="0.25">
      <c r="D33" s="8" t="s">
        <v>45</v>
      </c>
      <c r="F33" s="22" t="s">
        <v>2</v>
      </c>
      <c r="G33" s="14">
        <v>4.9000000000000004</v>
      </c>
      <c r="H33" s="22" t="s">
        <v>97</v>
      </c>
    </row>
    <row r="34" spans="4:8" x14ac:dyDescent="0.25">
      <c r="D34" s="5" t="s">
        <v>44</v>
      </c>
      <c r="F34" s="33" t="s">
        <v>1</v>
      </c>
      <c r="G34" s="34">
        <f>F_pd/rel_ped</f>
        <v>410.31253296230392</v>
      </c>
      <c r="H34" s="33" t="s">
        <v>12</v>
      </c>
    </row>
  </sheetData>
  <mergeCells count="2">
    <mergeCell ref="A1:M2"/>
    <mergeCell ref="J6:J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showGridLines="0" showRowColHeaders="0" zoomScaleNormal="100" workbookViewId="0">
      <selection activeCell="G25" sqref="G25"/>
    </sheetView>
  </sheetViews>
  <sheetFormatPr defaultRowHeight="15" x14ac:dyDescent="0.25"/>
  <cols>
    <col min="1" max="3" width="9.7109375" customWidth="1"/>
    <col min="4" max="4" width="46.28515625" customWidth="1"/>
    <col min="5" max="5" width="3.42578125" customWidth="1"/>
    <col min="6" max="6" width="12" customWidth="1"/>
    <col min="7" max="7" width="21.7109375" customWidth="1"/>
    <col min="8" max="8" width="11.85546875" customWidth="1"/>
    <col min="9" max="9" width="3.42578125" customWidth="1"/>
    <col min="10" max="10" width="49.140625" customWidth="1"/>
    <col min="11" max="11" width="9.85546875" customWidth="1"/>
  </cols>
  <sheetData>
    <row r="1" spans="1:16" ht="15" customHeight="1" x14ac:dyDescent="0.25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  <c r="N1" s="27"/>
      <c r="O1" s="27"/>
      <c r="P1" s="28"/>
    </row>
    <row r="2" spans="1:16" ht="15.75" customHeight="1" thickBot="1" x14ac:dyDescent="0.3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  <c r="N2" s="27"/>
      <c r="O2" s="27"/>
      <c r="P2" s="28"/>
    </row>
    <row r="3" spans="1:16" ht="15.75" customHeight="1" x14ac:dyDescent="0.25"/>
    <row r="4" spans="1:16" ht="15.75" customHeight="1" x14ac:dyDescent="0.25">
      <c r="D4" s="45" t="s">
        <v>30</v>
      </c>
      <c r="F4" s="45" t="s">
        <v>27</v>
      </c>
      <c r="G4" s="46" t="s">
        <v>28</v>
      </c>
      <c r="H4" s="45" t="s">
        <v>29</v>
      </c>
      <c r="J4" s="45" t="s">
        <v>37</v>
      </c>
    </row>
    <row r="5" spans="1:16" ht="15.75" customHeight="1" x14ac:dyDescent="0.25"/>
    <row r="6" spans="1:16" x14ac:dyDescent="0.25">
      <c r="D6" s="24" t="s">
        <v>23</v>
      </c>
      <c r="F6" s="22" t="s">
        <v>1</v>
      </c>
      <c r="G6" s="16">
        <v>411</v>
      </c>
      <c r="H6" s="22" t="s">
        <v>12</v>
      </c>
      <c r="I6" s="1"/>
    </row>
    <row r="7" spans="1:16" ht="15" customHeight="1" x14ac:dyDescent="0.25">
      <c r="D7" s="25" t="s">
        <v>25</v>
      </c>
      <c r="F7" s="22" t="s">
        <v>2</v>
      </c>
      <c r="G7" s="14">
        <v>4.9000000000000004</v>
      </c>
      <c r="H7" s="22" t="s">
        <v>97</v>
      </c>
      <c r="I7" s="1"/>
    </row>
    <row r="8" spans="1:16" x14ac:dyDescent="0.25">
      <c r="B8" t="s">
        <v>108</v>
      </c>
      <c r="D8" s="24" t="s">
        <v>24</v>
      </c>
      <c r="F8" s="22" t="s">
        <v>0</v>
      </c>
      <c r="G8" s="20">
        <f>Fpil*rel_pedal</f>
        <v>2013.9</v>
      </c>
      <c r="H8" s="22" t="s">
        <v>12</v>
      </c>
    </row>
    <row r="9" spans="1:16" x14ac:dyDescent="0.25">
      <c r="B9" s="14" t="s">
        <v>109</v>
      </c>
      <c r="D9" s="24" t="s">
        <v>26</v>
      </c>
      <c r="F9" s="22" t="s">
        <v>102</v>
      </c>
      <c r="G9" s="36">
        <f>Aceleração!G32</f>
        <v>0.77842856431027729</v>
      </c>
      <c r="H9" s="22" t="s">
        <v>97</v>
      </c>
    </row>
    <row r="10" spans="1:16" ht="15" customHeight="1" x14ac:dyDescent="0.25">
      <c r="B10" s="21" t="s">
        <v>110</v>
      </c>
      <c r="D10" s="25" t="s">
        <v>31</v>
      </c>
      <c r="F10" s="22" t="s">
        <v>101</v>
      </c>
      <c r="G10" s="3">
        <f xml:space="preserve"> 1 - G9</f>
        <v>0.22157143568972271</v>
      </c>
      <c r="H10" s="22" t="s">
        <v>97</v>
      </c>
    </row>
    <row r="11" spans="1:16" ht="15" customHeight="1" x14ac:dyDescent="0.25">
      <c r="D11" s="24" t="s">
        <v>39</v>
      </c>
      <c r="E11" s="2"/>
      <c r="F11" s="22" t="s">
        <v>14</v>
      </c>
      <c r="G11" s="14">
        <f>Rpneu</f>
        <v>0.25479999999999997</v>
      </c>
      <c r="H11" s="22" t="s">
        <v>15</v>
      </c>
    </row>
    <row r="12" spans="1:16" ht="15" customHeight="1" x14ac:dyDescent="0.25">
      <c r="D12" s="25" t="s">
        <v>32</v>
      </c>
      <c r="E12" s="2"/>
      <c r="F12" s="22" t="s">
        <v>3</v>
      </c>
      <c r="G12" s="14">
        <v>0.55000000000000004</v>
      </c>
      <c r="H12" s="22" t="s">
        <v>94</v>
      </c>
    </row>
    <row r="13" spans="1:16" ht="15" customHeight="1" x14ac:dyDescent="0.25">
      <c r="C13" s="7"/>
      <c r="D13" s="8" t="s">
        <v>95</v>
      </c>
      <c r="F13" s="22" t="s">
        <v>98</v>
      </c>
      <c r="G13" s="21">
        <f>(1-λ)*Fpd</f>
        <v>1567.6772856644675</v>
      </c>
      <c r="H13" s="22" t="s">
        <v>12</v>
      </c>
    </row>
    <row r="14" spans="1:16" ht="15" customHeight="1" x14ac:dyDescent="0.25">
      <c r="C14" s="7"/>
      <c r="D14" s="8" t="s">
        <v>96</v>
      </c>
      <c r="F14" s="22" t="s">
        <v>99</v>
      </c>
      <c r="G14" s="21">
        <f>(λ)*Fpd</f>
        <v>446.2227143355326</v>
      </c>
      <c r="H14" s="22" t="s">
        <v>12</v>
      </c>
    </row>
    <row r="15" spans="1:16" ht="15" customHeight="1" x14ac:dyDescent="0.25">
      <c r="C15" s="7"/>
      <c r="D15" s="8" t="s">
        <v>36</v>
      </c>
      <c r="F15" s="22" t="s">
        <v>11</v>
      </c>
      <c r="G15" s="14">
        <f>Acm</f>
        <v>1.9805731061585399E-4</v>
      </c>
      <c r="H15" s="22" t="s">
        <v>18</v>
      </c>
    </row>
    <row r="16" spans="1:16" ht="15" customHeight="1" x14ac:dyDescent="0.25">
      <c r="C16" s="7"/>
      <c r="D16" s="8" t="s">
        <v>34</v>
      </c>
      <c r="F16" s="22" t="s">
        <v>8</v>
      </c>
      <c r="G16" s="14">
        <v>9.8174799999999995E-4</v>
      </c>
      <c r="H16" s="22" t="s">
        <v>18</v>
      </c>
    </row>
    <row r="17" spans="3:8" ht="15" customHeight="1" x14ac:dyDescent="0.25">
      <c r="C17" s="7"/>
      <c r="D17" s="8" t="s">
        <v>35</v>
      </c>
      <c r="F17" s="22" t="s">
        <v>9</v>
      </c>
      <c r="G17" s="14">
        <v>9.0791999999999999E-4</v>
      </c>
      <c r="H17" s="22" t="s">
        <v>18</v>
      </c>
    </row>
    <row r="18" spans="3:8" ht="15" customHeight="1" x14ac:dyDescent="0.25">
      <c r="C18" s="7"/>
      <c r="D18" s="8" t="s">
        <v>92</v>
      </c>
      <c r="F18" s="22" t="s">
        <v>20</v>
      </c>
      <c r="G18" s="56">
        <f>(1-λ)*Fpd/A_cm</f>
        <v>7915270.9929758022</v>
      </c>
      <c r="H18" s="22" t="s">
        <v>22</v>
      </c>
    </row>
    <row r="19" spans="3:8" ht="15" customHeight="1" x14ac:dyDescent="0.25">
      <c r="C19" s="7"/>
      <c r="D19" s="8" t="s">
        <v>93</v>
      </c>
      <c r="F19" s="22" t="s">
        <v>91</v>
      </c>
      <c r="G19" s="56">
        <f>(λ)*Fpd/A_cm</f>
        <v>2252997.9476547209</v>
      </c>
      <c r="H19" s="22" t="s">
        <v>22</v>
      </c>
    </row>
    <row r="20" spans="3:8" ht="15" customHeight="1" x14ac:dyDescent="0.25">
      <c r="C20" s="7"/>
      <c r="D20" s="8"/>
      <c r="F20" s="22" t="s">
        <v>87</v>
      </c>
      <c r="G20" s="21">
        <f>P_f*Apist_f</f>
        <v>7770.8014668120077</v>
      </c>
      <c r="H20" s="22" t="s">
        <v>12</v>
      </c>
    </row>
    <row r="21" spans="3:8" ht="15" customHeight="1" x14ac:dyDescent="0.25">
      <c r="C21" s="7"/>
      <c r="D21" s="8"/>
      <c r="F21" s="22" t="s">
        <v>88</v>
      </c>
      <c r="G21" s="21">
        <f>P_r*Apist_r</f>
        <v>2045.5418966346742</v>
      </c>
      <c r="H21" s="22" t="s">
        <v>12</v>
      </c>
    </row>
    <row r="22" spans="3:8" ht="15" customHeight="1" x14ac:dyDescent="0.25">
      <c r="C22" s="7"/>
      <c r="D22" s="8"/>
      <c r="F22" s="22" t="s">
        <v>19</v>
      </c>
      <c r="G22" s="14">
        <v>0.4</v>
      </c>
      <c r="H22" s="22" t="s">
        <v>97</v>
      </c>
    </row>
    <row r="23" spans="3:8" ht="15" customHeight="1" x14ac:dyDescent="0.25">
      <c r="C23" s="7"/>
      <c r="D23" s="8" t="s">
        <v>40</v>
      </c>
      <c r="F23" s="22" t="s">
        <v>6</v>
      </c>
      <c r="G23" s="21">
        <f>N_f*mi_at</f>
        <v>3108.3205867248034</v>
      </c>
      <c r="H23" s="22" t="s">
        <v>12</v>
      </c>
    </row>
    <row r="24" spans="3:8" ht="15" customHeight="1" x14ac:dyDescent="0.25">
      <c r="C24" s="7"/>
      <c r="D24" s="8" t="s">
        <v>41</v>
      </c>
      <c r="F24" s="22" t="s">
        <v>7</v>
      </c>
      <c r="G24" s="21">
        <f>N_r*mi_at</f>
        <v>818.21675865386976</v>
      </c>
      <c r="H24" s="22" t="s">
        <v>12</v>
      </c>
    </row>
    <row r="25" spans="3:8" ht="15" customHeight="1" x14ac:dyDescent="0.25">
      <c r="C25" s="7"/>
      <c r="D25" s="8" t="s">
        <v>151</v>
      </c>
      <c r="F25" s="22" t="s">
        <v>10</v>
      </c>
      <c r="G25" s="14">
        <f>Rdiscf</f>
        <v>9.4899999999999998E-2</v>
      </c>
      <c r="H25" s="22" t="s">
        <v>15</v>
      </c>
    </row>
    <row r="26" spans="3:8" ht="15" customHeight="1" x14ac:dyDescent="0.25">
      <c r="C26" s="7"/>
      <c r="D26" s="11" t="s">
        <v>152</v>
      </c>
      <c r="F26" s="22" t="s">
        <v>21</v>
      </c>
      <c r="G26" s="14">
        <v>0.08</v>
      </c>
      <c r="H26" s="22" t="s">
        <v>15</v>
      </c>
    </row>
    <row r="27" spans="3:8" ht="15" customHeight="1" x14ac:dyDescent="0.25">
      <c r="C27" s="7"/>
      <c r="D27" s="8" t="s">
        <v>80</v>
      </c>
      <c r="F27" s="22" t="s">
        <v>75</v>
      </c>
      <c r="G27" s="21">
        <f>2*Fat_f*Rdf</f>
        <v>589.95924736036773</v>
      </c>
      <c r="H27" s="22" t="s">
        <v>13</v>
      </c>
    </row>
    <row r="28" spans="3:8" ht="15" customHeight="1" x14ac:dyDescent="0.25">
      <c r="C28" s="7"/>
      <c r="D28" s="8" t="s">
        <v>81</v>
      </c>
      <c r="F28" s="22" t="s">
        <v>86</v>
      </c>
      <c r="G28" s="21">
        <f>2*Fat_r*Rdr</f>
        <v>130.91468138461917</v>
      </c>
      <c r="H28" s="22" t="s">
        <v>13</v>
      </c>
    </row>
    <row r="29" spans="3:8" ht="15" customHeight="1" x14ac:dyDescent="0.25">
      <c r="C29" s="25"/>
      <c r="D29" s="11" t="s">
        <v>156</v>
      </c>
      <c r="F29" s="22" t="s">
        <v>154</v>
      </c>
      <c r="G29" s="70">
        <f>((2*Rp*T_max) - (Mt*g*(1-Ψ)*mi_max*Rp^2))/((Mt*g*χ*mi_max*Rp^2)+(2*I_w*g))*g</f>
        <v>14.771844709685135</v>
      </c>
      <c r="H29" s="22" t="s">
        <v>17</v>
      </c>
    </row>
    <row r="30" spans="3:8" ht="15" customHeight="1" x14ac:dyDescent="0.25">
      <c r="C30" s="7"/>
      <c r="D30" s="71" t="s">
        <v>155</v>
      </c>
      <c r="E30" s="57"/>
      <c r="F30" s="58" t="s">
        <v>5</v>
      </c>
      <c r="G30" s="59" t="str">
        <f>IF(G29/g&lt;=a,G29/g,"Roda travada")</f>
        <v>Roda travada</v>
      </c>
      <c r="H30" s="22" t="s">
        <v>85</v>
      </c>
    </row>
    <row r="33" ht="15.75" customHeight="1" x14ac:dyDescent="0.25"/>
  </sheetData>
  <mergeCells count="1">
    <mergeCell ref="A1:M2"/>
  </mergeCells>
  <conditionalFormatting sqref="G30">
    <cfRule type="cellIs" dxfId="0" priority="1" operator="equal">
      <formula>"Roda travada"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5FF7-236D-41E8-8145-6A10F1623DA0}">
  <dimension ref="B3:K220"/>
  <sheetViews>
    <sheetView showGridLines="0" workbookViewId="0">
      <selection activeCell="G41" sqref="G41:G220"/>
    </sheetView>
  </sheetViews>
  <sheetFormatPr defaultRowHeight="15" x14ac:dyDescent="0.25"/>
  <cols>
    <col min="2" max="3" width="17.28515625" customWidth="1"/>
    <col min="4" max="5" width="14.85546875" customWidth="1"/>
    <col min="6" max="6" width="16.7109375" customWidth="1"/>
    <col min="7" max="9" width="19.28515625" customWidth="1"/>
    <col min="10" max="10" width="4.85546875" customWidth="1"/>
    <col min="11" max="11" width="10.7109375" style="10" customWidth="1"/>
    <col min="13" max="13" width="20.140625" bestFit="1" customWidth="1"/>
  </cols>
  <sheetData>
    <row r="3" spans="2:11" x14ac:dyDescent="0.25">
      <c r="B3" s="69" t="s">
        <v>123</v>
      </c>
      <c r="C3" s="90" t="s">
        <v>53</v>
      </c>
      <c r="D3" s="91"/>
      <c r="E3" s="92"/>
      <c r="F3" s="41" t="s">
        <v>134</v>
      </c>
      <c r="G3" s="41" t="s">
        <v>149</v>
      </c>
      <c r="I3" s="10" t="s">
        <v>108</v>
      </c>
    </row>
    <row r="4" spans="2:11" ht="17.25" x14ac:dyDescent="0.25">
      <c r="B4" s="69" t="s">
        <v>56</v>
      </c>
      <c r="C4" s="68" t="s">
        <v>138</v>
      </c>
      <c r="D4" s="91" t="s">
        <v>57</v>
      </c>
      <c r="E4" s="92"/>
      <c r="F4" s="41" t="s">
        <v>135</v>
      </c>
      <c r="G4" s="41" t="s">
        <v>135</v>
      </c>
      <c r="I4" s="14" t="s">
        <v>109</v>
      </c>
    </row>
    <row r="5" spans="2:11" x14ac:dyDescent="0.25">
      <c r="B5" s="36">
        <f>100/3.6</f>
        <v>27.777777777777779</v>
      </c>
      <c r="C5" s="14">
        <f>Aceleração!G6</f>
        <v>1.5</v>
      </c>
      <c r="D5" s="96">
        <f>ag*g</f>
        <v>14.715</v>
      </c>
      <c r="E5" s="96"/>
      <c r="F5" s="42">
        <f>Vi/a</f>
        <v>1.8877185034167705</v>
      </c>
      <c r="G5" s="55">
        <v>0.1</v>
      </c>
      <c r="I5" s="21" t="s">
        <v>110</v>
      </c>
    </row>
    <row r="7" spans="2:11" x14ac:dyDescent="0.25">
      <c r="B7" s="12" t="s">
        <v>122</v>
      </c>
      <c r="C7" s="13" t="s">
        <v>121</v>
      </c>
      <c r="D7" s="88" t="s">
        <v>54</v>
      </c>
      <c r="E7" s="88"/>
      <c r="F7" s="88"/>
      <c r="G7" s="12" t="s">
        <v>131</v>
      </c>
    </row>
    <row r="8" spans="2:11" ht="17.25" x14ac:dyDescent="0.25">
      <c r="B8" s="12" t="s">
        <v>55</v>
      </c>
      <c r="C8" s="12" t="s">
        <v>58</v>
      </c>
      <c r="D8" s="90" t="s">
        <v>59</v>
      </c>
      <c r="E8" s="91"/>
      <c r="F8" s="92"/>
      <c r="G8" s="12" t="s">
        <v>60</v>
      </c>
    </row>
    <row r="9" spans="2:11" x14ac:dyDescent="0.25">
      <c r="B9" s="14">
        <v>2.5999999999999999E-2</v>
      </c>
      <c r="C9" s="15">
        <v>1.2922</v>
      </c>
      <c r="D9" s="93">
        <f>17.2/1000000</f>
        <v>1.7199999999999998E-5</v>
      </c>
      <c r="E9" s="94"/>
      <c r="F9" s="95"/>
      <c r="G9" s="16">
        <f>1.004832*1000</f>
        <v>1004.832</v>
      </c>
    </row>
    <row r="11" spans="2:11" x14ac:dyDescent="0.25">
      <c r="B11" s="90" t="s">
        <v>130</v>
      </c>
      <c r="C11" s="92"/>
      <c r="D11" s="90" t="s">
        <v>61</v>
      </c>
      <c r="E11" s="92"/>
      <c r="F11" s="90" t="s">
        <v>132</v>
      </c>
      <c r="G11" s="92"/>
      <c r="H11" s="90" t="s">
        <v>129</v>
      </c>
      <c r="I11" s="92"/>
    </row>
    <row r="12" spans="2:11" ht="17.25" x14ac:dyDescent="0.25">
      <c r="B12" s="90" t="s">
        <v>55</v>
      </c>
      <c r="C12" s="92"/>
      <c r="D12" s="90" t="s">
        <v>120</v>
      </c>
      <c r="E12" s="92"/>
      <c r="F12" s="90" t="s">
        <v>60</v>
      </c>
      <c r="G12" s="92"/>
      <c r="H12" s="90" t="s">
        <v>128</v>
      </c>
      <c r="I12" s="92"/>
      <c r="K12" s="10" t="s">
        <v>70</v>
      </c>
    </row>
    <row r="13" spans="2:11" x14ac:dyDescent="0.25">
      <c r="B13" s="12" t="s">
        <v>140</v>
      </c>
      <c r="C13" s="12" t="s">
        <v>141</v>
      </c>
      <c r="D13" s="13" t="s">
        <v>140</v>
      </c>
      <c r="E13" s="13" t="s">
        <v>141</v>
      </c>
      <c r="F13" s="13" t="s">
        <v>140</v>
      </c>
      <c r="G13" s="13" t="s">
        <v>141</v>
      </c>
      <c r="H13" s="13" t="s">
        <v>140</v>
      </c>
      <c r="I13" s="13" t="s">
        <v>141</v>
      </c>
      <c r="K13" s="12" t="s">
        <v>62</v>
      </c>
    </row>
    <row r="14" spans="2:11" x14ac:dyDescent="0.25">
      <c r="B14" s="14">
        <v>1.2</v>
      </c>
      <c r="C14" s="14">
        <v>49.8</v>
      </c>
      <c r="D14" s="14">
        <v>2595</v>
      </c>
      <c r="E14" s="14">
        <v>7850</v>
      </c>
      <c r="F14" s="14">
        <v>1465</v>
      </c>
      <c r="G14" s="14">
        <v>486</v>
      </c>
      <c r="H14" s="32">
        <f>SQRT(k_p*rho_p*c_p)</f>
        <v>2135.8862329253402</v>
      </c>
      <c r="I14" s="32">
        <f>SQRT(k_d*rho_d*c_d)</f>
        <v>13783.757833043934</v>
      </c>
      <c r="K14" s="20">
        <f>1/(1+(ef_p/ef_d))</f>
        <v>0.86583329224733541</v>
      </c>
    </row>
    <row r="16" spans="2:11" x14ac:dyDescent="0.25">
      <c r="B16" s="12" t="s">
        <v>133</v>
      </c>
      <c r="C16" s="12" t="s">
        <v>63</v>
      </c>
      <c r="D16" s="12" t="s">
        <v>64</v>
      </c>
      <c r="E16" s="12" t="s">
        <v>142</v>
      </c>
      <c r="F16" s="90" t="s">
        <v>124</v>
      </c>
      <c r="G16" s="91"/>
      <c r="H16" s="92"/>
      <c r="I16" s="13" t="s">
        <v>71</v>
      </c>
      <c r="J16" s="88" t="s">
        <v>157</v>
      </c>
      <c r="K16" s="88"/>
    </row>
    <row r="17" spans="2:11" ht="17.25" x14ac:dyDescent="0.25">
      <c r="B17" s="12" t="s">
        <v>52</v>
      </c>
      <c r="C17" s="12" t="s">
        <v>125</v>
      </c>
      <c r="D17" s="12" t="s">
        <v>46</v>
      </c>
      <c r="E17" s="12" t="s">
        <v>46</v>
      </c>
      <c r="F17" s="12" t="s">
        <v>137</v>
      </c>
      <c r="G17" s="12" t="s">
        <v>136</v>
      </c>
      <c r="H17" s="12" t="s">
        <v>139</v>
      </c>
      <c r="I17" s="12" t="s">
        <v>126</v>
      </c>
      <c r="J17" s="88" t="s">
        <v>46</v>
      </c>
      <c r="K17" s="88"/>
    </row>
    <row r="18" spans="2:11" x14ac:dyDescent="0.25">
      <c r="B18" s="14">
        <f>mi</f>
        <v>0.4</v>
      </c>
      <c r="C18" s="44">
        <f>Pf</f>
        <v>7902031.3630436789</v>
      </c>
      <c r="D18" s="14">
        <f>Rpneu</f>
        <v>0.25479999999999997</v>
      </c>
      <c r="E18" s="32">
        <f>Vi/D18</f>
        <v>109.01796616082332</v>
      </c>
      <c r="F18" s="15">
        <f>80.8/1000</f>
        <v>8.0799999999999997E-2</v>
      </c>
      <c r="G18" s="35">
        <v>0.109</v>
      </c>
      <c r="H18" s="43">
        <f>(F18+r_d)/2</f>
        <v>9.4899999999999998E-2</v>
      </c>
      <c r="I18" s="37">
        <f>2*(360*PI()/360)*((r_d^2)-(rt^2))</f>
        <v>3.3629869710735727E-2</v>
      </c>
      <c r="J18" s="89">
        <f>2*Rdiscf</f>
        <v>0.1898</v>
      </c>
      <c r="K18" s="89"/>
    </row>
    <row r="21" spans="2:11" x14ac:dyDescent="0.25">
      <c r="B21" s="12" t="s">
        <v>65</v>
      </c>
      <c r="C21" s="12" t="s">
        <v>115</v>
      </c>
      <c r="D21" s="12" t="s">
        <v>66</v>
      </c>
      <c r="E21" s="12" t="s">
        <v>67</v>
      </c>
      <c r="F21" s="12" t="s">
        <v>68</v>
      </c>
      <c r="G21" s="90" t="s">
        <v>112</v>
      </c>
      <c r="H21" s="92"/>
      <c r="I21" s="13" t="s">
        <v>112</v>
      </c>
    </row>
    <row r="22" spans="2:11" ht="17.25" x14ac:dyDescent="0.25">
      <c r="B22" s="12" t="s">
        <v>69</v>
      </c>
      <c r="C22" s="12" t="s">
        <v>116</v>
      </c>
      <c r="D22" s="12" t="s">
        <v>153</v>
      </c>
      <c r="E22" s="12" t="s">
        <v>117</v>
      </c>
      <c r="F22" s="12" t="s">
        <v>118</v>
      </c>
      <c r="G22" s="26" t="s">
        <v>114</v>
      </c>
      <c r="H22" s="26" t="s">
        <v>113</v>
      </c>
      <c r="I22" s="13" t="s">
        <v>127</v>
      </c>
    </row>
    <row r="23" spans="2:11" x14ac:dyDescent="0.25">
      <c r="B23" s="12">
        <v>0</v>
      </c>
      <c r="C23" s="17">
        <f t="shared" ref="C23:C54" si="0">IFERROR(Vi-(a*B23),"-")</f>
        <v>27.777777777777779</v>
      </c>
      <c r="D23" s="39">
        <f>2*(Apistf)*gamma*mi_d*pmax*rm*omega0</f>
        <v>55593.924142780656</v>
      </c>
      <c r="E23" s="18">
        <f t="shared" ref="E23:E54" si="1">IFERROR((rho_ar*I*C23/mi_ar),"-")</f>
        <v>396091.02067183465</v>
      </c>
      <c r="F23" s="17">
        <f t="shared" ref="F23:F86" si="2">c_ar*mi_ar/k_ar</f>
        <v>0.66473501538461544</v>
      </c>
      <c r="G23" s="31">
        <f t="shared" ref="G23:G54" si="3">IFERROR(0.193*(E23^0.618)*(F23^0.33)*k_ar/(2*r_d),"-")</f>
        <v>57.940934457572631</v>
      </c>
      <c r="H23" s="31">
        <f t="shared" ref="H23:H54" si="4">IFERROR(0.027*(E23^0.805)*(F23^0.33)*k_ar/(2*r_d),"-")</f>
        <v>90.277518878071518</v>
      </c>
      <c r="I23" s="32">
        <f>IFERROR(IF(E23&lt;40000,G23,H23),"-")</f>
        <v>90.277518878071518</v>
      </c>
      <c r="J23" s="67"/>
      <c r="K23" s="38"/>
    </row>
    <row r="24" spans="2:11" x14ac:dyDescent="0.25">
      <c r="B24" s="26">
        <f t="shared" ref="B24:B55" si="5">IFERROR(IF(B23+time_stp&lt;ts,B23+time_stp,"-"),"-")</f>
        <v>0.1</v>
      </c>
      <c r="C24" s="17">
        <f t="shared" si="0"/>
        <v>26.30627777777778</v>
      </c>
      <c r="D24" s="40">
        <f t="shared" ref="D24:D55" si="6">IFERROR(D23*(1-(B23/ts)),"-")</f>
        <v>55593.924142780656</v>
      </c>
      <c r="E24" s="18">
        <f t="shared" si="1"/>
        <v>375108.49494276493</v>
      </c>
      <c r="F24" s="17">
        <f t="shared" si="2"/>
        <v>0.66473501538461544</v>
      </c>
      <c r="G24" s="31">
        <f t="shared" si="3"/>
        <v>56.024391838252768</v>
      </c>
      <c r="H24" s="31">
        <f t="shared" si="4"/>
        <v>86.407401750994438</v>
      </c>
      <c r="I24" s="32">
        <f t="shared" ref="I24:I87" si="7">IFERROR(IF(E24&lt;40000,G24,H24),"-")</f>
        <v>86.407401750994438</v>
      </c>
      <c r="J24" s="67"/>
    </row>
    <row r="25" spans="2:11" x14ac:dyDescent="0.25">
      <c r="B25" s="26">
        <f t="shared" si="5"/>
        <v>0.2</v>
      </c>
      <c r="C25" s="17">
        <f t="shared" si="0"/>
        <v>24.834777777777777</v>
      </c>
      <c r="D25" s="40">
        <f t="shared" si="6"/>
        <v>52648.891605240999</v>
      </c>
      <c r="E25" s="18">
        <f t="shared" si="1"/>
        <v>354125.96921369509</v>
      </c>
      <c r="F25" s="17">
        <f t="shared" si="2"/>
        <v>0.66473501538461544</v>
      </c>
      <c r="G25" s="31">
        <f t="shared" si="3"/>
        <v>54.066429808103344</v>
      </c>
      <c r="H25" s="31">
        <f t="shared" si="4"/>
        <v>82.494814794527812</v>
      </c>
      <c r="I25" s="32">
        <f t="shared" si="7"/>
        <v>82.494814794527812</v>
      </c>
      <c r="J25" s="67"/>
    </row>
    <row r="26" spans="2:11" x14ac:dyDescent="0.25">
      <c r="B26" s="26">
        <f t="shared" si="5"/>
        <v>0.30000000000000004</v>
      </c>
      <c r="C26" s="17">
        <f t="shared" si="0"/>
        <v>23.363277777777778</v>
      </c>
      <c r="D26" s="40">
        <f t="shared" si="6"/>
        <v>47070.846837448924</v>
      </c>
      <c r="E26" s="18">
        <f t="shared" si="1"/>
        <v>333143.44348462537</v>
      </c>
      <c r="F26" s="17">
        <f t="shared" si="2"/>
        <v>0.66473501538461544</v>
      </c>
      <c r="G26" s="31">
        <f t="shared" si="3"/>
        <v>52.06361407545873</v>
      </c>
      <c r="H26" s="31">
        <f t="shared" si="4"/>
        <v>78.536729996648063</v>
      </c>
      <c r="I26" s="32">
        <f t="shared" si="7"/>
        <v>78.536729996648063</v>
      </c>
      <c r="J26" s="67"/>
    </row>
    <row r="27" spans="2:11" x14ac:dyDescent="0.25">
      <c r="B27" s="26">
        <f t="shared" si="5"/>
        <v>0.4</v>
      </c>
      <c r="C27" s="17">
        <f t="shared" si="0"/>
        <v>21.891777777777779</v>
      </c>
      <c r="D27" s="40">
        <f t="shared" si="6"/>
        <v>39590.253716347863</v>
      </c>
      <c r="E27" s="18">
        <f t="shared" si="1"/>
        <v>312160.91775555559</v>
      </c>
      <c r="F27" s="17">
        <f t="shared" si="2"/>
        <v>0.66473501538461544</v>
      </c>
      <c r="G27" s="31">
        <f t="shared" si="3"/>
        <v>50.011987936662678</v>
      </c>
      <c r="H27" s="31">
        <f t="shared" si="4"/>
        <v>74.529697375815189</v>
      </c>
      <c r="I27" s="32">
        <f t="shared" si="7"/>
        <v>74.529697375815189</v>
      </c>
      <c r="J27" s="67"/>
    </row>
    <row r="28" spans="2:11" x14ac:dyDescent="0.25">
      <c r="B28" s="26">
        <f t="shared" si="5"/>
        <v>0.5</v>
      </c>
      <c r="C28" s="17">
        <f t="shared" si="0"/>
        <v>20.420277777777777</v>
      </c>
      <c r="D28" s="40">
        <f t="shared" si="6"/>
        <v>31201.237314868617</v>
      </c>
      <c r="E28" s="18">
        <f t="shared" si="1"/>
        <v>291178.39202648576</v>
      </c>
      <c r="F28" s="17">
        <f t="shared" si="2"/>
        <v>0.66473501538461544</v>
      </c>
      <c r="G28" s="31">
        <f t="shared" si="3"/>
        <v>47.906951674583638</v>
      </c>
      <c r="H28" s="31">
        <f t="shared" si="4"/>
        <v>70.469753521780063</v>
      </c>
      <c r="I28" s="32">
        <f t="shared" si="7"/>
        <v>70.469753521780063</v>
      </c>
      <c r="J28" s="67"/>
      <c r="K28"/>
    </row>
    <row r="29" spans="2:11" x14ac:dyDescent="0.25">
      <c r="B29" s="26">
        <f t="shared" si="5"/>
        <v>0.6</v>
      </c>
      <c r="C29" s="17">
        <f t="shared" si="0"/>
        <v>18.948777777777778</v>
      </c>
      <c r="D29" s="40">
        <f t="shared" si="6"/>
        <v>22936.965587279366</v>
      </c>
      <c r="E29" s="18">
        <f t="shared" si="1"/>
        <v>270195.86629741604</v>
      </c>
      <c r="F29" s="17">
        <f t="shared" si="2"/>
        <v>0.66473501538461544</v>
      </c>
      <c r="G29" s="31">
        <f t="shared" si="3"/>
        <v>45.743103212676267</v>
      </c>
      <c r="H29" s="31">
        <f t="shared" si="4"/>
        <v>66.352302192374225</v>
      </c>
      <c r="I29" s="32">
        <f t="shared" si="7"/>
        <v>66.352302192374225</v>
      </c>
      <c r="J29" s="67"/>
    </row>
    <row r="30" spans="2:11" x14ac:dyDescent="0.25">
      <c r="B30" s="26">
        <f t="shared" si="5"/>
        <v>0.7</v>
      </c>
      <c r="C30" s="17">
        <f t="shared" si="0"/>
        <v>17.477277777777779</v>
      </c>
      <c r="D30" s="40">
        <f t="shared" si="6"/>
        <v>15646.588697156143</v>
      </c>
      <c r="E30" s="18">
        <f t="shared" si="1"/>
        <v>249213.34056834629</v>
      </c>
      <c r="F30" s="17">
        <f t="shared" si="2"/>
        <v>0.66473501538461544</v>
      </c>
      <c r="G30" s="31">
        <f t="shared" si="3"/>
        <v>43.514023513734408</v>
      </c>
      <c r="H30" s="31">
        <f t="shared" si="4"/>
        <v>62.171955552039563</v>
      </c>
      <c r="I30" s="32">
        <f t="shared" si="7"/>
        <v>62.171955552039563</v>
      </c>
      <c r="J30" s="67"/>
    </row>
    <row r="31" spans="2:11" x14ac:dyDescent="0.25">
      <c r="B31" s="26">
        <f t="shared" si="5"/>
        <v>0.79999999999999993</v>
      </c>
      <c r="C31" s="17">
        <f t="shared" si="0"/>
        <v>16.00577777777778</v>
      </c>
      <c r="D31" s="40">
        <f t="shared" si="6"/>
        <v>9844.551969654096</v>
      </c>
      <c r="E31" s="18">
        <f t="shared" si="1"/>
        <v>228230.81483927654</v>
      </c>
      <c r="F31" s="17">
        <f t="shared" si="2"/>
        <v>0.66473501538461544</v>
      </c>
      <c r="G31" s="31">
        <f t="shared" si="3"/>
        <v>41.211981142688437</v>
      </c>
      <c r="H31" s="31">
        <f t="shared" si="4"/>
        <v>57.922318596987843</v>
      </c>
      <c r="I31" s="32">
        <f t="shared" si="7"/>
        <v>57.922318596987843</v>
      </c>
      <c r="J31" s="67"/>
    </row>
    <row r="32" spans="2:11" x14ac:dyDescent="0.25">
      <c r="B32" s="26">
        <f t="shared" si="5"/>
        <v>0.89999999999999991</v>
      </c>
      <c r="C32" s="17">
        <f t="shared" si="0"/>
        <v>14.534277777777779</v>
      </c>
      <c r="D32" s="40">
        <f t="shared" si="6"/>
        <v>5672.5096013304483</v>
      </c>
      <c r="E32" s="18">
        <f t="shared" si="1"/>
        <v>207248.28911020677</v>
      </c>
      <c r="F32" s="17">
        <f t="shared" si="2"/>
        <v>0.66473501538461544</v>
      </c>
      <c r="G32" s="31">
        <f t="shared" si="3"/>
        <v>38.827515029885525</v>
      </c>
      <c r="H32" s="31">
        <f t="shared" si="4"/>
        <v>53.595689205789974</v>
      </c>
      <c r="I32" s="32">
        <f t="shared" si="7"/>
        <v>53.595689205789974</v>
      </c>
      <c r="J32" s="67"/>
    </row>
    <row r="33" spans="2:10" x14ac:dyDescent="0.25">
      <c r="B33" s="26">
        <f t="shared" si="5"/>
        <v>0.99999999999999989</v>
      </c>
      <c r="C33" s="17">
        <f t="shared" si="0"/>
        <v>13.06277777777778</v>
      </c>
      <c r="D33" s="40">
        <f t="shared" si="6"/>
        <v>2968.0498887425356</v>
      </c>
      <c r="E33" s="18">
        <f t="shared" si="1"/>
        <v>186265.76338113702</v>
      </c>
      <c r="F33" s="17">
        <f t="shared" si="2"/>
        <v>0.66473501538461544</v>
      </c>
      <c r="G33" s="31">
        <f t="shared" si="3"/>
        <v>36.348827258296261</v>
      </c>
      <c r="H33" s="31">
        <f t="shared" si="4"/>
        <v>49.182628639962353</v>
      </c>
      <c r="I33" s="32">
        <f t="shared" si="7"/>
        <v>49.182628639962353</v>
      </c>
      <c r="J33" s="67"/>
    </row>
    <row r="34" spans="2:10" x14ac:dyDescent="0.25">
      <c r="B34" s="26">
        <f t="shared" si="5"/>
        <v>1.0999999999999999</v>
      </c>
      <c r="C34" s="17">
        <f t="shared" si="0"/>
        <v>11.59127777777778</v>
      </c>
      <c r="D34" s="40">
        <f t="shared" si="6"/>
        <v>1395.7551406800649</v>
      </c>
      <c r="E34" s="18">
        <f t="shared" si="1"/>
        <v>165283.23765206721</v>
      </c>
      <c r="F34" s="17">
        <f t="shared" si="2"/>
        <v>0.66473501538461544</v>
      </c>
      <c r="G34" s="31">
        <f t="shared" si="3"/>
        <v>33.760867102843825</v>
      </c>
      <c r="H34" s="31">
        <f t="shared" si="4"/>
        <v>44.671325098039361</v>
      </c>
      <c r="I34" s="32">
        <f t="shared" si="7"/>
        <v>44.671325098039361</v>
      </c>
      <c r="J34" s="67"/>
    </row>
    <row r="35" spans="2:10" x14ac:dyDescent="0.25">
      <c r="B35" s="26">
        <f t="shared" si="5"/>
        <v>1.2</v>
      </c>
      <c r="C35" s="17">
        <f t="shared" si="0"/>
        <v>10.119777777777781</v>
      </c>
      <c r="D35" s="40">
        <f t="shared" si="6"/>
        <v>582.42907963382163</v>
      </c>
      <c r="E35" s="18">
        <f t="shared" si="1"/>
        <v>144300.71192299746</v>
      </c>
      <c r="F35" s="17">
        <f t="shared" si="2"/>
        <v>0.66473501538461544</v>
      </c>
      <c r="G35" s="31">
        <f t="shared" si="3"/>
        <v>31.043887696185287</v>
      </c>
      <c r="H35" s="31">
        <f t="shared" si="4"/>
        <v>40.046610465977636</v>
      </c>
      <c r="I35" s="32">
        <f t="shared" si="7"/>
        <v>40.046610465977636</v>
      </c>
      <c r="J35" s="67"/>
    </row>
    <row r="36" spans="2:10" x14ac:dyDescent="0.25">
      <c r="B36" s="26">
        <f t="shared" si="5"/>
        <v>1.3</v>
      </c>
      <c r="C36" s="17">
        <f t="shared" si="0"/>
        <v>8.6482777777777784</v>
      </c>
      <c r="D36" s="40">
        <f t="shared" si="6"/>
        <v>212.18590285955688</v>
      </c>
      <c r="E36" s="18">
        <f t="shared" si="1"/>
        <v>123318.18619392767</v>
      </c>
      <c r="F36" s="17">
        <f t="shared" si="2"/>
        <v>0.66473501538461544</v>
      </c>
      <c r="G36" s="31">
        <f t="shared" si="3"/>
        <v>28.17104466652092</v>
      </c>
      <c r="H36" s="31">
        <f t="shared" si="4"/>
        <v>35.288360410721793</v>
      </c>
      <c r="I36" s="32">
        <f t="shared" si="7"/>
        <v>35.288360410721793</v>
      </c>
      <c r="J36" s="67"/>
    </row>
    <row r="37" spans="2:10" x14ac:dyDescent="0.25">
      <c r="B37" s="26">
        <f t="shared" si="5"/>
        <v>1.4000000000000001</v>
      </c>
      <c r="C37" s="17">
        <f t="shared" si="0"/>
        <v>7.1767777777777759</v>
      </c>
      <c r="D37" s="40">
        <f t="shared" si="6"/>
        <v>66.061534624488715</v>
      </c>
      <c r="E37" s="18">
        <f t="shared" si="1"/>
        <v>102335.66046485785</v>
      </c>
      <c r="F37" s="17">
        <f t="shared" si="2"/>
        <v>0.66473501538461544</v>
      </c>
      <c r="G37" s="31">
        <f t="shared" si="3"/>
        <v>25.104112410972345</v>
      </c>
      <c r="H37" s="31">
        <f t="shared" si="4"/>
        <v>30.36871210495892</v>
      </c>
      <c r="I37" s="32">
        <f t="shared" si="7"/>
        <v>30.36871210495892</v>
      </c>
      <c r="J37" s="67"/>
    </row>
    <row r="38" spans="2:10" x14ac:dyDescent="0.25">
      <c r="B38" s="26">
        <f t="shared" si="5"/>
        <v>1.5000000000000002</v>
      </c>
      <c r="C38" s="17">
        <f t="shared" si="0"/>
        <v>5.705277777777777</v>
      </c>
      <c r="D38" s="40">
        <f t="shared" si="6"/>
        <v>17.067922331721398</v>
      </c>
      <c r="E38" s="18">
        <f t="shared" si="1"/>
        <v>81353.134735788102</v>
      </c>
      <c r="F38" s="17">
        <f t="shared" si="2"/>
        <v>0.66473501538461544</v>
      </c>
      <c r="G38" s="31">
        <f t="shared" si="3"/>
        <v>21.78509706846102</v>
      </c>
      <c r="H38" s="31">
        <f t="shared" si="4"/>
        <v>25.246777180995764</v>
      </c>
      <c r="I38" s="32">
        <f t="shared" si="7"/>
        <v>25.246777180995764</v>
      </c>
      <c r="J38" s="67"/>
    </row>
    <row r="39" spans="2:10" x14ac:dyDescent="0.25">
      <c r="B39" s="26">
        <f t="shared" si="5"/>
        <v>1.6000000000000003</v>
      </c>
      <c r="C39" s="17">
        <f t="shared" si="0"/>
        <v>4.2337777777777745</v>
      </c>
      <c r="D39" s="40">
        <f t="shared" si="6"/>
        <v>3.5055805677122556</v>
      </c>
      <c r="E39" s="18">
        <f t="shared" si="1"/>
        <v>60370.60900671831</v>
      </c>
      <c r="F39" s="17">
        <f t="shared" si="2"/>
        <v>0.66473501538461544</v>
      </c>
      <c r="G39" s="31">
        <f t="shared" si="3"/>
        <v>18.117504635085954</v>
      </c>
      <c r="H39" s="31">
        <f t="shared" si="4"/>
        <v>19.857255114123923</v>
      </c>
      <c r="I39" s="32">
        <f t="shared" si="7"/>
        <v>19.857255114123923</v>
      </c>
      <c r="J39" s="67"/>
    </row>
    <row r="40" spans="2:10" x14ac:dyDescent="0.25">
      <c r="B40" s="26">
        <f t="shared" si="5"/>
        <v>1.7000000000000004</v>
      </c>
      <c r="C40" s="17">
        <f t="shared" si="0"/>
        <v>2.7622777777777721</v>
      </c>
      <c r="D40" s="40">
        <f t="shared" si="6"/>
        <v>0.53430656780843078</v>
      </c>
      <c r="E40" s="18">
        <f t="shared" si="1"/>
        <v>39388.083277648497</v>
      </c>
      <c r="F40" s="17">
        <f t="shared" si="2"/>
        <v>0.66473501538461544</v>
      </c>
      <c r="G40" s="31">
        <f t="shared" si="3"/>
        <v>13.915014481290541</v>
      </c>
      <c r="H40" s="31">
        <f t="shared" si="4"/>
        <v>14.080670776530384</v>
      </c>
      <c r="I40" s="32">
        <f t="shared" si="7"/>
        <v>13.915014481290541</v>
      </c>
      <c r="J40" s="67"/>
    </row>
    <row r="41" spans="2:10" x14ac:dyDescent="0.25">
      <c r="B41" s="26">
        <f t="shared" si="5"/>
        <v>1.8000000000000005</v>
      </c>
      <c r="C41" s="17">
        <f t="shared" si="0"/>
        <v>1.2907777777777731</v>
      </c>
      <c r="D41" s="40">
        <f t="shared" si="6"/>
        <v>5.3132513716005872E-2</v>
      </c>
      <c r="E41" s="18">
        <f t="shared" si="1"/>
        <v>18405.557548578745</v>
      </c>
      <c r="F41" s="17">
        <f t="shared" si="2"/>
        <v>0.66473501538461544</v>
      </c>
      <c r="G41" s="31">
        <f t="shared" si="3"/>
        <v>8.6953417417098091</v>
      </c>
      <c r="H41" s="31">
        <f t="shared" si="4"/>
        <v>7.6320036462961873</v>
      </c>
      <c r="I41" s="32">
        <f t="shared" si="7"/>
        <v>8.6953417417098091</v>
      </c>
      <c r="J41" s="67"/>
    </row>
    <row r="42" spans="2:10" x14ac:dyDescent="0.25">
      <c r="B42" s="26" t="str">
        <f t="shared" si="5"/>
        <v>-</v>
      </c>
      <c r="C42" s="17" t="str">
        <f t="shared" si="0"/>
        <v>-</v>
      </c>
      <c r="D42" s="40">
        <f t="shared" si="6"/>
        <v>2.4689616473553464E-3</v>
      </c>
      <c r="E42" s="18" t="str">
        <f t="shared" si="1"/>
        <v>-</v>
      </c>
      <c r="F42" s="17">
        <f t="shared" si="2"/>
        <v>0.66473501538461544</v>
      </c>
      <c r="G42" s="31" t="str">
        <f t="shared" si="3"/>
        <v>-</v>
      </c>
      <c r="H42" s="31" t="str">
        <f t="shared" si="4"/>
        <v>-</v>
      </c>
      <c r="I42" s="32" t="str">
        <f t="shared" si="7"/>
        <v>-</v>
      </c>
      <c r="J42" s="66"/>
    </row>
    <row r="43" spans="2:10" x14ac:dyDescent="0.25">
      <c r="B43" s="26" t="str">
        <f t="shared" si="5"/>
        <v>-</v>
      </c>
      <c r="C43" s="17" t="str">
        <f t="shared" si="0"/>
        <v>-</v>
      </c>
      <c r="D43" s="40" t="str">
        <f t="shared" si="6"/>
        <v>-</v>
      </c>
      <c r="E43" s="18" t="str">
        <f t="shared" si="1"/>
        <v>-</v>
      </c>
      <c r="F43" s="17">
        <f t="shared" si="2"/>
        <v>0.66473501538461544</v>
      </c>
      <c r="G43" s="31" t="str">
        <f t="shared" si="3"/>
        <v>-</v>
      </c>
      <c r="H43" s="31" t="str">
        <f t="shared" si="4"/>
        <v>-</v>
      </c>
      <c r="I43" s="32" t="str">
        <f t="shared" si="7"/>
        <v>-</v>
      </c>
      <c r="J43" s="66"/>
    </row>
    <row r="44" spans="2:10" x14ac:dyDescent="0.25">
      <c r="B44" s="26" t="str">
        <f t="shared" si="5"/>
        <v>-</v>
      </c>
      <c r="C44" s="17" t="str">
        <f t="shared" si="0"/>
        <v>-</v>
      </c>
      <c r="D44" s="40" t="str">
        <f t="shared" si="6"/>
        <v>-</v>
      </c>
      <c r="E44" s="18" t="str">
        <f t="shared" si="1"/>
        <v>-</v>
      </c>
      <c r="F44" s="17">
        <f t="shared" si="2"/>
        <v>0.66473501538461544</v>
      </c>
      <c r="G44" s="31" t="str">
        <f t="shared" si="3"/>
        <v>-</v>
      </c>
      <c r="H44" s="31" t="str">
        <f t="shared" si="4"/>
        <v>-</v>
      </c>
      <c r="I44" s="32" t="str">
        <f t="shared" si="7"/>
        <v>-</v>
      </c>
      <c r="J44" s="66"/>
    </row>
    <row r="45" spans="2:10" x14ac:dyDescent="0.25">
      <c r="B45" s="26" t="str">
        <f t="shared" si="5"/>
        <v>-</v>
      </c>
      <c r="C45" s="17" t="str">
        <f t="shared" si="0"/>
        <v>-</v>
      </c>
      <c r="D45" s="40" t="str">
        <f t="shared" si="6"/>
        <v>-</v>
      </c>
      <c r="E45" s="18" t="str">
        <f t="shared" si="1"/>
        <v>-</v>
      </c>
      <c r="F45" s="17">
        <f t="shared" si="2"/>
        <v>0.66473501538461544</v>
      </c>
      <c r="G45" s="31" t="str">
        <f t="shared" si="3"/>
        <v>-</v>
      </c>
      <c r="H45" s="31" t="str">
        <f t="shared" si="4"/>
        <v>-</v>
      </c>
      <c r="I45" s="32" t="str">
        <f t="shared" si="7"/>
        <v>-</v>
      </c>
      <c r="J45" s="66"/>
    </row>
    <row r="46" spans="2:10" x14ac:dyDescent="0.25">
      <c r="B46" s="26" t="str">
        <f t="shared" si="5"/>
        <v>-</v>
      </c>
      <c r="C46" s="17" t="str">
        <f t="shared" si="0"/>
        <v>-</v>
      </c>
      <c r="D46" s="40" t="str">
        <f t="shared" si="6"/>
        <v>-</v>
      </c>
      <c r="E46" s="18" t="str">
        <f t="shared" si="1"/>
        <v>-</v>
      </c>
      <c r="F46" s="17">
        <f t="shared" si="2"/>
        <v>0.66473501538461544</v>
      </c>
      <c r="G46" s="31" t="str">
        <f t="shared" si="3"/>
        <v>-</v>
      </c>
      <c r="H46" s="31" t="str">
        <f t="shared" si="4"/>
        <v>-</v>
      </c>
      <c r="I46" s="32" t="str">
        <f t="shared" si="7"/>
        <v>-</v>
      </c>
      <c r="J46" s="66"/>
    </row>
    <row r="47" spans="2:10" x14ac:dyDescent="0.25">
      <c r="B47" s="26" t="str">
        <f t="shared" si="5"/>
        <v>-</v>
      </c>
      <c r="C47" s="17" t="str">
        <f t="shared" si="0"/>
        <v>-</v>
      </c>
      <c r="D47" s="40" t="str">
        <f t="shared" si="6"/>
        <v>-</v>
      </c>
      <c r="E47" s="18" t="str">
        <f t="shared" si="1"/>
        <v>-</v>
      </c>
      <c r="F47" s="17">
        <f t="shared" si="2"/>
        <v>0.66473501538461544</v>
      </c>
      <c r="G47" s="31" t="str">
        <f t="shared" si="3"/>
        <v>-</v>
      </c>
      <c r="H47" s="31" t="str">
        <f t="shared" si="4"/>
        <v>-</v>
      </c>
      <c r="I47" s="32" t="str">
        <f t="shared" si="7"/>
        <v>-</v>
      </c>
      <c r="J47" s="66"/>
    </row>
    <row r="48" spans="2:10" x14ac:dyDescent="0.25">
      <c r="B48" s="26" t="str">
        <f t="shared" si="5"/>
        <v>-</v>
      </c>
      <c r="C48" s="17" t="str">
        <f t="shared" si="0"/>
        <v>-</v>
      </c>
      <c r="D48" s="40" t="str">
        <f t="shared" si="6"/>
        <v>-</v>
      </c>
      <c r="E48" s="18" t="str">
        <f t="shared" si="1"/>
        <v>-</v>
      </c>
      <c r="F48" s="17">
        <f t="shared" si="2"/>
        <v>0.66473501538461544</v>
      </c>
      <c r="G48" s="31" t="str">
        <f t="shared" si="3"/>
        <v>-</v>
      </c>
      <c r="H48" s="31" t="str">
        <f t="shared" si="4"/>
        <v>-</v>
      </c>
      <c r="I48" s="32" t="str">
        <f t="shared" si="7"/>
        <v>-</v>
      </c>
      <c r="J48" s="66"/>
    </row>
    <row r="49" spans="2:10" x14ac:dyDescent="0.25">
      <c r="B49" s="26" t="str">
        <f t="shared" si="5"/>
        <v>-</v>
      </c>
      <c r="C49" s="17" t="str">
        <f t="shared" si="0"/>
        <v>-</v>
      </c>
      <c r="D49" s="40" t="str">
        <f t="shared" si="6"/>
        <v>-</v>
      </c>
      <c r="E49" s="18" t="str">
        <f t="shared" si="1"/>
        <v>-</v>
      </c>
      <c r="F49" s="17">
        <f t="shared" si="2"/>
        <v>0.66473501538461544</v>
      </c>
      <c r="G49" s="31" t="str">
        <f t="shared" si="3"/>
        <v>-</v>
      </c>
      <c r="H49" s="31" t="str">
        <f t="shared" si="4"/>
        <v>-</v>
      </c>
      <c r="I49" s="32" t="str">
        <f t="shared" si="7"/>
        <v>-</v>
      </c>
      <c r="J49" s="66"/>
    </row>
    <row r="50" spans="2:10" x14ac:dyDescent="0.25">
      <c r="B50" s="26" t="str">
        <f t="shared" si="5"/>
        <v>-</v>
      </c>
      <c r="C50" s="17" t="str">
        <f t="shared" si="0"/>
        <v>-</v>
      </c>
      <c r="D50" s="40" t="str">
        <f t="shared" si="6"/>
        <v>-</v>
      </c>
      <c r="E50" s="18" t="str">
        <f t="shared" si="1"/>
        <v>-</v>
      </c>
      <c r="F50" s="17">
        <f t="shared" si="2"/>
        <v>0.66473501538461544</v>
      </c>
      <c r="G50" s="31" t="str">
        <f t="shared" si="3"/>
        <v>-</v>
      </c>
      <c r="H50" s="31" t="str">
        <f t="shared" si="4"/>
        <v>-</v>
      </c>
      <c r="I50" s="32" t="str">
        <f t="shared" si="7"/>
        <v>-</v>
      </c>
      <c r="J50" s="66"/>
    </row>
    <row r="51" spans="2:10" x14ac:dyDescent="0.25">
      <c r="B51" s="26" t="str">
        <f t="shared" si="5"/>
        <v>-</v>
      </c>
      <c r="C51" s="17" t="str">
        <f t="shared" si="0"/>
        <v>-</v>
      </c>
      <c r="D51" s="40" t="str">
        <f t="shared" si="6"/>
        <v>-</v>
      </c>
      <c r="E51" s="18" t="str">
        <f t="shared" si="1"/>
        <v>-</v>
      </c>
      <c r="F51" s="17">
        <f t="shared" si="2"/>
        <v>0.66473501538461544</v>
      </c>
      <c r="G51" s="31" t="str">
        <f t="shared" si="3"/>
        <v>-</v>
      </c>
      <c r="H51" s="31" t="str">
        <f t="shared" si="4"/>
        <v>-</v>
      </c>
      <c r="I51" s="32" t="str">
        <f t="shared" si="7"/>
        <v>-</v>
      </c>
      <c r="J51" s="66"/>
    </row>
    <row r="52" spans="2:10" x14ac:dyDescent="0.25">
      <c r="B52" s="26" t="str">
        <f t="shared" si="5"/>
        <v>-</v>
      </c>
      <c r="C52" s="17" t="str">
        <f t="shared" si="0"/>
        <v>-</v>
      </c>
      <c r="D52" s="40" t="str">
        <f t="shared" si="6"/>
        <v>-</v>
      </c>
      <c r="E52" s="18" t="str">
        <f t="shared" si="1"/>
        <v>-</v>
      </c>
      <c r="F52" s="17">
        <f t="shared" si="2"/>
        <v>0.66473501538461544</v>
      </c>
      <c r="G52" s="31" t="str">
        <f t="shared" si="3"/>
        <v>-</v>
      </c>
      <c r="H52" s="31" t="str">
        <f t="shared" si="4"/>
        <v>-</v>
      </c>
      <c r="I52" s="32" t="str">
        <f t="shared" si="7"/>
        <v>-</v>
      </c>
      <c r="J52" s="66"/>
    </row>
    <row r="53" spans="2:10" x14ac:dyDescent="0.25">
      <c r="B53" s="26" t="str">
        <f t="shared" si="5"/>
        <v>-</v>
      </c>
      <c r="C53" s="17" t="str">
        <f t="shared" si="0"/>
        <v>-</v>
      </c>
      <c r="D53" s="40" t="str">
        <f t="shared" si="6"/>
        <v>-</v>
      </c>
      <c r="E53" s="18" t="str">
        <f t="shared" si="1"/>
        <v>-</v>
      </c>
      <c r="F53" s="17">
        <f t="shared" si="2"/>
        <v>0.66473501538461544</v>
      </c>
      <c r="G53" s="31" t="str">
        <f t="shared" si="3"/>
        <v>-</v>
      </c>
      <c r="H53" s="31" t="str">
        <f t="shared" si="4"/>
        <v>-</v>
      </c>
      <c r="I53" s="32" t="str">
        <f t="shared" si="7"/>
        <v>-</v>
      </c>
      <c r="J53" s="66"/>
    </row>
    <row r="54" spans="2:10" x14ac:dyDescent="0.25">
      <c r="B54" s="26" t="str">
        <f t="shared" si="5"/>
        <v>-</v>
      </c>
      <c r="C54" s="17" t="str">
        <f t="shared" si="0"/>
        <v>-</v>
      </c>
      <c r="D54" s="40" t="str">
        <f t="shared" si="6"/>
        <v>-</v>
      </c>
      <c r="E54" s="18" t="str">
        <f t="shared" si="1"/>
        <v>-</v>
      </c>
      <c r="F54" s="17">
        <f t="shared" si="2"/>
        <v>0.66473501538461544</v>
      </c>
      <c r="G54" s="31" t="str">
        <f t="shared" si="3"/>
        <v>-</v>
      </c>
      <c r="H54" s="31" t="str">
        <f t="shared" si="4"/>
        <v>-</v>
      </c>
      <c r="I54" s="32" t="str">
        <f t="shared" si="7"/>
        <v>-</v>
      </c>
      <c r="J54" s="66"/>
    </row>
    <row r="55" spans="2:10" x14ac:dyDescent="0.25">
      <c r="B55" s="26" t="str">
        <f t="shared" si="5"/>
        <v>-</v>
      </c>
      <c r="C55" s="17" t="str">
        <f t="shared" ref="C55:C86" si="8">IFERROR(Vi-(a*B55),"-")</f>
        <v>-</v>
      </c>
      <c r="D55" s="40" t="str">
        <f t="shared" si="6"/>
        <v>-</v>
      </c>
      <c r="E55" s="18" t="str">
        <f t="shared" ref="E55:E86" si="9">IFERROR((rho_ar*I*C55/mi_ar),"-")</f>
        <v>-</v>
      </c>
      <c r="F55" s="17">
        <f t="shared" si="2"/>
        <v>0.66473501538461544</v>
      </c>
      <c r="G55" s="31" t="str">
        <f t="shared" ref="G55:G86" si="10">IFERROR(0.193*(E55^0.618)*(F55^0.33)*k_ar/(2*r_d),"-")</f>
        <v>-</v>
      </c>
      <c r="H55" s="31" t="str">
        <f t="shared" ref="H55:H86" si="11">IFERROR(0.027*(E55^0.805)*(F55^0.33)*k_ar/(2*r_d),"-")</f>
        <v>-</v>
      </c>
      <c r="I55" s="32" t="str">
        <f t="shared" si="7"/>
        <v>-</v>
      </c>
      <c r="J55" s="66"/>
    </row>
    <row r="56" spans="2:10" x14ac:dyDescent="0.25">
      <c r="B56" s="26" t="str">
        <f t="shared" ref="B56:B87" si="12">IFERROR(IF(B55+time_stp&lt;ts,B55+time_stp,"-"),"-")</f>
        <v>-</v>
      </c>
      <c r="C56" s="17" t="str">
        <f t="shared" si="8"/>
        <v>-</v>
      </c>
      <c r="D56" s="40" t="str">
        <f t="shared" ref="D56:D87" si="13">IFERROR(D55*(1-(B55/ts)),"-")</f>
        <v>-</v>
      </c>
      <c r="E56" s="18" t="str">
        <f t="shared" si="9"/>
        <v>-</v>
      </c>
      <c r="F56" s="17">
        <f t="shared" si="2"/>
        <v>0.66473501538461544</v>
      </c>
      <c r="G56" s="31" t="str">
        <f t="shared" si="10"/>
        <v>-</v>
      </c>
      <c r="H56" s="31" t="str">
        <f t="shared" si="11"/>
        <v>-</v>
      </c>
      <c r="I56" s="32" t="str">
        <f t="shared" si="7"/>
        <v>-</v>
      </c>
      <c r="J56" s="66"/>
    </row>
    <row r="57" spans="2:10" x14ac:dyDescent="0.25">
      <c r="B57" s="26" t="str">
        <f t="shared" si="12"/>
        <v>-</v>
      </c>
      <c r="C57" s="17" t="str">
        <f t="shared" si="8"/>
        <v>-</v>
      </c>
      <c r="D57" s="40" t="str">
        <f t="shared" si="13"/>
        <v>-</v>
      </c>
      <c r="E57" s="18" t="str">
        <f t="shared" si="9"/>
        <v>-</v>
      </c>
      <c r="F57" s="17">
        <f t="shared" si="2"/>
        <v>0.66473501538461544</v>
      </c>
      <c r="G57" s="31" t="str">
        <f t="shared" si="10"/>
        <v>-</v>
      </c>
      <c r="H57" s="31" t="str">
        <f t="shared" si="11"/>
        <v>-</v>
      </c>
      <c r="I57" s="32" t="str">
        <f t="shared" si="7"/>
        <v>-</v>
      </c>
      <c r="J57" s="66"/>
    </row>
    <row r="58" spans="2:10" x14ac:dyDescent="0.25">
      <c r="B58" s="26" t="str">
        <f t="shared" si="12"/>
        <v>-</v>
      </c>
      <c r="C58" s="17" t="str">
        <f t="shared" si="8"/>
        <v>-</v>
      </c>
      <c r="D58" s="40" t="str">
        <f t="shared" si="13"/>
        <v>-</v>
      </c>
      <c r="E58" s="18" t="str">
        <f t="shared" si="9"/>
        <v>-</v>
      </c>
      <c r="F58" s="17">
        <f t="shared" si="2"/>
        <v>0.66473501538461544</v>
      </c>
      <c r="G58" s="31" t="str">
        <f t="shared" si="10"/>
        <v>-</v>
      </c>
      <c r="H58" s="31" t="str">
        <f t="shared" si="11"/>
        <v>-</v>
      </c>
      <c r="I58" s="32" t="str">
        <f t="shared" si="7"/>
        <v>-</v>
      </c>
      <c r="J58" s="66"/>
    </row>
    <row r="59" spans="2:10" x14ac:dyDescent="0.25">
      <c r="B59" s="26" t="str">
        <f t="shared" si="12"/>
        <v>-</v>
      </c>
      <c r="C59" s="17" t="str">
        <f t="shared" si="8"/>
        <v>-</v>
      </c>
      <c r="D59" s="40" t="str">
        <f t="shared" si="13"/>
        <v>-</v>
      </c>
      <c r="E59" s="18" t="str">
        <f t="shared" si="9"/>
        <v>-</v>
      </c>
      <c r="F59" s="17">
        <f t="shared" si="2"/>
        <v>0.66473501538461544</v>
      </c>
      <c r="G59" s="31" t="str">
        <f t="shared" si="10"/>
        <v>-</v>
      </c>
      <c r="H59" s="31" t="str">
        <f t="shared" si="11"/>
        <v>-</v>
      </c>
      <c r="I59" s="32" t="str">
        <f t="shared" si="7"/>
        <v>-</v>
      </c>
      <c r="J59" s="66"/>
    </row>
    <row r="60" spans="2:10" x14ac:dyDescent="0.25">
      <c r="B60" s="26" t="str">
        <f t="shared" si="12"/>
        <v>-</v>
      </c>
      <c r="C60" s="17" t="str">
        <f t="shared" si="8"/>
        <v>-</v>
      </c>
      <c r="D60" s="40" t="str">
        <f t="shared" si="13"/>
        <v>-</v>
      </c>
      <c r="E60" s="18" t="str">
        <f t="shared" si="9"/>
        <v>-</v>
      </c>
      <c r="F60" s="17">
        <f t="shared" si="2"/>
        <v>0.66473501538461544</v>
      </c>
      <c r="G60" s="31" t="str">
        <f t="shared" si="10"/>
        <v>-</v>
      </c>
      <c r="H60" s="31" t="str">
        <f t="shared" si="11"/>
        <v>-</v>
      </c>
      <c r="I60" s="32" t="str">
        <f t="shared" si="7"/>
        <v>-</v>
      </c>
      <c r="J60" s="66"/>
    </row>
    <row r="61" spans="2:10" x14ac:dyDescent="0.25">
      <c r="B61" s="26" t="str">
        <f t="shared" si="12"/>
        <v>-</v>
      </c>
      <c r="C61" s="17" t="str">
        <f t="shared" si="8"/>
        <v>-</v>
      </c>
      <c r="D61" s="40" t="str">
        <f t="shared" si="13"/>
        <v>-</v>
      </c>
      <c r="E61" s="18" t="str">
        <f t="shared" si="9"/>
        <v>-</v>
      </c>
      <c r="F61" s="17">
        <f t="shared" si="2"/>
        <v>0.66473501538461544</v>
      </c>
      <c r="G61" s="31" t="str">
        <f t="shared" si="10"/>
        <v>-</v>
      </c>
      <c r="H61" s="31" t="str">
        <f t="shared" si="11"/>
        <v>-</v>
      </c>
      <c r="I61" s="32" t="str">
        <f t="shared" si="7"/>
        <v>-</v>
      </c>
      <c r="J61" s="66"/>
    </row>
    <row r="62" spans="2:10" x14ac:dyDescent="0.25">
      <c r="B62" s="26" t="str">
        <f t="shared" si="12"/>
        <v>-</v>
      </c>
      <c r="C62" s="17" t="str">
        <f t="shared" si="8"/>
        <v>-</v>
      </c>
      <c r="D62" s="40" t="str">
        <f t="shared" si="13"/>
        <v>-</v>
      </c>
      <c r="E62" s="18" t="str">
        <f t="shared" si="9"/>
        <v>-</v>
      </c>
      <c r="F62" s="17">
        <f t="shared" si="2"/>
        <v>0.66473501538461544</v>
      </c>
      <c r="G62" s="31" t="str">
        <f t="shared" si="10"/>
        <v>-</v>
      </c>
      <c r="H62" s="31" t="str">
        <f t="shared" si="11"/>
        <v>-</v>
      </c>
      <c r="I62" s="32" t="str">
        <f t="shared" si="7"/>
        <v>-</v>
      </c>
      <c r="J62" s="66"/>
    </row>
    <row r="63" spans="2:10" x14ac:dyDescent="0.25">
      <c r="B63" s="26" t="str">
        <f t="shared" si="12"/>
        <v>-</v>
      </c>
      <c r="C63" s="17" t="str">
        <f t="shared" si="8"/>
        <v>-</v>
      </c>
      <c r="D63" s="40" t="str">
        <f t="shared" si="13"/>
        <v>-</v>
      </c>
      <c r="E63" s="18" t="str">
        <f t="shared" si="9"/>
        <v>-</v>
      </c>
      <c r="F63" s="17">
        <f t="shared" si="2"/>
        <v>0.66473501538461544</v>
      </c>
      <c r="G63" s="31" t="str">
        <f t="shared" si="10"/>
        <v>-</v>
      </c>
      <c r="H63" s="31" t="str">
        <f t="shared" si="11"/>
        <v>-</v>
      </c>
      <c r="I63" s="32" t="str">
        <f t="shared" si="7"/>
        <v>-</v>
      </c>
      <c r="J63" s="66"/>
    </row>
    <row r="64" spans="2:10" x14ac:dyDescent="0.25">
      <c r="B64" s="26" t="str">
        <f t="shared" si="12"/>
        <v>-</v>
      </c>
      <c r="C64" s="17" t="str">
        <f t="shared" si="8"/>
        <v>-</v>
      </c>
      <c r="D64" s="40" t="str">
        <f t="shared" si="13"/>
        <v>-</v>
      </c>
      <c r="E64" s="18" t="str">
        <f t="shared" si="9"/>
        <v>-</v>
      </c>
      <c r="F64" s="17">
        <f t="shared" si="2"/>
        <v>0.66473501538461544</v>
      </c>
      <c r="G64" s="31" t="str">
        <f t="shared" si="10"/>
        <v>-</v>
      </c>
      <c r="H64" s="31" t="str">
        <f t="shared" si="11"/>
        <v>-</v>
      </c>
      <c r="I64" s="32" t="str">
        <f t="shared" si="7"/>
        <v>-</v>
      </c>
      <c r="J64" s="66"/>
    </row>
    <row r="65" spans="2:10" x14ac:dyDescent="0.25">
      <c r="B65" s="26" t="str">
        <f t="shared" si="12"/>
        <v>-</v>
      </c>
      <c r="C65" s="17" t="str">
        <f t="shared" si="8"/>
        <v>-</v>
      </c>
      <c r="D65" s="40" t="str">
        <f t="shared" si="13"/>
        <v>-</v>
      </c>
      <c r="E65" s="18" t="str">
        <f t="shared" si="9"/>
        <v>-</v>
      </c>
      <c r="F65" s="17">
        <f t="shared" si="2"/>
        <v>0.66473501538461544</v>
      </c>
      <c r="G65" s="31" t="str">
        <f t="shared" si="10"/>
        <v>-</v>
      </c>
      <c r="H65" s="31" t="str">
        <f t="shared" si="11"/>
        <v>-</v>
      </c>
      <c r="I65" s="32" t="str">
        <f t="shared" si="7"/>
        <v>-</v>
      </c>
      <c r="J65" s="66"/>
    </row>
    <row r="66" spans="2:10" x14ac:dyDescent="0.25">
      <c r="B66" s="26" t="str">
        <f t="shared" si="12"/>
        <v>-</v>
      </c>
      <c r="C66" s="17" t="str">
        <f t="shared" si="8"/>
        <v>-</v>
      </c>
      <c r="D66" s="40" t="str">
        <f t="shared" si="13"/>
        <v>-</v>
      </c>
      <c r="E66" s="18" t="str">
        <f t="shared" si="9"/>
        <v>-</v>
      </c>
      <c r="F66" s="17">
        <f t="shared" si="2"/>
        <v>0.66473501538461544</v>
      </c>
      <c r="G66" s="31" t="str">
        <f t="shared" si="10"/>
        <v>-</v>
      </c>
      <c r="H66" s="31" t="str">
        <f t="shared" si="11"/>
        <v>-</v>
      </c>
      <c r="I66" s="32" t="str">
        <f t="shared" si="7"/>
        <v>-</v>
      </c>
      <c r="J66" s="66"/>
    </row>
    <row r="67" spans="2:10" x14ac:dyDescent="0.25">
      <c r="B67" s="26" t="str">
        <f t="shared" si="12"/>
        <v>-</v>
      </c>
      <c r="C67" s="17" t="str">
        <f t="shared" si="8"/>
        <v>-</v>
      </c>
      <c r="D67" s="40" t="str">
        <f t="shared" si="13"/>
        <v>-</v>
      </c>
      <c r="E67" s="18" t="str">
        <f t="shared" si="9"/>
        <v>-</v>
      </c>
      <c r="F67" s="17">
        <f t="shared" si="2"/>
        <v>0.66473501538461544</v>
      </c>
      <c r="G67" s="31" t="str">
        <f t="shared" si="10"/>
        <v>-</v>
      </c>
      <c r="H67" s="31" t="str">
        <f t="shared" si="11"/>
        <v>-</v>
      </c>
      <c r="I67" s="32" t="str">
        <f t="shared" si="7"/>
        <v>-</v>
      </c>
      <c r="J67" s="66"/>
    </row>
    <row r="68" spans="2:10" x14ac:dyDescent="0.25">
      <c r="B68" s="26" t="str">
        <f t="shared" si="12"/>
        <v>-</v>
      </c>
      <c r="C68" s="17" t="str">
        <f t="shared" si="8"/>
        <v>-</v>
      </c>
      <c r="D68" s="40" t="str">
        <f t="shared" si="13"/>
        <v>-</v>
      </c>
      <c r="E68" s="18" t="str">
        <f t="shared" si="9"/>
        <v>-</v>
      </c>
      <c r="F68" s="17">
        <f t="shared" si="2"/>
        <v>0.66473501538461544</v>
      </c>
      <c r="G68" s="31" t="str">
        <f t="shared" si="10"/>
        <v>-</v>
      </c>
      <c r="H68" s="31" t="str">
        <f t="shared" si="11"/>
        <v>-</v>
      </c>
      <c r="I68" s="32" t="str">
        <f t="shared" si="7"/>
        <v>-</v>
      </c>
      <c r="J68" s="66"/>
    </row>
    <row r="69" spans="2:10" x14ac:dyDescent="0.25">
      <c r="B69" s="26" t="str">
        <f t="shared" si="12"/>
        <v>-</v>
      </c>
      <c r="C69" s="17" t="str">
        <f t="shared" si="8"/>
        <v>-</v>
      </c>
      <c r="D69" s="40" t="str">
        <f t="shared" si="13"/>
        <v>-</v>
      </c>
      <c r="E69" s="18" t="str">
        <f t="shared" si="9"/>
        <v>-</v>
      </c>
      <c r="F69" s="17">
        <f t="shared" si="2"/>
        <v>0.66473501538461544</v>
      </c>
      <c r="G69" s="31" t="str">
        <f t="shared" si="10"/>
        <v>-</v>
      </c>
      <c r="H69" s="31" t="str">
        <f t="shared" si="11"/>
        <v>-</v>
      </c>
      <c r="I69" s="32" t="str">
        <f t="shared" si="7"/>
        <v>-</v>
      </c>
      <c r="J69" s="66"/>
    </row>
    <row r="70" spans="2:10" x14ac:dyDescent="0.25">
      <c r="B70" s="26" t="str">
        <f t="shared" si="12"/>
        <v>-</v>
      </c>
      <c r="C70" s="17" t="str">
        <f t="shared" si="8"/>
        <v>-</v>
      </c>
      <c r="D70" s="40" t="str">
        <f t="shared" si="13"/>
        <v>-</v>
      </c>
      <c r="E70" s="18" t="str">
        <f t="shared" si="9"/>
        <v>-</v>
      </c>
      <c r="F70" s="17">
        <f t="shared" si="2"/>
        <v>0.66473501538461544</v>
      </c>
      <c r="G70" s="31" t="str">
        <f t="shared" si="10"/>
        <v>-</v>
      </c>
      <c r="H70" s="31" t="str">
        <f t="shared" si="11"/>
        <v>-</v>
      </c>
      <c r="I70" s="32" t="str">
        <f t="shared" si="7"/>
        <v>-</v>
      </c>
      <c r="J70" s="66"/>
    </row>
    <row r="71" spans="2:10" x14ac:dyDescent="0.25">
      <c r="B71" s="26" t="str">
        <f t="shared" si="12"/>
        <v>-</v>
      </c>
      <c r="C71" s="17" t="str">
        <f t="shared" si="8"/>
        <v>-</v>
      </c>
      <c r="D71" s="40" t="str">
        <f t="shared" si="13"/>
        <v>-</v>
      </c>
      <c r="E71" s="18" t="str">
        <f t="shared" si="9"/>
        <v>-</v>
      </c>
      <c r="F71" s="17">
        <f t="shared" si="2"/>
        <v>0.66473501538461544</v>
      </c>
      <c r="G71" s="31" t="str">
        <f t="shared" si="10"/>
        <v>-</v>
      </c>
      <c r="H71" s="31" t="str">
        <f t="shared" si="11"/>
        <v>-</v>
      </c>
      <c r="I71" s="32" t="str">
        <f t="shared" si="7"/>
        <v>-</v>
      </c>
      <c r="J71" s="66"/>
    </row>
    <row r="72" spans="2:10" x14ac:dyDescent="0.25">
      <c r="B72" s="26" t="str">
        <f t="shared" si="12"/>
        <v>-</v>
      </c>
      <c r="C72" s="17" t="str">
        <f t="shared" si="8"/>
        <v>-</v>
      </c>
      <c r="D72" s="40" t="str">
        <f t="shared" si="13"/>
        <v>-</v>
      </c>
      <c r="E72" s="18" t="str">
        <f t="shared" si="9"/>
        <v>-</v>
      </c>
      <c r="F72" s="17">
        <f t="shared" si="2"/>
        <v>0.66473501538461544</v>
      </c>
      <c r="G72" s="31" t="str">
        <f t="shared" si="10"/>
        <v>-</v>
      </c>
      <c r="H72" s="31" t="str">
        <f t="shared" si="11"/>
        <v>-</v>
      </c>
      <c r="I72" s="32" t="str">
        <f t="shared" si="7"/>
        <v>-</v>
      </c>
      <c r="J72" s="66"/>
    </row>
    <row r="73" spans="2:10" x14ac:dyDescent="0.25">
      <c r="B73" s="26" t="str">
        <f t="shared" si="12"/>
        <v>-</v>
      </c>
      <c r="C73" s="17" t="str">
        <f t="shared" si="8"/>
        <v>-</v>
      </c>
      <c r="D73" s="40" t="str">
        <f t="shared" si="13"/>
        <v>-</v>
      </c>
      <c r="E73" s="18" t="str">
        <f t="shared" si="9"/>
        <v>-</v>
      </c>
      <c r="F73" s="17">
        <f t="shared" si="2"/>
        <v>0.66473501538461544</v>
      </c>
      <c r="G73" s="31" t="str">
        <f t="shared" si="10"/>
        <v>-</v>
      </c>
      <c r="H73" s="31" t="str">
        <f t="shared" si="11"/>
        <v>-</v>
      </c>
      <c r="I73" s="32" t="str">
        <f t="shared" si="7"/>
        <v>-</v>
      </c>
      <c r="J73" s="66"/>
    </row>
    <row r="74" spans="2:10" x14ac:dyDescent="0.25">
      <c r="B74" s="26" t="str">
        <f t="shared" si="12"/>
        <v>-</v>
      </c>
      <c r="C74" s="17" t="str">
        <f t="shared" si="8"/>
        <v>-</v>
      </c>
      <c r="D74" s="40" t="str">
        <f t="shared" si="13"/>
        <v>-</v>
      </c>
      <c r="E74" s="18" t="str">
        <f t="shared" si="9"/>
        <v>-</v>
      </c>
      <c r="F74" s="17">
        <f t="shared" si="2"/>
        <v>0.66473501538461544</v>
      </c>
      <c r="G74" s="31" t="str">
        <f t="shared" si="10"/>
        <v>-</v>
      </c>
      <c r="H74" s="31" t="str">
        <f t="shared" si="11"/>
        <v>-</v>
      </c>
      <c r="I74" s="32" t="str">
        <f t="shared" si="7"/>
        <v>-</v>
      </c>
      <c r="J74" s="66"/>
    </row>
    <row r="75" spans="2:10" x14ac:dyDescent="0.25">
      <c r="B75" s="26" t="str">
        <f t="shared" si="12"/>
        <v>-</v>
      </c>
      <c r="C75" s="17" t="str">
        <f t="shared" si="8"/>
        <v>-</v>
      </c>
      <c r="D75" s="40" t="str">
        <f t="shared" si="13"/>
        <v>-</v>
      </c>
      <c r="E75" s="18" t="str">
        <f t="shared" si="9"/>
        <v>-</v>
      </c>
      <c r="F75" s="17">
        <f t="shared" si="2"/>
        <v>0.66473501538461544</v>
      </c>
      <c r="G75" s="31" t="str">
        <f t="shared" si="10"/>
        <v>-</v>
      </c>
      <c r="H75" s="31" t="str">
        <f t="shared" si="11"/>
        <v>-</v>
      </c>
      <c r="I75" s="32" t="str">
        <f t="shared" si="7"/>
        <v>-</v>
      </c>
      <c r="J75" s="66"/>
    </row>
    <row r="76" spans="2:10" x14ac:dyDescent="0.25">
      <c r="B76" s="26" t="str">
        <f t="shared" si="12"/>
        <v>-</v>
      </c>
      <c r="C76" s="17" t="str">
        <f t="shared" si="8"/>
        <v>-</v>
      </c>
      <c r="D76" s="40" t="str">
        <f t="shared" si="13"/>
        <v>-</v>
      </c>
      <c r="E76" s="18" t="str">
        <f t="shared" si="9"/>
        <v>-</v>
      </c>
      <c r="F76" s="17">
        <f t="shared" si="2"/>
        <v>0.66473501538461544</v>
      </c>
      <c r="G76" s="31" t="str">
        <f t="shared" si="10"/>
        <v>-</v>
      </c>
      <c r="H76" s="31" t="str">
        <f t="shared" si="11"/>
        <v>-</v>
      </c>
      <c r="I76" s="32" t="str">
        <f t="shared" si="7"/>
        <v>-</v>
      </c>
      <c r="J76" s="66"/>
    </row>
    <row r="77" spans="2:10" x14ac:dyDescent="0.25">
      <c r="B77" s="26" t="str">
        <f t="shared" si="12"/>
        <v>-</v>
      </c>
      <c r="C77" s="17" t="str">
        <f t="shared" si="8"/>
        <v>-</v>
      </c>
      <c r="D77" s="40" t="str">
        <f t="shared" si="13"/>
        <v>-</v>
      </c>
      <c r="E77" s="18" t="str">
        <f t="shared" si="9"/>
        <v>-</v>
      </c>
      <c r="F77" s="17">
        <f t="shared" si="2"/>
        <v>0.66473501538461544</v>
      </c>
      <c r="G77" s="31" t="str">
        <f t="shared" si="10"/>
        <v>-</v>
      </c>
      <c r="H77" s="31" t="str">
        <f t="shared" si="11"/>
        <v>-</v>
      </c>
      <c r="I77" s="32" t="str">
        <f t="shared" si="7"/>
        <v>-</v>
      </c>
      <c r="J77" s="66"/>
    </row>
    <row r="78" spans="2:10" x14ac:dyDescent="0.25">
      <c r="B78" s="26" t="str">
        <f t="shared" si="12"/>
        <v>-</v>
      </c>
      <c r="C78" s="17" t="str">
        <f t="shared" si="8"/>
        <v>-</v>
      </c>
      <c r="D78" s="40" t="str">
        <f t="shared" si="13"/>
        <v>-</v>
      </c>
      <c r="E78" s="18" t="str">
        <f t="shared" si="9"/>
        <v>-</v>
      </c>
      <c r="F78" s="17">
        <f t="shared" si="2"/>
        <v>0.66473501538461544</v>
      </c>
      <c r="G78" s="31" t="str">
        <f t="shared" si="10"/>
        <v>-</v>
      </c>
      <c r="H78" s="31" t="str">
        <f t="shared" si="11"/>
        <v>-</v>
      </c>
      <c r="I78" s="32" t="str">
        <f t="shared" si="7"/>
        <v>-</v>
      </c>
      <c r="J78" s="66"/>
    </row>
    <row r="79" spans="2:10" x14ac:dyDescent="0.25">
      <c r="B79" s="26" t="str">
        <f t="shared" si="12"/>
        <v>-</v>
      </c>
      <c r="C79" s="17" t="str">
        <f t="shared" si="8"/>
        <v>-</v>
      </c>
      <c r="D79" s="40" t="str">
        <f t="shared" si="13"/>
        <v>-</v>
      </c>
      <c r="E79" s="18" t="str">
        <f t="shared" si="9"/>
        <v>-</v>
      </c>
      <c r="F79" s="17">
        <f t="shared" si="2"/>
        <v>0.66473501538461544</v>
      </c>
      <c r="G79" s="31" t="str">
        <f t="shared" si="10"/>
        <v>-</v>
      </c>
      <c r="H79" s="31" t="str">
        <f t="shared" si="11"/>
        <v>-</v>
      </c>
      <c r="I79" s="32" t="str">
        <f t="shared" si="7"/>
        <v>-</v>
      </c>
      <c r="J79" s="66"/>
    </row>
    <row r="80" spans="2:10" x14ac:dyDescent="0.25">
      <c r="B80" s="26" t="str">
        <f t="shared" si="12"/>
        <v>-</v>
      </c>
      <c r="C80" s="17" t="str">
        <f t="shared" si="8"/>
        <v>-</v>
      </c>
      <c r="D80" s="40" t="str">
        <f t="shared" si="13"/>
        <v>-</v>
      </c>
      <c r="E80" s="18" t="str">
        <f t="shared" si="9"/>
        <v>-</v>
      </c>
      <c r="F80" s="17">
        <f t="shared" si="2"/>
        <v>0.66473501538461544</v>
      </c>
      <c r="G80" s="31" t="str">
        <f t="shared" si="10"/>
        <v>-</v>
      </c>
      <c r="H80" s="31" t="str">
        <f t="shared" si="11"/>
        <v>-</v>
      </c>
      <c r="I80" s="32" t="str">
        <f t="shared" si="7"/>
        <v>-</v>
      </c>
      <c r="J80" s="66"/>
    </row>
    <row r="81" spans="2:10" x14ac:dyDescent="0.25">
      <c r="B81" s="26" t="str">
        <f t="shared" si="12"/>
        <v>-</v>
      </c>
      <c r="C81" s="17" t="str">
        <f t="shared" si="8"/>
        <v>-</v>
      </c>
      <c r="D81" s="40" t="str">
        <f t="shared" si="13"/>
        <v>-</v>
      </c>
      <c r="E81" s="18" t="str">
        <f t="shared" si="9"/>
        <v>-</v>
      </c>
      <c r="F81" s="17">
        <f t="shared" si="2"/>
        <v>0.66473501538461544</v>
      </c>
      <c r="G81" s="31" t="str">
        <f t="shared" si="10"/>
        <v>-</v>
      </c>
      <c r="H81" s="31" t="str">
        <f t="shared" si="11"/>
        <v>-</v>
      </c>
      <c r="I81" s="32" t="str">
        <f t="shared" si="7"/>
        <v>-</v>
      </c>
      <c r="J81" s="66"/>
    </row>
    <row r="82" spans="2:10" x14ac:dyDescent="0.25">
      <c r="B82" s="26" t="str">
        <f t="shared" si="12"/>
        <v>-</v>
      </c>
      <c r="C82" s="17" t="str">
        <f t="shared" si="8"/>
        <v>-</v>
      </c>
      <c r="D82" s="40" t="str">
        <f t="shared" si="13"/>
        <v>-</v>
      </c>
      <c r="E82" s="18" t="str">
        <f t="shared" si="9"/>
        <v>-</v>
      </c>
      <c r="F82" s="17">
        <f t="shared" si="2"/>
        <v>0.66473501538461544</v>
      </c>
      <c r="G82" s="31" t="str">
        <f t="shared" si="10"/>
        <v>-</v>
      </c>
      <c r="H82" s="31" t="str">
        <f t="shared" si="11"/>
        <v>-</v>
      </c>
      <c r="I82" s="32" t="str">
        <f t="shared" si="7"/>
        <v>-</v>
      </c>
      <c r="J82" s="66"/>
    </row>
    <row r="83" spans="2:10" x14ac:dyDescent="0.25">
      <c r="B83" s="26" t="str">
        <f t="shared" si="12"/>
        <v>-</v>
      </c>
      <c r="C83" s="17" t="str">
        <f t="shared" si="8"/>
        <v>-</v>
      </c>
      <c r="D83" s="40" t="str">
        <f t="shared" si="13"/>
        <v>-</v>
      </c>
      <c r="E83" s="18" t="str">
        <f t="shared" si="9"/>
        <v>-</v>
      </c>
      <c r="F83" s="17">
        <f t="shared" si="2"/>
        <v>0.66473501538461544</v>
      </c>
      <c r="G83" s="31" t="str">
        <f t="shared" si="10"/>
        <v>-</v>
      </c>
      <c r="H83" s="31" t="str">
        <f t="shared" si="11"/>
        <v>-</v>
      </c>
      <c r="I83" s="32" t="str">
        <f t="shared" si="7"/>
        <v>-</v>
      </c>
      <c r="J83" s="66"/>
    </row>
    <row r="84" spans="2:10" x14ac:dyDescent="0.25">
      <c r="B84" s="26" t="str">
        <f t="shared" si="12"/>
        <v>-</v>
      </c>
      <c r="C84" s="17" t="str">
        <f t="shared" si="8"/>
        <v>-</v>
      </c>
      <c r="D84" s="40" t="str">
        <f t="shared" si="13"/>
        <v>-</v>
      </c>
      <c r="E84" s="18" t="str">
        <f t="shared" si="9"/>
        <v>-</v>
      </c>
      <c r="F84" s="17">
        <f t="shared" si="2"/>
        <v>0.66473501538461544</v>
      </c>
      <c r="G84" s="31" t="str">
        <f t="shared" si="10"/>
        <v>-</v>
      </c>
      <c r="H84" s="31" t="str">
        <f t="shared" si="11"/>
        <v>-</v>
      </c>
      <c r="I84" s="32" t="str">
        <f t="shared" si="7"/>
        <v>-</v>
      </c>
      <c r="J84" s="66"/>
    </row>
    <row r="85" spans="2:10" x14ac:dyDescent="0.25">
      <c r="B85" s="26" t="str">
        <f t="shared" si="12"/>
        <v>-</v>
      </c>
      <c r="C85" s="17" t="str">
        <f t="shared" si="8"/>
        <v>-</v>
      </c>
      <c r="D85" s="40" t="str">
        <f t="shared" si="13"/>
        <v>-</v>
      </c>
      <c r="E85" s="18" t="str">
        <f t="shared" si="9"/>
        <v>-</v>
      </c>
      <c r="F85" s="17">
        <f t="shared" si="2"/>
        <v>0.66473501538461544</v>
      </c>
      <c r="G85" s="31" t="str">
        <f t="shared" si="10"/>
        <v>-</v>
      </c>
      <c r="H85" s="31" t="str">
        <f t="shared" si="11"/>
        <v>-</v>
      </c>
      <c r="I85" s="32" t="str">
        <f t="shared" si="7"/>
        <v>-</v>
      </c>
      <c r="J85" s="66"/>
    </row>
    <row r="86" spans="2:10" x14ac:dyDescent="0.25">
      <c r="B86" s="26" t="str">
        <f t="shared" si="12"/>
        <v>-</v>
      </c>
      <c r="C86" s="17" t="str">
        <f t="shared" si="8"/>
        <v>-</v>
      </c>
      <c r="D86" s="40" t="str">
        <f t="shared" si="13"/>
        <v>-</v>
      </c>
      <c r="E86" s="18" t="str">
        <f t="shared" si="9"/>
        <v>-</v>
      </c>
      <c r="F86" s="17">
        <f t="shared" si="2"/>
        <v>0.66473501538461544</v>
      </c>
      <c r="G86" s="31" t="str">
        <f t="shared" si="10"/>
        <v>-</v>
      </c>
      <c r="H86" s="31" t="str">
        <f t="shared" si="11"/>
        <v>-</v>
      </c>
      <c r="I86" s="32" t="str">
        <f t="shared" si="7"/>
        <v>-</v>
      </c>
      <c r="J86" s="66"/>
    </row>
    <row r="87" spans="2:10" x14ac:dyDescent="0.25">
      <c r="B87" s="26" t="str">
        <f t="shared" si="12"/>
        <v>-</v>
      </c>
      <c r="C87" s="17" t="str">
        <f t="shared" ref="C87:C118" si="14">IFERROR(Vi-(a*B87),"-")</f>
        <v>-</v>
      </c>
      <c r="D87" s="40" t="str">
        <f t="shared" si="13"/>
        <v>-</v>
      </c>
      <c r="E87" s="18" t="str">
        <f t="shared" ref="E87:E118" si="15">IFERROR((rho_ar*I*C87/mi_ar),"-")</f>
        <v>-</v>
      </c>
      <c r="F87" s="17">
        <f t="shared" ref="F87:F150" si="16">c_ar*mi_ar/k_ar</f>
        <v>0.66473501538461544</v>
      </c>
      <c r="G87" s="31" t="str">
        <f t="shared" ref="G87:G118" si="17">IFERROR(0.193*(E87^0.618)*(F87^0.33)*k_ar/(2*r_d),"-")</f>
        <v>-</v>
      </c>
      <c r="H87" s="31" t="str">
        <f t="shared" ref="H87:H118" si="18">IFERROR(0.027*(E87^0.805)*(F87^0.33)*k_ar/(2*r_d),"-")</f>
        <v>-</v>
      </c>
      <c r="I87" s="32" t="str">
        <f t="shared" si="7"/>
        <v>-</v>
      </c>
      <c r="J87" s="66"/>
    </row>
    <row r="88" spans="2:10" x14ac:dyDescent="0.25">
      <c r="B88" s="26" t="str">
        <f t="shared" ref="B88:B119" si="19">IFERROR(IF(B87+time_stp&lt;ts,B87+time_stp,"-"),"-")</f>
        <v>-</v>
      </c>
      <c r="C88" s="17" t="str">
        <f t="shared" si="14"/>
        <v>-</v>
      </c>
      <c r="D88" s="40" t="str">
        <f t="shared" ref="D88:D119" si="20">IFERROR(D87*(1-(B87/ts)),"-")</f>
        <v>-</v>
      </c>
      <c r="E88" s="18" t="str">
        <f t="shared" si="15"/>
        <v>-</v>
      </c>
      <c r="F88" s="17">
        <f t="shared" si="16"/>
        <v>0.66473501538461544</v>
      </c>
      <c r="G88" s="31" t="str">
        <f t="shared" si="17"/>
        <v>-</v>
      </c>
      <c r="H88" s="31" t="str">
        <f t="shared" si="18"/>
        <v>-</v>
      </c>
      <c r="I88" s="32" t="str">
        <f t="shared" ref="I88:I151" si="21">IFERROR(IF(E88&lt;40000,G88,H88),"-")</f>
        <v>-</v>
      </c>
      <c r="J88" s="66"/>
    </row>
    <row r="89" spans="2:10" x14ac:dyDescent="0.25">
      <c r="B89" s="26" t="str">
        <f t="shared" si="19"/>
        <v>-</v>
      </c>
      <c r="C89" s="17" t="str">
        <f t="shared" si="14"/>
        <v>-</v>
      </c>
      <c r="D89" s="40" t="str">
        <f t="shared" si="20"/>
        <v>-</v>
      </c>
      <c r="E89" s="18" t="str">
        <f t="shared" si="15"/>
        <v>-</v>
      </c>
      <c r="F89" s="17">
        <f t="shared" si="16"/>
        <v>0.66473501538461544</v>
      </c>
      <c r="G89" s="31" t="str">
        <f t="shared" si="17"/>
        <v>-</v>
      </c>
      <c r="H89" s="31" t="str">
        <f t="shared" si="18"/>
        <v>-</v>
      </c>
      <c r="I89" s="32" t="str">
        <f t="shared" si="21"/>
        <v>-</v>
      </c>
      <c r="J89" s="66"/>
    </row>
    <row r="90" spans="2:10" x14ac:dyDescent="0.25">
      <c r="B90" s="26" t="str">
        <f t="shared" si="19"/>
        <v>-</v>
      </c>
      <c r="C90" s="17" t="str">
        <f t="shared" si="14"/>
        <v>-</v>
      </c>
      <c r="D90" s="40" t="str">
        <f t="shared" si="20"/>
        <v>-</v>
      </c>
      <c r="E90" s="18" t="str">
        <f t="shared" si="15"/>
        <v>-</v>
      </c>
      <c r="F90" s="17">
        <f t="shared" si="16"/>
        <v>0.66473501538461544</v>
      </c>
      <c r="G90" s="31" t="str">
        <f t="shared" si="17"/>
        <v>-</v>
      </c>
      <c r="H90" s="31" t="str">
        <f t="shared" si="18"/>
        <v>-</v>
      </c>
      <c r="I90" s="32" t="str">
        <f t="shared" si="21"/>
        <v>-</v>
      </c>
      <c r="J90" s="66"/>
    </row>
    <row r="91" spans="2:10" x14ac:dyDescent="0.25">
      <c r="B91" s="26" t="str">
        <f t="shared" si="19"/>
        <v>-</v>
      </c>
      <c r="C91" s="17" t="str">
        <f t="shared" si="14"/>
        <v>-</v>
      </c>
      <c r="D91" s="40" t="str">
        <f t="shared" si="20"/>
        <v>-</v>
      </c>
      <c r="E91" s="18" t="str">
        <f t="shared" si="15"/>
        <v>-</v>
      </c>
      <c r="F91" s="17">
        <f t="shared" si="16"/>
        <v>0.66473501538461544</v>
      </c>
      <c r="G91" s="31" t="str">
        <f t="shared" si="17"/>
        <v>-</v>
      </c>
      <c r="H91" s="31" t="str">
        <f t="shared" si="18"/>
        <v>-</v>
      </c>
      <c r="I91" s="32" t="str">
        <f t="shared" si="21"/>
        <v>-</v>
      </c>
      <c r="J91" s="66"/>
    </row>
    <row r="92" spans="2:10" x14ac:dyDescent="0.25">
      <c r="B92" s="26" t="str">
        <f t="shared" si="19"/>
        <v>-</v>
      </c>
      <c r="C92" s="17" t="str">
        <f t="shared" si="14"/>
        <v>-</v>
      </c>
      <c r="D92" s="40" t="str">
        <f t="shared" si="20"/>
        <v>-</v>
      </c>
      <c r="E92" s="18" t="str">
        <f t="shared" si="15"/>
        <v>-</v>
      </c>
      <c r="F92" s="17">
        <f t="shared" si="16"/>
        <v>0.66473501538461544</v>
      </c>
      <c r="G92" s="31" t="str">
        <f t="shared" si="17"/>
        <v>-</v>
      </c>
      <c r="H92" s="31" t="str">
        <f t="shared" si="18"/>
        <v>-</v>
      </c>
      <c r="I92" s="32" t="str">
        <f t="shared" si="21"/>
        <v>-</v>
      </c>
      <c r="J92" s="66"/>
    </row>
    <row r="93" spans="2:10" x14ac:dyDescent="0.25">
      <c r="B93" s="26" t="str">
        <f t="shared" si="19"/>
        <v>-</v>
      </c>
      <c r="C93" s="17" t="str">
        <f t="shared" si="14"/>
        <v>-</v>
      </c>
      <c r="D93" s="40" t="str">
        <f t="shared" si="20"/>
        <v>-</v>
      </c>
      <c r="E93" s="18" t="str">
        <f t="shared" si="15"/>
        <v>-</v>
      </c>
      <c r="F93" s="17">
        <f t="shared" si="16"/>
        <v>0.66473501538461544</v>
      </c>
      <c r="G93" s="31" t="str">
        <f t="shared" si="17"/>
        <v>-</v>
      </c>
      <c r="H93" s="31" t="str">
        <f t="shared" si="18"/>
        <v>-</v>
      </c>
      <c r="I93" s="32" t="str">
        <f t="shared" si="21"/>
        <v>-</v>
      </c>
      <c r="J93" s="66"/>
    </row>
    <row r="94" spans="2:10" x14ac:dyDescent="0.25">
      <c r="B94" s="26" t="str">
        <f t="shared" si="19"/>
        <v>-</v>
      </c>
      <c r="C94" s="17" t="str">
        <f t="shared" si="14"/>
        <v>-</v>
      </c>
      <c r="D94" s="40" t="str">
        <f t="shared" si="20"/>
        <v>-</v>
      </c>
      <c r="E94" s="18" t="str">
        <f t="shared" si="15"/>
        <v>-</v>
      </c>
      <c r="F94" s="17">
        <f t="shared" si="16"/>
        <v>0.66473501538461544</v>
      </c>
      <c r="G94" s="31" t="str">
        <f t="shared" si="17"/>
        <v>-</v>
      </c>
      <c r="H94" s="31" t="str">
        <f t="shared" si="18"/>
        <v>-</v>
      </c>
      <c r="I94" s="32" t="str">
        <f t="shared" si="21"/>
        <v>-</v>
      </c>
      <c r="J94" s="66"/>
    </row>
    <row r="95" spans="2:10" x14ac:dyDescent="0.25">
      <c r="B95" s="26" t="str">
        <f t="shared" si="19"/>
        <v>-</v>
      </c>
      <c r="C95" s="17" t="str">
        <f t="shared" si="14"/>
        <v>-</v>
      </c>
      <c r="D95" s="40" t="str">
        <f t="shared" si="20"/>
        <v>-</v>
      </c>
      <c r="E95" s="18" t="str">
        <f t="shared" si="15"/>
        <v>-</v>
      </c>
      <c r="F95" s="17">
        <f t="shared" si="16"/>
        <v>0.66473501538461544</v>
      </c>
      <c r="G95" s="31" t="str">
        <f t="shared" si="17"/>
        <v>-</v>
      </c>
      <c r="H95" s="31" t="str">
        <f t="shared" si="18"/>
        <v>-</v>
      </c>
      <c r="I95" s="32" t="str">
        <f t="shared" si="21"/>
        <v>-</v>
      </c>
      <c r="J95" s="66"/>
    </row>
    <row r="96" spans="2:10" x14ac:dyDescent="0.25">
      <c r="B96" s="26" t="str">
        <f t="shared" si="19"/>
        <v>-</v>
      </c>
      <c r="C96" s="17" t="str">
        <f t="shared" si="14"/>
        <v>-</v>
      </c>
      <c r="D96" s="40" t="str">
        <f t="shared" si="20"/>
        <v>-</v>
      </c>
      <c r="E96" s="18" t="str">
        <f t="shared" si="15"/>
        <v>-</v>
      </c>
      <c r="F96" s="17">
        <f t="shared" si="16"/>
        <v>0.66473501538461544</v>
      </c>
      <c r="G96" s="31" t="str">
        <f t="shared" si="17"/>
        <v>-</v>
      </c>
      <c r="H96" s="31" t="str">
        <f t="shared" si="18"/>
        <v>-</v>
      </c>
      <c r="I96" s="32" t="str">
        <f t="shared" si="21"/>
        <v>-</v>
      </c>
      <c r="J96" s="66"/>
    </row>
    <row r="97" spans="2:10" x14ac:dyDescent="0.25">
      <c r="B97" s="26" t="str">
        <f t="shared" si="19"/>
        <v>-</v>
      </c>
      <c r="C97" s="17" t="str">
        <f t="shared" si="14"/>
        <v>-</v>
      </c>
      <c r="D97" s="40" t="str">
        <f t="shared" si="20"/>
        <v>-</v>
      </c>
      <c r="E97" s="18" t="str">
        <f t="shared" si="15"/>
        <v>-</v>
      </c>
      <c r="F97" s="17">
        <f t="shared" si="16"/>
        <v>0.66473501538461544</v>
      </c>
      <c r="G97" s="31" t="str">
        <f t="shared" si="17"/>
        <v>-</v>
      </c>
      <c r="H97" s="31" t="str">
        <f t="shared" si="18"/>
        <v>-</v>
      </c>
      <c r="I97" s="32" t="str">
        <f t="shared" si="21"/>
        <v>-</v>
      </c>
      <c r="J97" s="66"/>
    </row>
    <row r="98" spans="2:10" x14ac:dyDescent="0.25">
      <c r="B98" s="26" t="str">
        <f t="shared" si="19"/>
        <v>-</v>
      </c>
      <c r="C98" s="17" t="str">
        <f t="shared" si="14"/>
        <v>-</v>
      </c>
      <c r="D98" s="40" t="str">
        <f t="shared" si="20"/>
        <v>-</v>
      </c>
      <c r="E98" s="18" t="str">
        <f t="shared" si="15"/>
        <v>-</v>
      </c>
      <c r="F98" s="17">
        <f t="shared" si="16"/>
        <v>0.66473501538461544</v>
      </c>
      <c r="G98" s="31" t="str">
        <f t="shared" si="17"/>
        <v>-</v>
      </c>
      <c r="H98" s="31" t="str">
        <f t="shared" si="18"/>
        <v>-</v>
      </c>
      <c r="I98" s="32" t="str">
        <f t="shared" si="21"/>
        <v>-</v>
      </c>
      <c r="J98" s="66"/>
    </row>
    <row r="99" spans="2:10" x14ac:dyDescent="0.25">
      <c r="B99" s="26" t="str">
        <f t="shared" si="19"/>
        <v>-</v>
      </c>
      <c r="C99" s="17" t="str">
        <f t="shared" si="14"/>
        <v>-</v>
      </c>
      <c r="D99" s="40" t="str">
        <f t="shared" si="20"/>
        <v>-</v>
      </c>
      <c r="E99" s="18" t="str">
        <f t="shared" si="15"/>
        <v>-</v>
      </c>
      <c r="F99" s="17">
        <f t="shared" si="16"/>
        <v>0.66473501538461544</v>
      </c>
      <c r="G99" s="31" t="str">
        <f t="shared" si="17"/>
        <v>-</v>
      </c>
      <c r="H99" s="31" t="str">
        <f t="shared" si="18"/>
        <v>-</v>
      </c>
      <c r="I99" s="32" t="str">
        <f t="shared" si="21"/>
        <v>-</v>
      </c>
      <c r="J99" s="66"/>
    </row>
    <row r="100" spans="2:10" x14ac:dyDescent="0.25">
      <c r="B100" s="26" t="str">
        <f t="shared" si="19"/>
        <v>-</v>
      </c>
      <c r="C100" s="17" t="str">
        <f t="shared" si="14"/>
        <v>-</v>
      </c>
      <c r="D100" s="40" t="str">
        <f t="shared" si="20"/>
        <v>-</v>
      </c>
      <c r="E100" s="18" t="str">
        <f t="shared" si="15"/>
        <v>-</v>
      </c>
      <c r="F100" s="17">
        <f t="shared" si="16"/>
        <v>0.66473501538461544</v>
      </c>
      <c r="G100" s="31" t="str">
        <f t="shared" si="17"/>
        <v>-</v>
      </c>
      <c r="H100" s="31" t="str">
        <f t="shared" si="18"/>
        <v>-</v>
      </c>
      <c r="I100" s="32" t="str">
        <f t="shared" si="21"/>
        <v>-</v>
      </c>
      <c r="J100" s="66"/>
    </row>
    <row r="101" spans="2:10" x14ac:dyDescent="0.25">
      <c r="B101" s="26" t="str">
        <f t="shared" si="19"/>
        <v>-</v>
      </c>
      <c r="C101" s="17" t="str">
        <f t="shared" si="14"/>
        <v>-</v>
      </c>
      <c r="D101" s="40" t="str">
        <f t="shared" si="20"/>
        <v>-</v>
      </c>
      <c r="E101" s="18" t="str">
        <f t="shared" si="15"/>
        <v>-</v>
      </c>
      <c r="F101" s="17">
        <f t="shared" si="16"/>
        <v>0.66473501538461544</v>
      </c>
      <c r="G101" s="31" t="str">
        <f t="shared" si="17"/>
        <v>-</v>
      </c>
      <c r="H101" s="31" t="str">
        <f t="shared" si="18"/>
        <v>-</v>
      </c>
      <c r="I101" s="32" t="str">
        <f t="shared" si="21"/>
        <v>-</v>
      </c>
      <c r="J101" s="66"/>
    </row>
    <row r="102" spans="2:10" x14ac:dyDescent="0.25">
      <c r="B102" s="26" t="str">
        <f t="shared" si="19"/>
        <v>-</v>
      </c>
      <c r="C102" s="17" t="str">
        <f t="shared" si="14"/>
        <v>-</v>
      </c>
      <c r="D102" s="40" t="str">
        <f t="shared" si="20"/>
        <v>-</v>
      </c>
      <c r="E102" s="18" t="str">
        <f t="shared" si="15"/>
        <v>-</v>
      </c>
      <c r="F102" s="17">
        <f t="shared" si="16"/>
        <v>0.66473501538461544</v>
      </c>
      <c r="G102" s="31" t="str">
        <f t="shared" si="17"/>
        <v>-</v>
      </c>
      <c r="H102" s="31" t="str">
        <f t="shared" si="18"/>
        <v>-</v>
      </c>
      <c r="I102" s="32" t="str">
        <f t="shared" si="21"/>
        <v>-</v>
      </c>
      <c r="J102" s="66"/>
    </row>
    <row r="103" spans="2:10" x14ac:dyDescent="0.25">
      <c r="B103" s="26" t="str">
        <f t="shared" si="19"/>
        <v>-</v>
      </c>
      <c r="C103" s="17" t="str">
        <f t="shared" si="14"/>
        <v>-</v>
      </c>
      <c r="D103" s="40" t="str">
        <f t="shared" si="20"/>
        <v>-</v>
      </c>
      <c r="E103" s="18" t="str">
        <f t="shared" si="15"/>
        <v>-</v>
      </c>
      <c r="F103" s="17">
        <f t="shared" si="16"/>
        <v>0.66473501538461544</v>
      </c>
      <c r="G103" s="31" t="str">
        <f t="shared" si="17"/>
        <v>-</v>
      </c>
      <c r="H103" s="31" t="str">
        <f t="shared" si="18"/>
        <v>-</v>
      </c>
      <c r="I103" s="32" t="str">
        <f t="shared" si="21"/>
        <v>-</v>
      </c>
      <c r="J103" s="66"/>
    </row>
    <row r="104" spans="2:10" x14ac:dyDescent="0.25">
      <c r="B104" s="26" t="str">
        <f t="shared" si="19"/>
        <v>-</v>
      </c>
      <c r="C104" s="17" t="str">
        <f t="shared" si="14"/>
        <v>-</v>
      </c>
      <c r="D104" s="40" t="str">
        <f t="shared" si="20"/>
        <v>-</v>
      </c>
      <c r="E104" s="18" t="str">
        <f t="shared" si="15"/>
        <v>-</v>
      </c>
      <c r="F104" s="17">
        <f t="shared" si="16"/>
        <v>0.66473501538461544</v>
      </c>
      <c r="G104" s="31" t="str">
        <f t="shared" si="17"/>
        <v>-</v>
      </c>
      <c r="H104" s="31" t="str">
        <f t="shared" si="18"/>
        <v>-</v>
      </c>
      <c r="I104" s="32" t="str">
        <f t="shared" si="21"/>
        <v>-</v>
      </c>
      <c r="J104" s="66"/>
    </row>
    <row r="105" spans="2:10" x14ac:dyDescent="0.25">
      <c r="B105" s="26" t="str">
        <f t="shared" si="19"/>
        <v>-</v>
      </c>
      <c r="C105" s="17" t="str">
        <f t="shared" si="14"/>
        <v>-</v>
      </c>
      <c r="D105" s="40" t="str">
        <f t="shared" si="20"/>
        <v>-</v>
      </c>
      <c r="E105" s="18" t="str">
        <f t="shared" si="15"/>
        <v>-</v>
      </c>
      <c r="F105" s="17">
        <f t="shared" si="16"/>
        <v>0.66473501538461544</v>
      </c>
      <c r="G105" s="31" t="str">
        <f t="shared" si="17"/>
        <v>-</v>
      </c>
      <c r="H105" s="31" t="str">
        <f t="shared" si="18"/>
        <v>-</v>
      </c>
      <c r="I105" s="32" t="str">
        <f t="shared" si="21"/>
        <v>-</v>
      </c>
      <c r="J105" s="66"/>
    </row>
    <row r="106" spans="2:10" x14ac:dyDescent="0.25">
      <c r="B106" s="26" t="str">
        <f t="shared" si="19"/>
        <v>-</v>
      </c>
      <c r="C106" s="17" t="str">
        <f t="shared" si="14"/>
        <v>-</v>
      </c>
      <c r="D106" s="40" t="str">
        <f t="shared" si="20"/>
        <v>-</v>
      </c>
      <c r="E106" s="18" t="str">
        <f t="shared" si="15"/>
        <v>-</v>
      </c>
      <c r="F106" s="17">
        <f t="shared" si="16"/>
        <v>0.66473501538461544</v>
      </c>
      <c r="G106" s="31" t="str">
        <f t="shared" si="17"/>
        <v>-</v>
      </c>
      <c r="H106" s="31" t="str">
        <f t="shared" si="18"/>
        <v>-</v>
      </c>
      <c r="I106" s="32" t="str">
        <f t="shared" si="21"/>
        <v>-</v>
      </c>
      <c r="J106" s="66"/>
    </row>
    <row r="107" spans="2:10" x14ac:dyDescent="0.25">
      <c r="B107" s="26" t="str">
        <f t="shared" si="19"/>
        <v>-</v>
      </c>
      <c r="C107" s="17" t="str">
        <f t="shared" si="14"/>
        <v>-</v>
      </c>
      <c r="D107" s="40" t="str">
        <f t="shared" si="20"/>
        <v>-</v>
      </c>
      <c r="E107" s="18" t="str">
        <f t="shared" si="15"/>
        <v>-</v>
      </c>
      <c r="F107" s="17">
        <f t="shared" si="16"/>
        <v>0.66473501538461544</v>
      </c>
      <c r="G107" s="31" t="str">
        <f t="shared" si="17"/>
        <v>-</v>
      </c>
      <c r="H107" s="31" t="str">
        <f t="shared" si="18"/>
        <v>-</v>
      </c>
      <c r="I107" s="32" t="str">
        <f t="shared" si="21"/>
        <v>-</v>
      </c>
      <c r="J107" s="66"/>
    </row>
    <row r="108" spans="2:10" x14ac:dyDescent="0.25">
      <c r="B108" s="26" t="str">
        <f t="shared" si="19"/>
        <v>-</v>
      </c>
      <c r="C108" s="17" t="str">
        <f t="shared" si="14"/>
        <v>-</v>
      </c>
      <c r="D108" s="40" t="str">
        <f t="shared" si="20"/>
        <v>-</v>
      </c>
      <c r="E108" s="18" t="str">
        <f t="shared" si="15"/>
        <v>-</v>
      </c>
      <c r="F108" s="17">
        <f t="shared" si="16"/>
        <v>0.66473501538461544</v>
      </c>
      <c r="G108" s="31" t="str">
        <f t="shared" si="17"/>
        <v>-</v>
      </c>
      <c r="H108" s="31" t="str">
        <f t="shared" si="18"/>
        <v>-</v>
      </c>
      <c r="I108" s="32" t="str">
        <f t="shared" si="21"/>
        <v>-</v>
      </c>
      <c r="J108" s="66"/>
    </row>
    <row r="109" spans="2:10" x14ac:dyDescent="0.25">
      <c r="B109" s="26" t="str">
        <f t="shared" si="19"/>
        <v>-</v>
      </c>
      <c r="C109" s="17" t="str">
        <f t="shared" si="14"/>
        <v>-</v>
      </c>
      <c r="D109" s="40" t="str">
        <f t="shared" si="20"/>
        <v>-</v>
      </c>
      <c r="E109" s="18" t="str">
        <f t="shared" si="15"/>
        <v>-</v>
      </c>
      <c r="F109" s="17">
        <f t="shared" si="16"/>
        <v>0.66473501538461544</v>
      </c>
      <c r="G109" s="31" t="str">
        <f t="shared" si="17"/>
        <v>-</v>
      </c>
      <c r="H109" s="31" t="str">
        <f t="shared" si="18"/>
        <v>-</v>
      </c>
      <c r="I109" s="32" t="str">
        <f t="shared" si="21"/>
        <v>-</v>
      </c>
      <c r="J109" s="66"/>
    </row>
    <row r="110" spans="2:10" x14ac:dyDescent="0.25">
      <c r="B110" s="26" t="str">
        <f t="shared" si="19"/>
        <v>-</v>
      </c>
      <c r="C110" s="17" t="str">
        <f t="shared" si="14"/>
        <v>-</v>
      </c>
      <c r="D110" s="40" t="str">
        <f t="shared" si="20"/>
        <v>-</v>
      </c>
      <c r="E110" s="18" t="str">
        <f t="shared" si="15"/>
        <v>-</v>
      </c>
      <c r="F110" s="17">
        <f t="shared" si="16"/>
        <v>0.66473501538461544</v>
      </c>
      <c r="G110" s="31" t="str">
        <f t="shared" si="17"/>
        <v>-</v>
      </c>
      <c r="H110" s="31" t="str">
        <f t="shared" si="18"/>
        <v>-</v>
      </c>
      <c r="I110" s="32" t="str">
        <f t="shared" si="21"/>
        <v>-</v>
      </c>
      <c r="J110" s="66"/>
    </row>
    <row r="111" spans="2:10" x14ac:dyDescent="0.25">
      <c r="B111" s="26" t="str">
        <f t="shared" si="19"/>
        <v>-</v>
      </c>
      <c r="C111" s="17" t="str">
        <f t="shared" si="14"/>
        <v>-</v>
      </c>
      <c r="D111" s="40" t="str">
        <f t="shared" si="20"/>
        <v>-</v>
      </c>
      <c r="E111" s="18" t="str">
        <f t="shared" si="15"/>
        <v>-</v>
      </c>
      <c r="F111" s="17">
        <f t="shared" si="16"/>
        <v>0.66473501538461544</v>
      </c>
      <c r="G111" s="31" t="str">
        <f t="shared" si="17"/>
        <v>-</v>
      </c>
      <c r="H111" s="31" t="str">
        <f t="shared" si="18"/>
        <v>-</v>
      </c>
      <c r="I111" s="32" t="str">
        <f t="shared" si="21"/>
        <v>-</v>
      </c>
      <c r="J111" s="66"/>
    </row>
    <row r="112" spans="2:10" x14ac:dyDescent="0.25">
      <c r="B112" s="26" t="str">
        <f t="shared" si="19"/>
        <v>-</v>
      </c>
      <c r="C112" s="17" t="str">
        <f t="shared" si="14"/>
        <v>-</v>
      </c>
      <c r="D112" s="40" t="str">
        <f t="shared" si="20"/>
        <v>-</v>
      </c>
      <c r="E112" s="18" t="str">
        <f t="shared" si="15"/>
        <v>-</v>
      </c>
      <c r="F112" s="17">
        <f t="shared" si="16"/>
        <v>0.66473501538461544</v>
      </c>
      <c r="G112" s="31" t="str">
        <f t="shared" si="17"/>
        <v>-</v>
      </c>
      <c r="H112" s="31" t="str">
        <f t="shared" si="18"/>
        <v>-</v>
      </c>
      <c r="I112" s="32" t="str">
        <f t="shared" si="21"/>
        <v>-</v>
      </c>
      <c r="J112" s="66"/>
    </row>
    <row r="113" spans="2:10" x14ac:dyDescent="0.25">
      <c r="B113" s="26" t="str">
        <f t="shared" si="19"/>
        <v>-</v>
      </c>
      <c r="C113" s="17" t="str">
        <f t="shared" si="14"/>
        <v>-</v>
      </c>
      <c r="D113" s="40" t="str">
        <f t="shared" si="20"/>
        <v>-</v>
      </c>
      <c r="E113" s="18" t="str">
        <f t="shared" si="15"/>
        <v>-</v>
      </c>
      <c r="F113" s="17">
        <f t="shared" si="16"/>
        <v>0.66473501538461544</v>
      </c>
      <c r="G113" s="31" t="str">
        <f t="shared" si="17"/>
        <v>-</v>
      </c>
      <c r="H113" s="31" t="str">
        <f t="shared" si="18"/>
        <v>-</v>
      </c>
      <c r="I113" s="32" t="str">
        <f t="shared" si="21"/>
        <v>-</v>
      </c>
      <c r="J113" s="66"/>
    </row>
    <row r="114" spans="2:10" x14ac:dyDescent="0.25">
      <c r="B114" s="26" t="str">
        <f t="shared" si="19"/>
        <v>-</v>
      </c>
      <c r="C114" s="17" t="str">
        <f t="shared" si="14"/>
        <v>-</v>
      </c>
      <c r="D114" s="40" t="str">
        <f t="shared" si="20"/>
        <v>-</v>
      </c>
      <c r="E114" s="18" t="str">
        <f t="shared" si="15"/>
        <v>-</v>
      </c>
      <c r="F114" s="17">
        <f t="shared" si="16"/>
        <v>0.66473501538461544</v>
      </c>
      <c r="G114" s="31" t="str">
        <f t="shared" si="17"/>
        <v>-</v>
      </c>
      <c r="H114" s="31" t="str">
        <f t="shared" si="18"/>
        <v>-</v>
      </c>
      <c r="I114" s="32" t="str">
        <f t="shared" si="21"/>
        <v>-</v>
      </c>
      <c r="J114" s="66"/>
    </row>
    <row r="115" spans="2:10" x14ac:dyDescent="0.25">
      <c r="B115" s="26" t="str">
        <f t="shared" si="19"/>
        <v>-</v>
      </c>
      <c r="C115" s="17" t="str">
        <f t="shared" si="14"/>
        <v>-</v>
      </c>
      <c r="D115" s="40" t="str">
        <f t="shared" si="20"/>
        <v>-</v>
      </c>
      <c r="E115" s="18" t="str">
        <f t="shared" si="15"/>
        <v>-</v>
      </c>
      <c r="F115" s="17">
        <f t="shared" si="16"/>
        <v>0.66473501538461544</v>
      </c>
      <c r="G115" s="31" t="str">
        <f t="shared" si="17"/>
        <v>-</v>
      </c>
      <c r="H115" s="31" t="str">
        <f t="shared" si="18"/>
        <v>-</v>
      </c>
      <c r="I115" s="32" t="str">
        <f t="shared" si="21"/>
        <v>-</v>
      </c>
      <c r="J115" s="66"/>
    </row>
    <row r="116" spans="2:10" x14ac:dyDescent="0.25">
      <c r="B116" s="26" t="str">
        <f t="shared" si="19"/>
        <v>-</v>
      </c>
      <c r="C116" s="17" t="str">
        <f t="shared" si="14"/>
        <v>-</v>
      </c>
      <c r="D116" s="40" t="str">
        <f t="shared" si="20"/>
        <v>-</v>
      </c>
      <c r="E116" s="18" t="str">
        <f t="shared" si="15"/>
        <v>-</v>
      </c>
      <c r="F116" s="17">
        <f t="shared" si="16"/>
        <v>0.66473501538461544</v>
      </c>
      <c r="G116" s="31" t="str">
        <f t="shared" si="17"/>
        <v>-</v>
      </c>
      <c r="H116" s="31" t="str">
        <f t="shared" si="18"/>
        <v>-</v>
      </c>
      <c r="I116" s="32" t="str">
        <f t="shared" si="21"/>
        <v>-</v>
      </c>
      <c r="J116" s="66"/>
    </row>
    <row r="117" spans="2:10" x14ac:dyDescent="0.25">
      <c r="B117" s="26" t="str">
        <f t="shared" si="19"/>
        <v>-</v>
      </c>
      <c r="C117" s="17" t="str">
        <f t="shared" si="14"/>
        <v>-</v>
      </c>
      <c r="D117" s="40" t="str">
        <f t="shared" si="20"/>
        <v>-</v>
      </c>
      <c r="E117" s="18" t="str">
        <f t="shared" si="15"/>
        <v>-</v>
      </c>
      <c r="F117" s="17">
        <f t="shared" si="16"/>
        <v>0.66473501538461544</v>
      </c>
      <c r="G117" s="31" t="str">
        <f t="shared" si="17"/>
        <v>-</v>
      </c>
      <c r="H117" s="31" t="str">
        <f t="shared" si="18"/>
        <v>-</v>
      </c>
      <c r="I117" s="32" t="str">
        <f t="shared" si="21"/>
        <v>-</v>
      </c>
      <c r="J117" s="66"/>
    </row>
    <row r="118" spans="2:10" x14ac:dyDescent="0.25">
      <c r="B118" s="26" t="str">
        <f t="shared" si="19"/>
        <v>-</v>
      </c>
      <c r="C118" s="17" t="str">
        <f t="shared" si="14"/>
        <v>-</v>
      </c>
      <c r="D118" s="40" t="str">
        <f t="shared" si="20"/>
        <v>-</v>
      </c>
      <c r="E118" s="18" t="str">
        <f t="shared" si="15"/>
        <v>-</v>
      </c>
      <c r="F118" s="17">
        <f t="shared" si="16"/>
        <v>0.66473501538461544</v>
      </c>
      <c r="G118" s="31" t="str">
        <f t="shared" si="17"/>
        <v>-</v>
      </c>
      <c r="H118" s="31" t="str">
        <f t="shared" si="18"/>
        <v>-</v>
      </c>
      <c r="I118" s="32" t="str">
        <f t="shared" si="21"/>
        <v>-</v>
      </c>
      <c r="J118" s="66"/>
    </row>
    <row r="119" spans="2:10" x14ac:dyDescent="0.25">
      <c r="B119" s="26" t="str">
        <f t="shared" si="19"/>
        <v>-</v>
      </c>
      <c r="C119" s="17" t="str">
        <f t="shared" ref="C119:C150" si="22">IFERROR(Vi-(a*B119),"-")</f>
        <v>-</v>
      </c>
      <c r="D119" s="40" t="str">
        <f t="shared" si="20"/>
        <v>-</v>
      </c>
      <c r="E119" s="18" t="str">
        <f t="shared" ref="E119:E150" si="23">IFERROR((rho_ar*I*C119/mi_ar),"-")</f>
        <v>-</v>
      </c>
      <c r="F119" s="17">
        <f t="shared" si="16"/>
        <v>0.66473501538461544</v>
      </c>
      <c r="G119" s="31" t="str">
        <f t="shared" ref="G119:G150" si="24">IFERROR(0.193*(E119^0.618)*(F119^0.33)*k_ar/(2*r_d),"-")</f>
        <v>-</v>
      </c>
      <c r="H119" s="31" t="str">
        <f t="shared" ref="H119:H150" si="25">IFERROR(0.027*(E119^0.805)*(F119^0.33)*k_ar/(2*r_d),"-")</f>
        <v>-</v>
      </c>
      <c r="I119" s="32" t="str">
        <f t="shared" si="21"/>
        <v>-</v>
      </c>
      <c r="J119" s="66"/>
    </row>
    <row r="120" spans="2:10" x14ac:dyDescent="0.25">
      <c r="B120" s="26" t="str">
        <f t="shared" ref="B120:B151" si="26">IFERROR(IF(B119+time_stp&lt;ts,B119+time_stp,"-"),"-")</f>
        <v>-</v>
      </c>
      <c r="C120" s="17" t="str">
        <f t="shared" si="22"/>
        <v>-</v>
      </c>
      <c r="D120" s="40" t="str">
        <f t="shared" ref="D120:D151" si="27">IFERROR(D119*(1-(B119/ts)),"-")</f>
        <v>-</v>
      </c>
      <c r="E120" s="18" t="str">
        <f t="shared" si="23"/>
        <v>-</v>
      </c>
      <c r="F120" s="17">
        <f t="shared" si="16"/>
        <v>0.66473501538461544</v>
      </c>
      <c r="G120" s="31" t="str">
        <f t="shared" si="24"/>
        <v>-</v>
      </c>
      <c r="H120" s="31" t="str">
        <f t="shared" si="25"/>
        <v>-</v>
      </c>
      <c r="I120" s="32" t="str">
        <f t="shared" si="21"/>
        <v>-</v>
      </c>
      <c r="J120" s="66"/>
    </row>
    <row r="121" spans="2:10" x14ac:dyDescent="0.25">
      <c r="B121" s="26" t="str">
        <f t="shared" si="26"/>
        <v>-</v>
      </c>
      <c r="C121" s="17" t="str">
        <f t="shared" si="22"/>
        <v>-</v>
      </c>
      <c r="D121" s="40" t="str">
        <f t="shared" si="27"/>
        <v>-</v>
      </c>
      <c r="E121" s="18" t="str">
        <f t="shared" si="23"/>
        <v>-</v>
      </c>
      <c r="F121" s="17">
        <f t="shared" si="16"/>
        <v>0.66473501538461544</v>
      </c>
      <c r="G121" s="31" t="str">
        <f t="shared" si="24"/>
        <v>-</v>
      </c>
      <c r="H121" s="31" t="str">
        <f t="shared" si="25"/>
        <v>-</v>
      </c>
      <c r="I121" s="32" t="str">
        <f t="shared" si="21"/>
        <v>-</v>
      </c>
      <c r="J121" s="66"/>
    </row>
    <row r="122" spans="2:10" x14ac:dyDescent="0.25">
      <c r="B122" s="26" t="str">
        <f t="shared" si="26"/>
        <v>-</v>
      </c>
      <c r="C122" s="17" t="str">
        <f t="shared" si="22"/>
        <v>-</v>
      </c>
      <c r="D122" s="40" t="str">
        <f t="shared" si="27"/>
        <v>-</v>
      </c>
      <c r="E122" s="18" t="str">
        <f t="shared" si="23"/>
        <v>-</v>
      </c>
      <c r="F122" s="17">
        <f t="shared" si="16"/>
        <v>0.66473501538461544</v>
      </c>
      <c r="G122" s="31" t="str">
        <f t="shared" si="24"/>
        <v>-</v>
      </c>
      <c r="H122" s="31" t="str">
        <f t="shared" si="25"/>
        <v>-</v>
      </c>
      <c r="I122" s="32" t="str">
        <f t="shared" si="21"/>
        <v>-</v>
      </c>
      <c r="J122" s="66"/>
    </row>
    <row r="123" spans="2:10" x14ac:dyDescent="0.25">
      <c r="B123" s="26" t="str">
        <f t="shared" si="26"/>
        <v>-</v>
      </c>
      <c r="C123" s="17" t="str">
        <f t="shared" si="22"/>
        <v>-</v>
      </c>
      <c r="D123" s="40" t="str">
        <f t="shared" si="27"/>
        <v>-</v>
      </c>
      <c r="E123" s="18" t="str">
        <f t="shared" si="23"/>
        <v>-</v>
      </c>
      <c r="F123" s="17">
        <f t="shared" si="16"/>
        <v>0.66473501538461544</v>
      </c>
      <c r="G123" s="31" t="str">
        <f t="shared" si="24"/>
        <v>-</v>
      </c>
      <c r="H123" s="31" t="str">
        <f t="shared" si="25"/>
        <v>-</v>
      </c>
      <c r="I123" s="32" t="str">
        <f t="shared" si="21"/>
        <v>-</v>
      </c>
      <c r="J123" s="66"/>
    </row>
    <row r="124" spans="2:10" x14ac:dyDescent="0.25">
      <c r="B124" s="26" t="str">
        <f t="shared" si="26"/>
        <v>-</v>
      </c>
      <c r="C124" s="17" t="str">
        <f t="shared" si="22"/>
        <v>-</v>
      </c>
      <c r="D124" s="40" t="str">
        <f t="shared" si="27"/>
        <v>-</v>
      </c>
      <c r="E124" s="18" t="str">
        <f t="shared" si="23"/>
        <v>-</v>
      </c>
      <c r="F124" s="17">
        <f t="shared" si="16"/>
        <v>0.66473501538461544</v>
      </c>
      <c r="G124" s="31" t="str">
        <f t="shared" si="24"/>
        <v>-</v>
      </c>
      <c r="H124" s="31" t="str">
        <f t="shared" si="25"/>
        <v>-</v>
      </c>
      <c r="I124" s="32" t="str">
        <f t="shared" si="21"/>
        <v>-</v>
      </c>
      <c r="J124" s="66"/>
    </row>
    <row r="125" spans="2:10" x14ac:dyDescent="0.25">
      <c r="B125" s="26" t="str">
        <f t="shared" si="26"/>
        <v>-</v>
      </c>
      <c r="C125" s="17" t="str">
        <f t="shared" si="22"/>
        <v>-</v>
      </c>
      <c r="D125" s="40" t="str">
        <f t="shared" si="27"/>
        <v>-</v>
      </c>
      <c r="E125" s="18" t="str">
        <f t="shared" si="23"/>
        <v>-</v>
      </c>
      <c r="F125" s="17">
        <f t="shared" si="16"/>
        <v>0.66473501538461544</v>
      </c>
      <c r="G125" s="31" t="str">
        <f t="shared" si="24"/>
        <v>-</v>
      </c>
      <c r="H125" s="31" t="str">
        <f t="shared" si="25"/>
        <v>-</v>
      </c>
      <c r="I125" s="32" t="str">
        <f t="shared" si="21"/>
        <v>-</v>
      </c>
      <c r="J125" s="66"/>
    </row>
    <row r="126" spans="2:10" x14ac:dyDescent="0.25">
      <c r="B126" s="26" t="str">
        <f t="shared" si="26"/>
        <v>-</v>
      </c>
      <c r="C126" s="17" t="str">
        <f t="shared" si="22"/>
        <v>-</v>
      </c>
      <c r="D126" s="40" t="str">
        <f t="shared" si="27"/>
        <v>-</v>
      </c>
      <c r="E126" s="18" t="str">
        <f t="shared" si="23"/>
        <v>-</v>
      </c>
      <c r="F126" s="17">
        <f t="shared" si="16"/>
        <v>0.66473501538461544</v>
      </c>
      <c r="G126" s="31" t="str">
        <f t="shared" si="24"/>
        <v>-</v>
      </c>
      <c r="H126" s="31" t="str">
        <f t="shared" si="25"/>
        <v>-</v>
      </c>
      <c r="I126" s="32" t="str">
        <f t="shared" si="21"/>
        <v>-</v>
      </c>
      <c r="J126" s="66"/>
    </row>
    <row r="127" spans="2:10" x14ac:dyDescent="0.25">
      <c r="B127" s="26" t="str">
        <f t="shared" si="26"/>
        <v>-</v>
      </c>
      <c r="C127" s="17" t="str">
        <f t="shared" si="22"/>
        <v>-</v>
      </c>
      <c r="D127" s="40" t="str">
        <f t="shared" si="27"/>
        <v>-</v>
      </c>
      <c r="E127" s="18" t="str">
        <f t="shared" si="23"/>
        <v>-</v>
      </c>
      <c r="F127" s="17">
        <f t="shared" si="16"/>
        <v>0.66473501538461544</v>
      </c>
      <c r="G127" s="31" t="str">
        <f t="shared" si="24"/>
        <v>-</v>
      </c>
      <c r="H127" s="31" t="str">
        <f t="shared" si="25"/>
        <v>-</v>
      </c>
      <c r="I127" s="32" t="str">
        <f t="shared" si="21"/>
        <v>-</v>
      </c>
      <c r="J127" s="66"/>
    </row>
    <row r="128" spans="2:10" x14ac:dyDescent="0.25">
      <c r="B128" s="26" t="str">
        <f t="shared" si="26"/>
        <v>-</v>
      </c>
      <c r="C128" s="17" t="str">
        <f t="shared" si="22"/>
        <v>-</v>
      </c>
      <c r="D128" s="40" t="str">
        <f t="shared" si="27"/>
        <v>-</v>
      </c>
      <c r="E128" s="18" t="str">
        <f t="shared" si="23"/>
        <v>-</v>
      </c>
      <c r="F128" s="17">
        <f t="shared" si="16"/>
        <v>0.66473501538461544</v>
      </c>
      <c r="G128" s="31" t="str">
        <f t="shared" si="24"/>
        <v>-</v>
      </c>
      <c r="H128" s="31" t="str">
        <f t="shared" si="25"/>
        <v>-</v>
      </c>
      <c r="I128" s="32" t="str">
        <f t="shared" si="21"/>
        <v>-</v>
      </c>
      <c r="J128" s="66"/>
    </row>
    <row r="129" spans="2:10" x14ac:dyDescent="0.25">
      <c r="B129" s="26" t="str">
        <f t="shared" si="26"/>
        <v>-</v>
      </c>
      <c r="C129" s="17" t="str">
        <f t="shared" si="22"/>
        <v>-</v>
      </c>
      <c r="D129" s="40" t="str">
        <f t="shared" si="27"/>
        <v>-</v>
      </c>
      <c r="E129" s="18" t="str">
        <f t="shared" si="23"/>
        <v>-</v>
      </c>
      <c r="F129" s="17">
        <f t="shared" si="16"/>
        <v>0.66473501538461544</v>
      </c>
      <c r="G129" s="31" t="str">
        <f t="shared" si="24"/>
        <v>-</v>
      </c>
      <c r="H129" s="31" t="str">
        <f t="shared" si="25"/>
        <v>-</v>
      </c>
      <c r="I129" s="32" t="str">
        <f t="shared" si="21"/>
        <v>-</v>
      </c>
      <c r="J129" s="66"/>
    </row>
    <row r="130" spans="2:10" x14ac:dyDescent="0.25">
      <c r="B130" s="26" t="str">
        <f t="shared" si="26"/>
        <v>-</v>
      </c>
      <c r="C130" s="17" t="str">
        <f t="shared" si="22"/>
        <v>-</v>
      </c>
      <c r="D130" s="40" t="str">
        <f t="shared" si="27"/>
        <v>-</v>
      </c>
      <c r="E130" s="18" t="str">
        <f t="shared" si="23"/>
        <v>-</v>
      </c>
      <c r="F130" s="17">
        <f t="shared" si="16"/>
        <v>0.66473501538461544</v>
      </c>
      <c r="G130" s="31" t="str">
        <f t="shared" si="24"/>
        <v>-</v>
      </c>
      <c r="H130" s="31" t="str">
        <f t="shared" si="25"/>
        <v>-</v>
      </c>
      <c r="I130" s="32" t="str">
        <f t="shared" si="21"/>
        <v>-</v>
      </c>
      <c r="J130" s="66"/>
    </row>
    <row r="131" spans="2:10" x14ac:dyDescent="0.25">
      <c r="B131" s="26" t="str">
        <f t="shared" si="26"/>
        <v>-</v>
      </c>
      <c r="C131" s="17" t="str">
        <f t="shared" si="22"/>
        <v>-</v>
      </c>
      <c r="D131" s="40" t="str">
        <f t="shared" si="27"/>
        <v>-</v>
      </c>
      <c r="E131" s="18" t="str">
        <f t="shared" si="23"/>
        <v>-</v>
      </c>
      <c r="F131" s="17">
        <f t="shared" si="16"/>
        <v>0.66473501538461544</v>
      </c>
      <c r="G131" s="31" t="str">
        <f t="shared" si="24"/>
        <v>-</v>
      </c>
      <c r="H131" s="31" t="str">
        <f t="shared" si="25"/>
        <v>-</v>
      </c>
      <c r="I131" s="32" t="str">
        <f t="shared" si="21"/>
        <v>-</v>
      </c>
      <c r="J131" s="66"/>
    </row>
    <row r="132" spans="2:10" x14ac:dyDescent="0.25">
      <c r="B132" s="26" t="str">
        <f t="shared" si="26"/>
        <v>-</v>
      </c>
      <c r="C132" s="17" t="str">
        <f t="shared" si="22"/>
        <v>-</v>
      </c>
      <c r="D132" s="40" t="str">
        <f t="shared" si="27"/>
        <v>-</v>
      </c>
      <c r="E132" s="18" t="str">
        <f t="shared" si="23"/>
        <v>-</v>
      </c>
      <c r="F132" s="17">
        <f t="shared" si="16"/>
        <v>0.66473501538461544</v>
      </c>
      <c r="G132" s="31" t="str">
        <f t="shared" si="24"/>
        <v>-</v>
      </c>
      <c r="H132" s="31" t="str">
        <f t="shared" si="25"/>
        <v>-</v>
      </c>
      <c r="I132" s="32" t="str">
        <f t="shared" si="21"/>
        <v>-</v>
      </c>
      <c r="J132" s="66"/>
    </row>
    <row r="133" spans="2:10" x14ac:dyDescent="0.25">
      <c r="B133" s="26" t="str">
        <f t="shared" si="26"/>
        <v>-</v>
      </c>
      <c r="C133" s="17" t="str">
        <f t="shared" si="22"/>
        <v>-</v>
      </c>
      <c r="D133" s="40" t="str">
        <f t="shared" si="27"/>
        <v>-</v>
      </c>
      <c r="E133" s="18" t="str">
        <f t="shared" si="23"/>
        <v>-</v>
      </c>
      <c r="F133" s="17">
        <f t="shared" si="16"/>
        <v>0.66473501538461544</v>
      </c>
      <c r="G133" s="31" t="str">
        <f t="shared" si="24"/>
        <v>-</v>
      </c>
      <c r="H133" s="31" t="str">
        <f t="shared" si="25"/>
        <v>-</v>
      </c>
      <c r="I133" s="32" t="str">
        <f t="shared" si="21"/>
        <v>-</v>
      </c>
      <c r="J133" s="66"/>
    </row>
    <row r="134" spans="2:10" x14ac:dyDescent="0.25">
      <c r="B134" s="26" t="str">
        <f t="shared" si="26"/>
        <v>-</v>
      </c>
      <c r="C134" s="17" t="str">
        <f t="shared" si="22"/>
        <v>-</v>
      </c>
      <c r="D134" s="40" t="str">
        <f t="shared" si="27"/>
        <v>-</v>
      </c>
      <c r="E134" s="18" t="str">
        <f t="shared" si="23"/>
        <v>-</v>
      </c>
      <c r="F134" s="17">
        <f t="shared" si="16"/>
        <v>0.66473501538461544</v>
      </c>
      <c r="G134" s="31" t="str">
        <f t="shared" si="24"/>
        <v>-</v>
      </c>
      <c r="H134" s="31" t="str">
        <f t="shared" si="25"/>
        <v>-</v>
      </c>
      <c r="I134" s="32" t="str">
        <f t="shared" si="21"/>
        <v>-</v>
      </c>
      <c r="J134" s="66"/>
    </row>
    <row r="135" spans="2:10" x14ac:dyDescent="0.25">
      <c r="B135" s="26" t="str">
        <f t="shared" si="26"/>
        <v>-</v>
      </c>
      <c r="C135" s="17" t="str">
        <f t="shared" si="22"/>
        <v>-</v>
      </c>
      <c r="D135" s="40" t="str">
        <f t="shared" si="27"/>
        <v>-</v>
      </c>
      <c r="E135" s="18" t="str">
        <f t="shared" si="23"/>
        <v>-</v>
      </c>
      <c r="F135" s="17">
        <f t="shared" si="16"/>
        <v>0.66473501538461544</v>
      </c>
      <c r="G135" s="31" t="str">
        <f t="shared" si="24"/>
        <v>-</v>
      </c>
      <c r="H135" s="31" t="str">
        <f t="shared" si="25"/>
        <v>-</v>
      </c>
      <c r="I135" s="32" t="str">
        <f t="shared" si="21"/>
        <v>-</v>
      </c>
      <c r="J135" s="66"/>
    </row>
    <row r="136" spans="2:10" x14ac:dyDescent="0.25">
      <c r="B136" s="26" t="str">
        <f t="shared" si="26"/>
        <v>-</v>
      </c>
      <c r="C136" s="17" t="str">
        <f t="shared" si="22"/>
        <v>-</v>
      </c>
      <c r="D136" s="40" t="str">
        <f t="shared" si="27"/>
        <v>-</v>
      </c>
      <c r="E136" s="18" t="str">
        <f t="shared" si="23"/>
        <v>-</v>
      </c>
      <c r="F136" s="17">
        <f t="shared" si="16"/>
        <v>0.66473501538461544</v>
      </c>
      <c r="G136" s="31" t="str">
        <f t="shared" si="24"/>
        <v>-</v>
      </c>
      <c r="H136" s="31" t="str">
        <f t="shared" si="25"/>
        <v>-</v>
      </c>
      <c r="I136" s="32" t="str">
        <f t="shared" si="21"/>
        <v>-</v>
      </c>
      <c r="J136" s="66"/>
    </row>
    <row r="137" spans="2:10" x14ac:dyDescent="0.25">
      <c r="B137" s="26" t="str">
        <f t="shared" si="26"/>
        <v>-</v>
      </c>
      <c r="C137" s="17" t="str">
        <f t="shared" si="22"/>
        <v>-</v>
      </c>
      <c r="D137" s="40" t="str">
        <f t="shared" si="27"/>
        <v>-</v>
      </c>
      <c r="E137" s="18" t="str">
        <f t="shared" si="23"/>
        <v>-</v>
      </c>
      <c r="F137" s="17">
        <f t="shared" si="16"/>
        <v>0.66473501538461544</v>
      </c>
      <c r="G137" s="31" t="str">
        <f t="shared" si="24"/>
        <v>-</v>
      </c>
      <c r="H137" s="31" t="str">
        <f t="shared" si="25"/>
        <v>-</v>
      </c>
      <c r="I137" s="32" t="str">
        <f t="shared" si="21"/>
        <v>-</v>
      </c>
      <c r="J137" s="66"/>
    </row>
    <row r="138" spans="2:10" x14ac:dyDescent="0.25">
      <c r="B138" s="26" t="str">
        <f t="shared" si="26"/>
        <v>-</v>
      </c>
      <c r="C138" s="17" t="str">
        <f t="shared" si="22"/>
        <v>-</v>
      </c>
      <c r="D138" s="40" t="str">
        <f t="shared" si="27"/>
        <v>-</v>
      </c>
      <c r="E138" s="18" t="str">
        <f t="shared" si="23"/>
        <v>-</v>
      </c>
      <c r="F138" s="17">
        <f t="shared" si="16"/>
        <v>0.66473501538461544</v>
      </c>
      <c r="G138" s="31" t="str">
        <f t="shared" si="24"/>
        <v>-</v>
      </c>
      <c r="H138" s="31" t="str">
        <f t="shared" si="25"/>
        <v>-</v>
      </c>
      <c r="I138" s="32" t="str">
        <f t="shared" si="21"/>
        <v>-</v>
      </c>
      <c r="J138" s="66"/>
    </row>
    <row r="139" spans="2:10" x14ac:dyDescent="0.25">
      <c r="B139" s="26" t="str">
        <f t="shared" si="26"/>
        <v>-</v>
      </c>
      <c r="C139" s="17" t="str">
        <f t="shared" si="22"/>
        <v>-</v>
      </c>
      <c r="D139" s="40" t="str">
        <f t="shared" si="27"/>
        <v>-</v>
      </c>
      <c r="E139" s="18" t="str">
        <f t="shared" si="23"/>
        <v>-</v>
      </c>
      <c r="F139" s="17">
        <f t="shared" si="16"/>
        <v>0.66473501538461544</v>
      </c>
      <c r="G139" s="31" t="str">
        <f t="shared" si="24"/>
        <v>-</v>
      </c>
      <c r="H139" s="31" t="str">
        <f t="shared" si="25"/>
        <v>-</v>
      </c>
      <c r="I139" s="32" t="str">
        <f t="shared" si="21"/>
        <v>-</v>
      </c>
      <c r="J139" s="66"/>
    </row>
    <row r="140" spans="2:10" x14ac:dyDescent="0.25">
      <c r="B140" s="26" t="str">
        <f t="shared" si="26"/>
        <v>-</v>
      </c>
      <c r="C140" s="17" t="str">
        <f t="shared" si="22"/>
        <v>-</v>
      </c>
      <c r="D140" s="40" t="str">
        <f t="shared" si="27"/>
        <v>-</v>
      </c>
      <c r="E140" s="18" t="str">
        <f t="shared" si="23"/>
        <v>-</v>
      </c>
      <c r="F140" s="17">
        <f t="shared" si="16"/>
        <v>0.66473501538461544</v>
      </c>
      <c r="G140" s="31" t="str">
        <f t="shared" si="24"/>
        <v>-</v>
      </c>
      <c r="H140" s="31" t="str">
        <f t="shared" si="25"/>
        <v>-</v>
      </c>
      <c r="I140" s="32" t="str">
        <f t="shared" si="21"/>
        <v>-</v>
      </c>
      <c r="J140" s="66"/>
    </row>
    <row r="141" spans="2:10" x14ac:dyDescent="0.25">
      <c r="B141" s="26" t="str">
        <f t="shared" si="26"/>
        <v>-</v>
      </c>
      <c r="C141" s="17" t="str">
        <f t="shared" si="22"/>
        <v>-</v>
      </c>
      <c r="D141" s="40" t="str">
        <f t="shared" si="27"/>
        <v>-</v>
      </c>
      <c r="E141" s="18" t="str">
        <f t="shared" si="23"/>
        <v>-</v>
      </c>
      <c r="F141" s="17">
        <f t="shared" si="16"/>
        <v>0.66473501538461544</v>
      </c>
      <c r="G141" s="31" t="str">
        <f t="shared" si="24"/>
        <v>-</v>
      </c>
      <c r="H141" s="31" t="str">
        <f t="shared" si="25"/>
        <v>-</v>
      </c>
      <c r="I141" s="32" t="str">
        <f t="shared" si="21"/>
        <v>-</v>
      </c>
      <c r="J141" s="66"/>
    </row>
    <row r="142" spans="2:10" x14ac:dyDescent="0.25">
      <c r="B142" s="26" t="str">
        <f t="shared" si="26"/>
        <v>-</v>
      </c>
      <c r="C142" s="17" t="str">
        <f t="shared" si="22"/>
        <v>-</v>
      </c>
      <c r="D142" s="40" t="str">
        <f t="shared" si="27"/>
        <v>-</v>
      </c>
      <c r="E142" s="18" t="str">
        <f t="shared" si="23"/>
        <v>-</v>
      </c>
      <c r="F142" s="17">
        <f t="shared" si="16"/>
        <v>0.66473501538461544</v>
      </c>
      <c r="G142" s="31" t="str">
        <f t="shared" si="24"/>
        <v>-</v>
      </c>
      <c r="H142" s="31" t="str">
        <f t="shared" si="25"/>
        <v>-</v>
      </c>
      <c r="I142" s="32" t="str">
        <f t="shared" si="21"/>
        <v>-</v>
      </c>
      <c r="J142" s="66"/>
    </row>
    <row r="143" spans="2:10" x14ac:dyDescent="0.25">
      <c r="B143" s="26" t="str">
        <f t="shared" si="26"/>
        <v>-</v>
      </c>
      <c r="C143" s="17" t="str">
        <f t="shared" si="22"/>
        <v>-</v>
      </c>
      <c r="D143" s="40" t="str">
        <f t="shared" si="27"/>
        <v>-</v>
      </c>
      <c r="E143" s="18" t="str">
        <f t="shared" si="23"/>
        <v>-</v>
      </c>
      <c r="F143" s="17">
        <f t="shared" si="16"/>
        <v>0.66473501538461544</v>
      </c>
      <c r="G143" s="31" t="str">
        <f t="shared" si="24"/>
        <v>-</v>
      </c>
      <c r="H143" s="31" t="str">
        <f t="shared" si="25"/>
        <v>-</v>
      </c>
      <c r="I143" s="32" t="str">
        <f t="shared" si="21"/>
        <v>-</v>
      </c>
      <c r="J143" s="66"/>
    </row>
    <row r="144" spans="2:10" x14ac:dyDescent="0.25">
      <c r="B144" s="26" t="str">
        <f t="shared" si="26"/>
        <v>-</v>
      </c>
      <c r="C144" s="17" t="str">
        <f t="shared" si="22"/>
        <v>-</v>
      </c>
      <c r="D144" s="40" t="str">
        <f t="shared" si="27"/>
        <v>-</v>
      </c>
      <c r="E144" s="18" t="str">
        <f t="shared" si="23"/>
        <v>-</v>
      </c>
      <c r="F144" s="17">
        <f t="shared" si="16"/>
        <v>0.66473501538461544</v>
      </c>
      <c r="G144" s="31" t="str">
        <f t="shared" si="24"/>
        <v>-</v>
      </c>
      <c r="H144" s="31" t="str">
        <f t="shared" si="25"/>
        <v>-</v>
      </c>
      <c r="I144" s="32" t="str">
        <f t="shared" si="21"/>
        <v>-</v>
      </c>
      <c r="J144" s="66"/>
    </row>
    <row r="145" spans="2:10" x14ac:dyDescent="0.25">
      <c r="B145" s="26" t="str">
        <f t="shared" si="26"/>
        <v>-</v>
      </c>
      <c r="C145" s="17" t="str">
        <f t="shared" si="22"/>
        <v>-</v>
      </c>
      <c r="D145" s="40" t="str">
        <f t="shared" si="27"/>
        <v>-</v>
      </c>
      <c r="E145" s="18" t="str">
        <f t="shared" si="23"/>
        <v>-</v>
      </c>
      <c r="F145" s="17">
        <f t="shared" si="16"/>
        <v>0.66473501538461544</v>
      </c>
      <c r="G145" s="31" t="str">
        <f t="shared" si="24"/>
        <v>-</v>
      </c>
      <c r="H145" s="31" t="str">
        <f t="shared" si="25"/>
        <v>-</v>
      </c>
      <c r="I145" s="32" t="str">
        <f t="shared" si="21"/>
        <v>-</v>
      </c>
      <c r="J145" s="66"/>
    </row>
    <row r="146" spans="2:10" x14ac:dyDescent="0.25">
      <c r="B146" s="26" t="str">
        <f t="shared" si="26"/>
        <v>-</v>
      </c>
      <c r="C146" s="17" t="str">
        <f t="shared" si="22"/>
        <v>-</v>
      </c>
      <c r="D146" s="40" t="str">
        <f t="shared" si="27"/>
        <v>-</v>
      </c>
      <c r="E146" s="18" t="str">
        <f t="shared" si="23"/>
        <v>-</v>
      </c>
      <c r="F146" s="17">
        <f t="shared" si="16"/>
        <v>0.66473501538461544</v>
      </c>
      <c r="G146" s="31" t="str">
        <f t="shared" si="24"/>
        <v>-</v>
      </c>
      <c r="H146" s="31" t="str">
        <f t="shared" si="25"/>
        <v>-</v>
      </c>
      <c r="I146" s="32" t="str">
        <f t="shared" si="21"/>
        <v>-</v>
      </c>
      <c r="J146" s="66"/>
    </row>
    <row r="147" spans="2:10" x14ac:dyDescent="0.25">
      <c r="B147" s="26" t="str">
        <f t="shared" si="26"/>
        <v>-</v>
      </c>
      <c r="C147" s="17" t="str">
        <f t="shared" si="22"/>
        <v>-</v>
      </c>
      <c r="D147" s="40" t="str">
        <f t="shared" si="27"/>
        <v>-</v>
      </c>
      <c r="E147" s="18" t="str">
        <f t="shared" si="23"/>
        <v>-</v>
      </c>
      <c r="F147" s="17">
        <f t="shared" si="16"/>
        <v>0.66473501538461544</v>
      </c>
      <c r="G147" s="31" t="str">
        <f t="shared" si="24"/>
        <v>-</v>
      </c>
      <c r="H147" s="31" t="str">
        <f t="shared" si="25"/>
        <v>-</v>
      </c>
      <c r="I147" s="32" t="str">
        <f t="shared" si="21"/>
        <v>-</v>
      </c>
      <c r="J147" s="66"/>
    </row>
    <row r="148" spans="2:10" x14ac:dyDescent="0.25">
      <c r="B148" s="26" t="str">
        <f t="shared" si="26"/>
        <v>-</v>
      </c>
      <c r="C148" s="17" t="str">
        <f t="shared" si="22"/>
        <v>-</v>
      </c>
      <c r="D148" s="40" t="str">
        <f t="shared" si="27"/>
        <v>-</v>
      </c>
      <c r="E148" s="18" t="str">
        <f t="shared" si="23"/>
        <v>-</v>
      </c>
      <c r="F148" s="17">
        <f t="shared" si="16"/>
        <v>0.66473501538461544</v>
      </c>
      <c r="G148" s="31" t="str">
        <f t="shared" si="24"/>
        <v>-</v>
      </c>
      <c r="H148" s="31" t="str">
        <f t="shared" si="25"/>
        <v>-</v>
      </c>
      <c r="I148" s="32" t="str">
        <f t="shared" si="21"/>
        <v>-</v>
      </c>
      <c r="J148" s="66"/>
    </row>
    <row r="149" spans="2:10" x14ac:dyDescent="0.25">
      <c r="B149" s="26" t="str">
        <f t="shared" si="26"/>
        <v>-</v>
      </c>
      <c r="C149" s="17" t="str">
        <f t="shared" si="22"/>
        <v>-</v>
      </c>
      <c r="D149" s="40" t="str">
        <f t="shared" si="27"/>
        <v>-</v>
      </c>
      <c r="E149" s="18" t="str">
        <f t="shared" si="23"/>
        <v>-</v>
      </c>
      <c r="F149" s="17">
        <f t="shared" si="16"/>
        <v>0.66473501538461544</v>
      </c>
      <c r="G149" s="31" t="str">
        <f t="shared" si="24"/>
        <v>-</v>
      </c>
      <c r="H149" s="31" t="str">
        <f t="shared" si="25"/>
        <v>-</v>
      </c>
      <c r="I149" s="32" t="str">
        <f t="shared" si="21"/>
        <v>-</v>
      </c>
      <c r="J149" s="66"/>
    </row>
    <row r="150" spans="2:10" x14ac:dyDescent="0.25">
      <c r="B150" s="26" t="str">
        <f t="shared" si="26"/>
        <v>-</v>
      </c>
      <c r="C150" s="17" t="str">
        <f t="shared" si="22"/>
        <v>-</v>
      </c>
      <c r="D150" s="40" t="str">
        <f t="shared" si="27"/>
        <v>-</v>
      </c>
      <c r="E150" s="18" t="str">
        <f t="shared" si="23"/>
        <v>-</v>
      </c>
      <c r="F150" s="17">
        <f t="shared" si="16"/>
        <v>0.66473501538461544</v>
      </c>
      <c r="G150" s="31" t="str">
        <f t="shared" si="24"/>
        <v>-</v>
      </c>
      <c r="H150" s="31" t="str">
        <f t="shared" si="25"/>
        <v>-</v>
      </c>
      <c r="I150" s="32" t="str">
        <f t="shared" si="21"/>
        <v>-</v>
      </c>
      <c r="J150" s="66"/>
    </row>
    <row r="151" spans="2:10" x14ac:dyDescent="0.25">
      <c r="B151" s="26" t="str">
        <f t="shared" si="26"/>
        <v>-</v>
      </c>
      <c r="C151" s="17" t="str">
        <f t="shared" ref="C151:C182" si="28">IFERROR(Vi-(a*B151),"-")</f>
        <v>-</v>
      </c>
      <c r="D151" s="40" t="str">
        <f t="shared" si="27"/>
        <v>-</v>
      </c>
      <c r="E151" s="18" t="str">
        <f t="shared" ref="E151:E182" si="29">IFERROR((rho_ar*I*C151/mi_ar),"-")</f>
        <v>-</v>
      </c>
      <c r="F151" s="17">
        <f t="shared" ref="F151:F214" si="30">c_ar*mi_ar/k_ar</f>
        <v>0.66473501538461544</v>
      </c>
      <c r="G151" s="31" t="str">
        <f t="shared" ref="G151:G182" si="31">IFERROR(0.193*(E151^0.618)*(F151^0.33)*k_ar/(2*r_d),"-")</f>
        <v>-</v>
      </c>
      <c r="H151" s="31" t="str">
        <f t="shared" ref="H151:H182" si="32">IFERROR(0.027*(E151^0.805)*(F151^0.33)*k_ar/(2*r_d),"-")</f>
        <v>-</v>
      </c>
      <c r="I151" s="32" t="str">
        <f t="shared" si="21"/>
        <v>-</v>
      </c>
      <c r="J151" s="66"/>
    </row>
    <row r="152" spans="2:10" x14ac:dyDescent="0.25">
      <c r="B152" s="26" t="str">
        <f t="shared" ref="B152:B183" si="33">IFERROR(IF(B151+time_stp&lt;ts,B151+time_stp,"-"),"-")</f>
        <v>-</v>
      </c>
      <c r="C152" s="17" t="str">
        <f t="shared" si="28"/>
        <v>-</v>
      </c>
      <c r="D152" s="40" t="str">
        <f t="shared" ref="D152:D183" si="34">IFERROR(D151*(1-(B151/ts)),"-")</f>
        <v>-</v>
      </c>
      <c r="E152" s="18" t="str">
        <f t="shared" si="29"/>
        <v>-</v>
      </c>
      <c r="F152" s="17">
        <f t="shared" si="30"/>
        <v>0.66473501538461544</v>
      </c>
      <c r="G152" s="31" t="str">
        <f t="shared" si="31"/>
        <v>-</v>
      </c>
      <c r="H152" s="31" t="str">
        <f t="shared" si="32"/>
        <v>-</v>
      </c>
      <c r="I152" s="32" t="str">
        <f t="shared" ref="I152:I215" si="35">IFERROR(IF(E152&lt;40000,G152,H152),"-")</f>
        <v>-</v>
      </c>
      <c r="J152" s="66"/>
    </row>
    <row r="153" spans="2:10" x14ac:dyDescent="0.25">
      <c r="B153" s="26" t="str">
        <f t="shared" si="33"/>
        <v>-</v>
      </c>
      <c r="C153" s="17" t="str">
        <f t="shared" si="28"/>
        <v>-</v>
      </c>
      <c r="D153" s="40" t="str">
        <f t="shared" si="34"/>
        <v>-</v>
      </c>
      <c r="E153" s="18" t="str">
        <f t="shared" si="29"/>
        <v>-</v>
      </c>
      <c r="F153" s="17">
        <f t="shared" si="30"/>
        <v>0.66473501538461544</v>
      </c>
      <c r="G153" s="31" t="str">
        <f t="shared" si="31"/>
        <v>-</v>
      </c>
      <c r="H153" s="31" t="str">
        <f t="shared" si="32"/>
        <v>-</v>
      </c>
      <c r="I153" s="32" t="str">
        <f t="shared" si="35"/>
        <v>-</v>
      </c>
      <c r="J153" s="66"/>
    </row>
    <row r="154" spans="2:10" x14ac:dyDescent="0.25">
      <c r="B154" s="26" t="str">
        <f t="shared" si="33"/>
        <v>-</v>
      </c>
      <c r="C154" s="17" t="str">
        <f t="shared" si="28"/>
        <v>-</v>
      </c>
      <c r="D154" s="40" t="str">
        <f t="shared" si="34"/>
        <v>-</v>
      </c>
      <c r="E154" s="18" t="str">
        <f t="shared" si="29"/>
        <v>-</v>
      </c>
      <c r="F154" s="17">
        <f t="shared" si="30"/>
        <v>0.66473501538461544</v>
      </c>
      <c r="G154" s="31" t="str">
        <f t="shared" si="31"/>
        <v>-</v>
      </c>
      <c r="H154" s="31" t="str">
        <f t="shared" si="32"/>
        <v>-</v>
      </c>
      <c r="I154" s="32" t="str">
        <f t="shared" si="35"/>
        <v>-</v>
      </c>
      <c r="J154" s="66"/>
    </row>
    <row r="155" spans="2:10" x14ac:dyDescent="0.25">
      <c r="B155" s="26" t="str">
        <f t="shared" si="33"/>
        <v>-</v>
      </c>
      <c r="C155" s="17" t="str">
        <f t="shared" si="28"/>
        <v>-</v>
      </c>
      <c r="D155" s="40" t="str">
        <f t="shared" si="34"/>
        <v>-</v>
      </c>
      <c r="E155" s="18" t="str">
        <f t="shared" si="29"/>
        <v>-</v>
      </c>
      <c r="F155" s="17">
        <f t="shared" si="30"/>
        <v>0.66473501538461544</v>
      </c>
      <c r="G155" s="31" t="str">
        <f t="shared" si="31"/>
        <v>-</v>
      </c>
      <c r="H155" s="31" t="str">
        <f t="shared" si="32"/>
        <v>-</v>
      </c>
      <c r="I155" s="32" t="str">
        <f t="shared" si="35"/>
        <v>-</v>
      </c>
      <c r="J155" s="66"/>
    </row>
    <row r="156" spans="2:10" x14ac:dyDescent="0.25">
      <c r="B156" s="26" t="str">
        <f t="shared" si="33"/>
        <v>-</v>
      </c>
      <c r="C156" s="17" t="str">
        <f t="shared" si="28"/>
        <v>-</v>
      </c>
      <c r="D156" s="40" t="str">
        <f t="shared" si="34"/>
        <v>-</v>
      </c>
      <c r="E156" s="18" t="str">
        <f t="shared" si="29"/>
        <v>-</v>
      </c>
      <c r="F156" s="17">
        <f t="shared" si="30"/>
        <v>0.66473501538461544</v>
      </c>
      <c r="G156" s="31" t="str">
        <f t="shared" si="31"/>
        <v>-</v>
      </c>
      <c r="H156" s="31" t="str">
        <f t="shared" si="32"/>
        <v>-</v>
      </c>
      <c r="I156" s="32" t="str">
        <f t="shared" si="35"/>
        <v>-</v>
      </c>
      <c r="J156" s="66"/>
    </row>
    <row r="157" spans="2:10" x14ac:dyDescent="0.25">
      <c r="B157" s="26" t="str">
        <f t="shared" si="33"/>
        <v>-</v>
      </c>
      <c r="C157" s="17" t="str">
        <f t="shared" si="28"/>
        <v>-</v>
      </c>
      <c r="D157" s="40" t="str">
        <f t="shared" si="34"/>
        <v>-</v>
      </c>
      <c r="E157" s="18" t="str">
        <f t="shared" si="29"/>
        <v>-</v>
      </c>
      <c r="F157" s="17">
        <f t="shared" si="30"/>
        <v>0.66473501538461544</v>
      </c>
      <c r="G157" s="31" t="str">
        <f t="shared" si="31"/>
        <v>-</v>
      </c>
      <c r="H157" s="31" t="str">
        <f t="shared" si="32"/>
        <v>-</v>
      </c>
      <c r="I157" s="32" t="str">
        <f t="shared" si="35"/>
        <v>-</v>
      </c>
      <c r="J157" s="66"/>
    </row>
    <row r="158" spans="2:10" x14ac:dyDescent="0.25">
      <c r="B158" s="26" t="str">
        <f t="shared" si="33"/>
        <v>-</v>
      </c>
      <c r="C158" s="17" t="str">
        <f t="shared" si="28"/>
        <v>-</v>
      </c>
      <c r="D158" s="40" t="str">
        <f t="shared" si="34"/>
        <v>-</v>
      </c>
      <c r="E158" s="18" t="str">
        <f t="shared" si="29"/>
        <v>-</v>
      </c>
      <c r="F158" s="17">
        <f t="shared" si="30"/>
        <v>0.66473501538461544</v>
      </c>
      <c r="G158" s="31" t="str">
        <f t="shared" si="31"/>
        <v>-</v>
      </c>
      <c r="H158" s="31" t="str">
        <f t="shared" si="32"/>
        <v>-</v>
      </c>
      <c r="I158" s="32" t="str">
        <f t="shared" si="35"/>
        <v>-</v>
      </c>
      <c r="J158" s="66"/>
    </row>
    <row r="159" spans="2:10" x14ac:dyDescent="0.25">
      <c r="B159" s="26" t="str">
        <f t="shared" si="33"/>
        <v>-</v>
      </c>
      <c r="C159" s="17" t="str">
        <f t="shared" si="28"/>
        <v>-</v>
      </c>
      <c r="D159" s="40" t="str">
        <f t="shared" si="34"/>
        <v>-</v>
      </c>
      <c r="E159" s="18" t="str">
        <f t="shared" si="29"/>
        <v>-</v>
      </c>
      <c r="F159" s="17">
        <f t="shared" si="30"/>
        <v>0.66473501538461544</v>
      </c>
      <c r="G159" s="31" t="str">
        <f t="shared" si="31"/>
        <v>-</v>
      </c>
      <c r="H159" s="31" t="str">
        <f t="shared" si="32"/>
        <v>-</v>
      </c>
      <c r="I159" s="32" t="str">
        <f t="shared" si="35"/>
        <v>-</v>
      </c>
      <c r="J159" s="66"/>
    </row>
    <row r="160" spans="2:10" x14ac:dyDescent="0.25">
      <c r="B160" s="26" t="str">
        <f t="shared" si="33"/>
        <v>-</v>
      </c>
      <c r="C160" s="17" t="str">
        <f t="shared" si="28"/>
        <v>-</v>
      </c>
      <c r="D160" s="40" t="str">
        <f t="shared" si="34"/>
        <v>-</v>
      </c>
      <c r="E160" s="18" t="str">
        <f t="shared" si="29"/>
        <v>-</v>
      </c>
      <c r="F160" s="17">
        <f t="shared" si="30"/>
        <v>0.66473501538461544</v>
      </c>
      <c r="G160" s="31" t="str">
        <f t="shared" si="31"/>
        <v>-</v>
      </c>
      <c r="H160" s="31" t="str">
        <f t="shared" si="32"/>
        <v>-</v>
      </c>
      <c r="I160" s="32" t="str">
        <f t="shared" si="35"/>
        <v>-</v>
      </c>
      <c r="J160" s="66"/>
    </row>
    <row r="161" spans="2:10" x14ac:dyDescent="0.25">
      <c r="B161" s="26" t="str">
        <f t="shared" si="33"/>
        <v>-</v>
      </c>
      <c r="C161" s="17" t="str">
        <f t="shared" si="28"/>
        <v>-</v>
      </c>
      <c r="D161" s="40" t="str">
        <f t="shared" si="34"/>
        <v>-</v>
      </c>
      <c r="E161" s="18" t="str">
        <f t="shared" si="29"/>
        <v>-</v>
      </c>
      <c r="F161" s="17">
        <f t="shared" si="30"/>
        <v>0.66473501538461544</v>
      </c>
      <c r="G161" s="31" t="str">
        <f t="shared" si="31"/>
        <v>-</v>
      </c>
      <c r="H161" s="31" t="str">
        <f t="shared" si="32"/>
        <v>-</v>
      </c>
      <c r="I161" s="32" t="str">
        <f t="shared" si="35"/>
        <v>-</v>
      </c>
      <c r="J161" s="66"/>
    </row>
    <row r="162" spans="2:10" x14ac:dyDescent="0.25">
      <c r="B162" s="26" t="str">
        <f t="shared" si="33"/>
        <v>-</v>
      </c>
      <c r="C162" s="17" t="str">
        <f t="shared" si="28"/>
        <v>-</v>
      </c>
      <c r="D162" s="40" t="str">
        <f t="shared" si="34"/>
        <v>-</v>
      </c>
      <c r="E162" s="18" t="str">
        <f t="shared" si="29"/>
        <v>-</v>
      </c>
      <c r="F162" s="17">
        <f t="shared" si="30"/>
        <v>0.66473501538461544</v>
      </c>
      <c r="G162" s="31" t="str">
        <f t="shared" si="31"/>
        <v>-</v>
      </c>
      <c r="H162" s="31" t="str">
        <f t="shared" si="32"/>
        <v>-</v>
      </c>
      <c r="I162" s="32" t="str">
        <f t="shared" si="35"/>
        <v>-</v>
      </c>
      <c r="J162" s="66"/>
    </row>
    <row r="163" spans="2:10" x14ac:dyDescent="0.25">
      <c r="B163" s="26" t="str">
        <f t="shared" si="33"/>
        <v>-</v>
      </c>
      <c r="C163" s="17" t="str">
        <f t="shared" si="28"/>
        <v>-</v>
      </c>
      <c r="D163" s="40" t="str">
        <f t="shared" si="34"/>
        <v>-</v>
      </c>
      <c r="E163" s="18" t="str">
        <f t="shared" si="29"/>
        <v>-</v>
      </c>
      <c r="F163" s="17">
        <f t="shared" si="30"/>
        <v>0.66473501538461544</v>
      </c>
      <c r="G163" s="31" t="str">
        <f t="shared" si="31"/>
        <v>-</v>
      </c>
      <c r="H163" s="31" t="str">
        <f t="shared" si="32"/>
        <v>-</v>
      </c>
      <c r="I163" s="32" t="str">
        <f t="shared" si="35"/>
        <v>-</v>
      </c>
      <c r="J163" s="66"/>
    </row>
    <row r="164" spans="2:10" x14ac:dyDescent="0.25">
      <c r="B164" s="26" t="str">
        <f t="shared" si="33"/>
        <v>-</v>
      </c>
      <c r="C164" s="17" t="str">
        <f t="shared" si="28"/>
        <v>-</v>
      </c>
      <c r="D164" s="40" t="str">
        <f t="shared" si="34"/>
        <v>-</v>
      </c>
      <c r="E164" s="18" t="str">
        <f t="shared" si="29"/>
        <v>-</v>
      </c>
      <c r="F164" s="17">
        <f t="shared" si="30"/>
        <v>0.66473501538461544</v>
      </c>
      <c r="G164" s="31" t="str">
        <f t="shared" si="31"/>
        <v>-</v>
      </c>
      <c r="H164" s="31" t="str">
        <f t="shared" si="32"/>
        <v>-</v>
      </c>
      <c r="I164" s="32" t="str">
        <f t="shared" si="35"/>
        <v>-</v>
      </c>
      <c r="J164" s="66"/>
    </row>
    <row r="165" spans="2:10" x14ac:dyDescent="0.25">
      <c r="B165" s="26" t="str">
        <f t="shared" si="33"/>
        <v>-</v>
      </c>
      <c r="C165" s="17" t="str">
        <f t="shared" si="28"/>
        <v>-</v>
      </c>
      <c r="D165" s="40" t="str">
        <f t="shared" si="34"/>
        <v>-</v>
      </c>
      <c r="E165" s="18" t="str">
        <f t="shared" si="29"/>
        <v>-</v>
      </c>
      <c r="F165" s="17">
        <f t="shared" si="30"/>
        <v>0.66473501538461544</v>
      </c>
      <c r="G165" s="31" t="str">
        <f t="shared" si="31"/>
        <v>-</v>
      </c>
      <c r="H165" s="31" t="str">
        <f t="shared" si="32"/>
        <v>-</v>
      </c>
      <c r="I165" s="32" t="str">
        <f t="shared" si="35"/>
        <v>-</v>
      </c>
      <c r="J165" s="66"/>
    </row>
    <row r="166" spans="2:10" x14ac:dyDescent="0.25">
      <c r="B166" s="26" t="str">
        <f t="shared" si="33"/>
        <v>-</v>
      </c>
      <c r="C166" s="17" t="str">
        <f t="shared" si="28"/>
        <v>-</v>
      </c>
      <c r="D166" s="40" t="str">
        <f t="shared" si="34"/>
        <v>-</v>
      </c>
      <c r="E166" s="18" t="str">
        <f t="shared" si="29"/>
        <v>-</v>
      </c>
      <c r="F166" s="17">
        <f t="shared" si="30"/>
        <v>0.66473501538461544</v>
      </c>
      <c r="G166" s="31" t="str">
        <f t="shared" si="31"/>
        <v>-</v>
      </c>
      <c r="H166" s="31" t="str">
        <f t="shared" si="32"/>
        <v>-</v>
      </c>
      <c r="I166" s="32" t="str">
        <f t="shared" si="35"/>
        <v>-</v>
      </c>
      <c r="J166" s="66"/>
    </row>
    <row r="167" spans="2:10" x14ac:dyDescent="0.25">
      <c r="B167" s="26" t="str">
        <f t="shared" si="33"/>
        <v>-</v>
      </c>
      <c r="C167" s="17" t="str">
        <f t="shared" si="28"/>
        <v>-</v>
      </c>
      <c r="D167" s="40" t="str">
        <f t="shared" si="34"/>
        <v>-</v>
      </c>
      <c r="E167" s="18" t="str">
        <f t="shared" si="29"/>
        <v>-</v>
      </c>
      <c r="F167" s="17">
        <f t="shared" si="30"/>
        <v>0.66473501538461544</v>
      </c>
      <c r="G167" s="31" t="str">
        <f t="shared" si="31"/>
        <v>-</v>
      </c>
      <c r="H167" s="31" t="str">
        <f t="shared" si="32"/>
        <v>-</v>
      </c>
      <c r="I167" s="32" t="str">
        <f t="shared" si="35"/>
        <v>-</v>
      </c>
      <c r="J167" s="66"/>
    </row>
    <row r="168" spans="2:10" x14ac:dyDescent="0.25">
      <c r="B168" s="26" t="str">
        <f t="shared" si="33"/>
        <v>-</v>
      </c>
      <c r="C168" s="17" t="str">
        <f t="shared" si="28"/>
        <v>-</v>
      </c>
      <c r="D168" s="40" t="str">
        <f t="shared" si="34"/>
        <v>-</v>
      </c>
      <c r="E168" s="18" t="str">
        <f t="shared" si="29"/>
        <v>-</v>
      </c>
      <c r="F168" s="17">
        <f t="shared" si="30"/>
        <v>0.66473501538461544</v>
      </c>
      <c r="G168" s="31" t="str">
        <f t="shared" si="31"/>
        <v>-</v>
      </c>
      <c r="H168" s="31" t="str">
        <f t="shared" si="32"/>
        <v>-</v>
      </c>
      <c r="I168" s="32" t="str">
        <f t="shared" si="35"/>
        <v>-</v>
      </c>
      <c r="J168" s="66"/>
    </row>
    <row r="169" spans="2:10" x14ac:dyDescent="0.25">
      <c r="B169" s="26" t="str">
        <f t="shared" si="33"/>
        <v>-</v>
      </c>
      <c r="C169" s="17" t="str">
        <f t="shared" si="28"/>
        <v>-</v>
      </c>
      <c r="D169" s="40" t="str">
        <f t="shared" si="34"/>
        <v>-</v>
      </c>
      <c r="E169" s="18" t="str">
        <f t="shared" si="29"/>
        <v>-</v>
      </c>
      <c r="F169" s="17">
        <f t="shared" si="30"/>
        <v>0.66473501538461544</v>
      </c>
      <c r="G169" s="31" t="str">
        <f t="shared" si="31"/>
        <v>-</v>
      </c>
      <c r="H169" s="31" t="str">
        <f t="shared" si="32"/>
        <v>-</v>
      </c>
      <c r="I169" s="32" t="str">
        <f t="shared" si="35"/>
        <v>-</v>
      </c>
      <c r="J169" s="66"/>
    </row>
    <row r="170" spans="2:10" x14ac:dyDescent="0.25">
      <c r="B170" s="26" t="str">
        <f t="shared" si="33"/>
        <v>-</v>
      </c>
      <c r="C170" s="17" t="str">
        <f t="shared" si="28"/>
        <v>-</v>
      </c>
      <c r="D170" s="40" t="str">
        <f t="shared" si="34"/>
        <v>-</v>
      </c>
      <c r="E170" s="18" t="str">
        <f t="shared" si="29"/>
        <v>-</v>
      </c>
      <c r="F170" s="17">
        <f t="shared" si="30"/>
        <v>0.66473501538461544</v>
      </c>
      <c r="G170" s="31" t="str">
        <f t="shared" si="31"/>
        <v>-</v>
      </c>
      <c r="H170" s="31" t="str">
        <f t="shared" si="32"/>
        <v>-</v>
      </c>
      <c r="I170" s="32" t="str">
        <f t="shared" si="35"/>
        <v>-</v>
      </c>
      <c r="J170" s="66"/>
    </row>
    <row r="171" spans="2:10" x14ac:dyDescent="0.25">
      <c r="B171" s="26" t="str">
        <f t="shared" si="33"/>
        <v>-</v>
      </c>
      <c r="C171" s="17" t="str">
        <f t="shared" si="28"/>
        <v>-</v>
      </c>
      <c r="D171" s="40" t="str">
        <f t="shared" si="34"/>
        <v>-</v>
      </c>
      <c r="E171" s="18" t="str">
        <f t="shared" si="29"/>
        <v>-</v>
      </c>
      <c r="F171" s="17">
        <f t="shared" si="30"/>
        <v>0.66473501538461544</v>
      </c>
      <c r="G171" s="31" t="str">
        <f t="shared" si="31"/>
        <v>-</v>
      </c>
      <c r="H171" s="31" t="str">
        <f t="shared" si="32"/>
        <v>-</v>
      </c>
      <c r="I171" s="32" t="str">
        <f t="shared" si="35"/>
        <v>-</v>
      </c>
      <c r="J171" s="66"/>
    </row>
    <row r="172" spans="2:10" x14ac:dyDescent="0.25">
      <c r="B172" s="26" t="str">
        <f t="shared" si="33"/>
        <v>-</v>
      </c>
      <c r="C172" s="17" t="str">
        <f t="shared" si="28"/>
        <v>-</v>
      </c>
      <c r="D172" s="40" t="str">
        <f t="shared" si="34"/>
        <v>-</v>
      </c>
      <c r="E172" s="18" t="str">
        <f t="shared" si="29"/>
        <v>-</v>
      </c>
      <c r="F172" s="17">
        <f t="shared" si="30"/>
        <v>0.66473501538461544</v>
      </c>
      <c r="G172" s="31" t="str">
        <f t="shared" si="31"/>
        <v>-</v>
      </c>
      <c r="H172" s="31" t="str">
        <f t="shared" si="32"/>
        <v>-</v>
      </c>
      <c r="I172" s="32" t="str">
        <f t="shared" si="35"/>
        <v>-</v>
      </c>
      <c r="J172" s="66"/>
    </row>
    <row r="173" spans="2:10" x14ac:dyDescent="0.25">
      <c r="B173" s="26" t="str">
        <f t="shared" si="33"/>
        <v>-</v>
      </c>
      <c r="C173" s="17" t="str">
        <f t="shared" si="28"/>
        <v>-</v>
      </c>
      <c r="D173" s="40" t="str">
        <f t="shared" si="34"/>
        <v>-</v>
      </c>
      <c r="E173" s="18" t="str">
        <f t="shared" si="29"/>
        <v>-</v>
      </c>
      <c r="F173" s="17">
        <f t="shared" si="30"/>
        <v>0.66473501538461544</v>
      </c>
      <c r="G173" s="31" t="str">
        <f t="shared" si="31"/>
        <v>-</v>
      </c>
      <c r="H173" s="31" t="str">
        <f t="shared" si="32"/>
        <v>-</v>
      </c>
      <c r="I173" s="32" t="str">
        <f t="shared" si="35"/>
        <v>-</v>
      </c>
      <c r="J173" s="66"/>
    </row>
    <row r="174" spans="2:10" x14ac:dyDescent="0.25">
      <c r="B174" s="26" t="str">
        <f t="shared" si="33"/>
        <v>-</v>
      </c>
      <c r="C174" s="17" t="str">
        <f t="shared" si="28"/>
        <v>-</v>
      </c>
      <c r="D174" s="40" t="str">
        <f t="shared" si="34"/>
        <v>-</v>
      </c>
      <c r="E174" s="18" t="str">
        <f t="shared" si="29"/>
        <v>-</v>
      </c>
      <c r="F174" s="17">
        <f t="shared" si="30"/>
        <v>0.66473501538461544</v>
      </c>
      <c r="G174" s="31" t="str">
        <f t="shared" si="31"/>
        <v>-</v>
      </c>
      <c r="H174" s="31" t="str">
        <f t="shared" si="32"/>
        <v>-</v>
      </c>
      <c r="I174" s="32" t="str">
        <f t="shared" si="35"/>
        <v>-</v>
      </c>
      <c r="J174" s="66"/>
    </row>
    <row r="175" spans="2:10" x14ac:dyDescent="0.25">
      <c r="B175" s="26" t="str">
        <f t="shared" si="33"/>
        <v>-</v>
      </c>
      <c r="C175" s="17" t="str">
        <f t="shared" si="28"/>
        <v>-</v>
      </c>
      <c r="D175" s="40" t="str">
        <f t="shared" si="34"/>
        <v>-</v>
      </c>
      <c r="E175" s="18" t="str">
        <f t="shared" si="29"/>
        <v>-</v>
      </c>
      <c r="F175" s="17">
        <f t="shared" si="30"/>
        <v>0.66473501538461544</v>
      </c>
      <c r="G175" s="31" t="str">
        <f t="shared" si="31"/>
        <v>-</v>
      </c>
      <c r="H175" s="31" t="str">
        <f t="shared" si="32"/>
        <v>-</v>
      </c>
      <c r="I175" s="32" t="str">
        <f t="shared" si="35"/>
        <v>-</v>
      </c>
      <c r="J175" s="66"/>
    </row>
    <row r="176" spans="2:10" x14ac:dyDescent="0.25">
      <c r="B176" s="26" t="str">
        <f t="shared" si="33"/>
        <v>-</v>
      </c>
      <c r="C176" s="17" t="str">
        <f t="shared" si="28"/>
        <v>-</v>
      </c>
      <c r="D176" s="40" t="str">
        <f t="shared" si="34"/>
        <v>-</v>
      </c>
      <c r="E176" s="18" t="str">
        <f t="shared" si="29"/>
        <v>-</v>
      </c>
      <c r="F176" s="17">
        <f t="shared" si="30"/>
        <v>0.66473501538461544</v>
      </c>
      <c r="G176" s="31" t="str">
        <f t="shared" si="31"/>
        <v>-</v>
      </c>
      <c r="H176" s="31" t="str">
        <f t="shared" si="32"/>
        <v>-</v>
      </c>
      <c r="I176" s="32" t="str">
        <f t="shared" si="35"/>
        <v>-</v>
      </c>
      <c r="J176" s="66"/>
    </row>
    <row r="177" spans="2:10" x14ac:dyDescent="0.25">
      <c r="B177" s="26" t="str">
        <f t="shared" si="33"/>
        <v>-</v>
      </c>
      <c r="C177" s="17" t="str">
        <f t="shared" si="28"/>
        <v>-</v>
      </c>
      <c r="D177" s="40" t="str">
        <f t="shared" si="34"/>
        <v>-</v>
      </c>
      <c r="E177" s="18" t="str">
        <f t="shared" si="29"/>
        <v>-</v>
      </c>
      <c r="F177" s="17">
        <f t="shared" si="30"/>
        <v>0.66473501538461544</v>
      </c>
      <c r="G177" s="31" t="str">
        <f t="shared" si="31"/>
        <v>-</v>
      </c>
      <c r="H177" s="31" t="str">
        <f t="shared" si="32"/>
        <v>-</v>
      </c>
      <c r="I177" s="32" t="str">
        <f t="shared" si="35"/>
        <v>-</v>
      </c>
      <c r="J177" s="66"/>
    </row>
    <row r="178" spans="2:10" x14ac:dyDescent="0.25">
      <c r="B178" s="26" t="str">
        <f t="shared" si="33"/>
        <v>-</v>
      </c>
      <c r="C178" s="17" t="str">
        <f t="shared" si="28"/>
        <v>-</v>
      </c>
      <c r="D178" s="40" t="str">
        <f t="shared" si="34"/>
        <v>-</v>
      </c>
      <c r="E178" s="18" t="str">
        <f t="shared" si="29"/>
        <v>-</v>
      </c>
      <c r="F178" s="17">
        <f t="shared" si="30"/>
        <v>0.66473501538461544</v>
      </c>
      <c r="G178" s="31" t="str">
        <f t="shared" si="31"/>
        <v>-</v>
      </c>
      <c r="H178" s="31" t="str">
        <f t="shared" si="32"/>
        <v>-</v>
      </c>
      <c r="I178" s="32" t="str">
        <f t="shared" si="35"/>
        <v>-</v>
      </c>
      <c r="J178" s="66"/>
    </row>
    <row r="179" spans="2:10" x14ac:dyDescent="0.25">
      <c r="B179" s="26" t="str">
        <f t="shared" si="33"/>
        <v>-</v>
      </c>
      <c r="C179" s="17" t="str">
        <f t="shared" si="28"/>
        <v>-</v>
      </c>
      <c r="D179" s="40" t="str">
        <f t="shared" si="34"/>
        <v>-</v>
      </c>
      <c r="E179" s="18" t="str">
        <f t="shared" si="29"/>
        <v>-</v>
      </c>
      <c r="F179" s="17">
        <f t="shared" si="30"/>
        <v>0.66473501538461544</v>
      </c>
      <c r="G179" s="31" t="str">
        <f t="shared" si="31"/>
        <v>-</v>
      </c>
      <c r="H179" s="31" t="str">
        <f t="shared" si="32"/>
        <v>-</v>
      </c>
      <c r="I179" s="32" t="str">
        <f t="shared" si="35"/>
        <v>-</v>
      </c>
      <c r="J179" s="66"/>
    </row>
    <row r="180" spans="2:10" x14ac:dyDescent="0.25">
      <c r="B180" s="26" t="str">
        <f t="shared" si="33"/>
        <v>-</v>
      </c>
      <c r="C180" s="17" t="str">
        <f t="shared" si="28"/>
        <v>-</v>
      </c>
      <c r="D180" s="40" t="str">
        <f t="shared" si="34"/>
        <v>-</v>
      </c>
      <c r="E180" s="18" t="str">
        <f t="shared" si="29"/>
        <v>-</v>
      </c>
      <c r="F180" s="17">
        <f t="shared" si="30"/>
        <v>0.66473501538461544</v>
      </c>
      <c r="G180" s="31" t="str">
        <f t="shared" si="31"/>
        <v>-</v>
      </c>
      <c r="H180" s="31" t="str">
        <f t="shared" si="32"/>
        <v>-</v>
      </c>
      <c r="I180" s="32" t="str">
        <f t="shared" si="35"/>
        <v>-</v>
      </c>
      <c r="J180" s="66"/>
    </row>
    <row r="181" spans="2:10" x14ac:dyDescent="0.25">
      <c r="B181" s="26" t="str">
        <f t="shared" si="33"/>
        <v>-</v>
      </c>
      <c r="C181" s="17" t="str">
        <f t="shared" si="28"/>
        <v>-</v>
      </c>
      <c r="D181" s="40" t="str">
        <f t="shared" si="34"/>
        <v>-</v>
      </c>
      <c r="E181" s="18" t="str">
        <f t="shared" si="29"/>
        <v>-</v>
      </c>
      <c r="F181" s="17">
        <f t="shared" si="30"/>
        <v>0.66473501538461544</v>
      </c>
      <c r="G181" s="31" t="str">
        <f t="shared" si="31"/>
        <v>-</v>
      </c>
      <c r="H181" s="31" t="str">
        <f t="shared" si="32"/>
        <v>-</v>
      </c>
      <c r="I181" s="32" t="str">
        <f t="shared" si="35"/>
        <v>-</v>
      </c>
      <c r="J181" s="66"/>
    </row>
    <row r="182" spans="2:10" x14ac:dyDescent="0.25">
      <c r="B182" s="26" t="str">
        <f t="shared" si="33"/>
        <v>-</v>
      </c>
      <c r="C182" s="17" t="str">
        <f t="shared" si="28"/>
        <v>-</v>
      </c>
      <c r="D182" s="40" t="str">
        <f t="shared" si="34"/>
        <v>-</v>
      </c>
      <c r="E182" s="18" t="str">
        <f t="shared" si="29"/>
        <v>-</v>
      </c>
      <c r="F182" s="17">
        <f t="shared" si="30"/>
        <v>0.66473501538461544</v>
      </c>
      <c r="G182" s="31" t="str">
        <f t="shared" si="31"/>
        <v>-</v>
      </c>
      <c r="H182" s="31" t="str">
        <f t="shared" si="32"/>
        <v>-</v>
      </c>
      <c r="I182" s="32" t="str">
        <f t="shared" si="35"/>
        <v>-</v>
      </c>
      <c r="J182" s="66"/>
    </row>
    <row r="183" spans="2:10" x14ac:dyDescent="0.25">
      <c r="B183" s="26" t="str">
        <f t="shared" si="33"/>
        <v>-</v>
      </c>
      <c r="C183" s="17" t="str">
        <f t="shared" ref="C183:C214" si="36">IFERROR(Vi-(a*B183),"-")</f>
        <v>-</v>
      </c>
      <c r="D183" s="40" t="str">
        <f t="shared" si="34"/>
        <v>-</v>
      </c>
      <c r="E183" s="18" t="str">
        <f t="shared" ref="E183:E214" si="37">IFERROR((rho_ar*I*C183/mi_ar),"-")</f>
        <v>-</v>
      </c>
      <c r="F183" s="17">
        <f t="shared" si="30"/>
        <v>0.66473501538461544</v>
      </c>
      <c r="G183" s="31" t="str">
        <f t="shared" ref="G183:G214" si="38">IFERROR(0.193*(E183^0.618)*(F183^0.33)*k_ar/(2*r_d),"-")</f>
        <v>-</v>
      </c>
      <c r="H183" s="31" t="str">
        <f t="shared" ref="H183:H214" si="39">IFERROR(0.027*(E183^0.805)*(F183^0.33)*k_ar/(2*r_d),"-")</f>
        <v>-</v>
      </c>
      <c r="I183" s="32" t="str">
        <f t="shared" si="35"/>
        <v>-</v>
      </c>
      <c r="J183" s="66"/>
    </row>
    <row r="184" spans="2:10" x14ac:dyDescent="0.25">
      <c r="B184" s="26" t="str">
        <f t="shared" ref="B184:B220" si="40">IFERROR(IF(B183+time_stp&lt;ts,B183+time_stp,"-"),"-")</f>
        <v>-</v>
      </c>
      <c r="C184" s="17" t="str">
        <f t="shared" si="36"/>
        <v>-</v>
      </c>
      <c r="D184" s="40" t="str">
        <f t="shared" ref="D184:D220" si="41">IFERROR(D183*(1-(B183/ts)),"-")</f>
        <v>-</v>
      </c>
      <c r="E184" s="18" t="str">
        <f t="shared" si="37"/>
        <v>-</v>
      </c>
      <c r="F184" s="17">
        <f t="shared" si="30"/>
        <v>0.66473501538461544</v>
      </c>
      <c r="G184" s="31" t="str">
        <f t="shared" si="38"/>
        <v>-</v>
      </c>
      <c r="H184" s="31" t="str">
        <f t="shared" si="39"/>
        <v>-</v>
      </c>
      <c r="I184" s="32" t="str">
        <f t="shared" si="35"/>
        <v>-</v>
      </c>
      <c r="J184" s="66"/>
    </row>
    <row r="185" spans="2:10" x14ac:dyDescent="0.25">
      <c r="B185" s="26" t="str">
        <f t="shared" si="40"/>
        <v>-</v>
      </c>
      <c r="C185" s="17" t="str">
        <f t="shared" si="36"/>
        <v>-</v>
      </c>
      <c r="D185" s="40" t="str">
        <f t="shared" si="41"/>
        <v>-</v>
      </c>
      <c r="E185" s="18" t="str">
        <f t="shared" si="37"/>
        <v>-</v>
      </c>
      <c r="F185" s="17">
        <f t="shared" si="30"/>
        <v>0.66473501538461544</v>
      </c>
      <c r="G185" s="31" t="str">
        <f t="shared" si="38"/>
        <v>-</v>
      </c>
      <c r="H185" s="31" t="str">
        <f t="shared" si="39"/>
        <v>-</v>
      </c>
      <c r="I185" s="32" t="str">
        <f t="shared" si="35"/>
        <v>-</v>
      </c>
      <c r="J185" s="66"/>
    </row>
    <row r="186" spans="2:10" x14ac:dyDescent="0.25">
      <c r="B186" s="26" t="str">
        <f t="shared" si="40"/>
        <v>-</v>
      </c>
      <c r="C186" s="17" t="str">
        <f t="shared" si="36"/>
        <v>-</v>
      </c>
      <c r="D186" s="40" t="str">
        <f t="shared" si="41"/>
        <v>-</v>
      </c>
      <c r="E186" s="18" t="str">
        <f t="shared" si="37"/>
        <v>-</v>
      </c>
      <c r="F186" s="17">
        <f t="shared" si="30"/>
        <v>0.66473501538461544</v>
      </c>
      <c r="G186" s="31" t="str">
        <f t="shared" si="38"/>
        <v>-</v>
      </c>
      <c r="H186" s="31" t="str">
        <f t="shared" si="39"/>
        <v>-</v>
      </c>
      <c r="I186" s="32" t="str">
        <f t="shared" si="35"/>
        <v>-</v>
      </c>
      <c r="J186" s="66"/>
    </row>
    <row r="187" spans="2:10" x14ac:dyDescent="0.25">
      <c r="B187" s="26" t="str">
        <f t="shared" si="40"/>
        <v>-</v>
      </c>
      <c r="C187" s="17" t="str">
        <f t="shared" si="36"/>
        <v>-</v>
      </c>
      <c r="D187" s="40" t="str">
        <f t="shared" si="41"/>
        <v>-</v>
      </c>
      <c r="E187" s="18" t="str">
        <f t="shared" si="37"/>
        <v>-</v>
      </c>
      <c r="F187" s="17">
        <f t="shared" si="30"/>
        <v>0.66473501538461544</v>
      </c>
      <c r="G187" s="31" t="str">
        <f t="shared" si="38"/>
        <v>-</v>
      </c>
      <c r="H187" s="31" t="str">
        <f t="shared" si="39"/>
        <v>-</v>
      </c>
      <c r="I187" s="32" t="str">
        <f t="shared" si="35"/>
        <v>-</v>
      </c>
      <c r="J187" s="66"/>
    </row>
    <row r="188" spans="2:10" x14ac:dyDescent="0.25">
      <c r="B188" s="26" t="str">
        <f t="shared" si="40"/>
        <v>-</v>
      </c>
      <c r="C188" s="17" t="str">
        <f t="shared" si="36"/>
        <v>-</v>
      </c>
      <c r="D188" s="40" t="str">
        <f t="shared" si="41"/>
        <v>-</v>
      </c>
      <c r="E188" s="18" t="str">
        <f t="shared" si="37"/>
        <v>-</v>
      </c>
      <c r="F188" s="17">
        <f t="shared" si="30"/>
        <v>0.66473501538461544</v>
      </c>
      <c r="G188" s="31" t="str">
        <f t="shared" si="38"/>
        <v>-</v>
      </c>
      <c r="H188" s="31" t="str">
        <f t="shared" si="39"/>
        <v>-</v>
      </c>
      <c r="I188" s="32" t="str">
        <f t="shared" si="35"/>
        <v>-</v>
      </c>
      <c r="J188" s="66"/>
    </row>
    <row r="189" spans="2:10" x14ac:dyDescent="0.25">
      <c r="B189" s="26" t="str">
        <f t="shared" si="40"/>
        <v>-</v>
      </c>
      <c r="C189" s="17" t="str">
        <f t="shared" si="36"/>
        <v>-</v>
      </c>
      <c r="D189" s="40" t="str">
        <f t="shared" si="41"/>
        <v>-</v>
      </c>
      <c r="E189" s="18" t="str">
        <f t="shared" si="37"/>
        <v>-</v>
      </c>
      <c r="F189" s="17">
        <f t="shared" si="30"/>
        <v>0.66473501538461544</v>
      </c>
      <c r="G189" s="31" t="str">
        <f t="shared" si="38"/>
        <v>-</v>
      </c>
      <c r="H189" s="31" t="str">
        <f t="shared" si="39"/>
        <v>-</v>
      </c>
      <c r="I189" s="32" t="str">
        <f t="shared" si="35"/>
        <v>-</v>
      </c>
      <c r="J189" s="66"/>
    </row>
    <row r="190" spans="2:10" x14ac:dyDescent="0.25">
      <c r="B190" s="26" t="str">
        <f t="shared" si="40"/>
        <v>-</v>
      </c>
      <c r="C190" s="17" t="str">
        <f t="shared" si="36"/>
        <v>-</v>
      </c>
      <c r="D190" s="40" t="str">
        <f t="shared" si="41"/>
        <v>-</v>
      </c>
      <c r="E190" s="18" t="str">
        <f t="shared" si="37"/>
        <v>-</v>
      </c>
      <c r="F190" s="17">
        <f t="shared" si="30"/>
        <v>0.66473501538461544</v>
      </c>
      <c r="G190" s="31" t="str">
        <f t="shared" si="38"/>
        <v>-</v>
      </c>
      <c r="H190" s="31" t="str">
        <f t="shared" si="39"/>
        <v>-</v>
      </c>
      <c r="I190" s="32" t="str">
        <f t="shared" si="35"/>
        <v>-</v>
      </c>
      <c r="J190" s="66"/>
    </row>
    <row r="191" spans="2:10" x14ac:dyDescent="0.25">
      <c r="B191" s="26" t="str">
        <f t="shared" si="40"/>
        <v>-</v>
      </c>
      <c r="C191" s="17" t="str">
        <f t="shared" si="36"/>
        <v>-</v>
      </c>
      <c r="D191" s="40" t="str">
        <f t="shared" si="41"/>
        <v>-</v>
      </c>
      <c r="E191" s="18" t="str">
        <f t="shared" si="37"/>
        <v>-</v>
      </c>
      <c r="F191" s="17">
        <f t="shared" si="30"/>
        <v>0.66473501538461544</v>
      </c>
      <c r="G191" s="31" t="str">
        <f t="shared" si="38"/>
        <v>-</v>
      </c>
      <c r="H191" s="31" t="str">
        <f t="shared" si="39"/>
        <v>-</v>
      </c>
      <c r="I191" s="32" t="str">
        <f t="shared" si="35"/>
        <v>-</v>
      </c>
      <c r="J191" s="66"/>
    </row>
    <row r="192" spans="2:10" x14ac:dyDescent="0.25">
      <c r="B192" s="26" t="str">
        <f t="shared" si="40"/>
        <v>-</v>
      </c>
      <c r="C192" s="17" t="str">
        <f t="shared" si="36"/>
        <v>-</v>
      </c>
      <c r="D192" s="40" t="str">
        <f t="shared" si="41"/>
        <v>-</v>
      </c>
      <c r="E192" s="18" t="str">
        <f t="shared" si="37"/>
        <v>-</v>
      </c>
      <c r="F192" s="17">
        <f t="shared" si="30"/>
        <v>0.66473501538461544</v>
      </c>
      <c r="G192" s="31" t="str">
        <f t="shared" si="38"/>
        <v>-</v>
      </c>
      <c r="H192" s="31" t="str">
        <f t="shared" si="39"/>
        <v>-</v>
      </c>
      <c r="I192" s="32" t="str">
        <f t="shared" si="35"/>
        <v>-</v>
      </c>
      <c r="J192" s="66"/>
    </row>
    <row r="193" spans="2:10" x14ac:dyDescent="0.25">
      <c r="B193" s="26" t="str">
        <f t="shared" si="40"/>
        <v>-</v>
      </c>
      <c r="C193" s="17" t="str">
        <f t="shared" si="36"/>
        <v>-</v>
      </c>
      <c r="D193" s="40" t="str">
        <f t="shared" si="41"/>
        <v>-</v>
      </c>
      <c r="E193" s="18" t="str">
        <f t="shared" si="37"/>
        <v>-</v>
      </c>
      <c r="F193" s="17">
        <f t="shared" si="30"/>
        <v>0.66473501538461544</v>
      </c>
      <c r="G193" s="31" t="str">
        <f t="shared" si="38"/>
        <v>-</v>
      </c>
      <c r="H193" s="31" t="str">
        <f t="shared" si="39"/>
        <v>-</v>
      </c>
      <c r="I193" s="32" t="str">
        <f t="shared" si="35"/>
        <v>-</v>
      </c>
      <c r="J193" s="66"/>
    </row>
    <row r="194" spans="2:10" x14ac:dyDescent="0.25">
      <c r="B194" s="26" t="str">
        <f t="shared" si="40"/>
        <v>-</v>
      </c>
      <c r="C194" s="17" t="str">
        <f t="shared" si="36"/>
        <v>-</v>
      </c>
      <c r="D194" s="40" t="str">
        <f t="shared" si="41"/>
        <v>-</v>
      </c>
      <c r="E194" s="18" t="str">
        <f t="shared" si="37"/>
        <v>-</v>
      </c>
      <c r="F194" s="17">
        <f t="shared" si="30"/>
        <v>0.66473501538461544</v>
      </c>
      <c r="G194" s="31" t="str">
        <f t="shared" si="38"/>
        <v>-</v>
      </c>
      <c r="H194" s="31" t="str">
        <f t="shared" si="39"/>
        <v>-</v>
      </c>
      <c r="I194" s="32" t="str">
        <f t="shared" si="35"/>
        <v>-</v>
      </c>
      <c r="J194" s="66"/>
    </row>
    <row r="195" spans="2:10" x14ac:dyDescent="0.25">
      <c r="B195" s="26" t="str">
        <f t="shared" si="40"/>
        <v>-</v>
      </c>
      <c r="C195" s="17" t="str">
        <f t="shared" si="36"/>
        <v>-</v>
      </c>
      <c r="D195" s="40" t="str">
        <f t="shared" si="41"/>
        <v>-</v>
      </c>
      <c r="E195" s="18" t="str">
        <f t="shared" si="37"/>
        <v>-</v>
      </c>
      <c r="F195" s="17">
        <f t="shared" si="30"/>
        <v>0.66473501538461544</v>
      </c>
      <c r="G195" s="31" t="str">
        <f t="shared" si="38"/>
        <v>-</v>
      </c>
      <c r="H195" s="31" t="str">
        <f t="shared" si="39"/>
        <v>-</v>
      </c>
      <c r="I195" s="32" t="str">
        <f t="shared" si="35"/>
        <v>-</v>
      </c>
      <c r="J195" s="66"/>
    </row>
    <row r="196" spans="2:10" x14ac:dyDescent="0.25">
      <c r="B196" s="26" t="str">
        <f t="shared" si="40"/>
        <v>-</v>
      </c>
      <c r="C196" s="17" t="str">
        <f t="shared" si="36"/>
        <v>-</v>
      </c>
      <c r="D196" s="40" t="str">
        <f t="shared" si="41"/>
        <v>-</v>
      </c>
      <c r="E196" s="18" t="str">
        <f t="shared" si="37"/>
        <v>-</v>
      </c>
      <c r="F196" s="17">
        <f t="shared" si="30"/>
        <v>0.66473501538461544</v>
      </c>
      <c r="G196" s="31" t="str">
        <f t="shared" si="38"/>
        <v>-</v>
      </c>
      <c r="H196" s="31" t="str">
        <f t="shared" si="39"/>
        <v>-</v>
      </c>
      <c r="I196" s="32" t="str">
        <f t="shared" si="35"/>
        <v>-</v>
      </c>
      <c r="J196" s="66"/>
    </row>
    <row r="197" spans="2:10" x14ac:dyDescent="0.25">
      <c r="B197" s="26" t="str">
        <f t="shared" si="40"/>
        <v>-</v>
      </c>
      <c r="C197" s="17" t="str">
        <f t="shared" si="36"/>
        <v>-</v>
      </c>
      <c r="D197" s="40" t="str">
        <f t="shared" si="41"/>
        <v>-</v>
      </c>
      <c r="E197" s="18" t="str">
        <f t="shared" si="37"/>
        <v>-</v>
      </c>
      <c r="F197" s="17">
        <f t="shared" si="30"/>
        <v>0.66473501538461544</v>
      </c>
      <c r="G197" s="31" t="str">
        <f t="shared" si="38"/>
        <v>-</v>
      </c>
      <c r="H197" s="31" t="str">
        <f t="shared" si="39"/>
        <v>-</v>
      </c>
      <c r="I197" s="32" t="str">
        <f t="shared" si="35"/>
        <v>-</v>
      </c>
      <c r="J197" s="66"/>
    </row>
    <row r="198" spans="2:10" x14ac:dyDescent="0.25">
      <c r="B198" s="26" t="str">
        <f t="shared" si="40"/>
        <v>-</v>
      </c>
      <c r="C198" s="17" t="str">
        <f t="shared" si="36"/>
        <v>-</v>
      </c>
      <c r="D198" s="40" t="str">
        <f t="shared" si="41"/>
        <v>-</v>
      </c>
      <c r="E198" s="18" t="str">
        <f t="shared" si="37"/>
        <v>-</v>
      </c>
      <c r="F198" s="17">
        <f t="shared" si="30"/>
        <v>0.66473501538461544</v>
      </c>
      <c r="G198" s="31" t="str">
        <f t="shared" si="38"/>
        <v>-</v>
      </c>
      <c r="H198" s="31" t="str">
        <f t="shared" si="39"/>
        <v>-</v>
      </c>
      <c r="I198" s="32" t="str">
        <f t="shared" si="35"/>
        <v>-</v>
      </c>
      <c r="J198" s="66"/>
    </row>
    <row r="199" spans="2:10" x14ac:dyDescent="0.25">
      <c r="B199" s="26" t="str">
        <f t="shared" si="40"/>
        <v>-</v>
      </c>
      <c r="C199" s="17" t="str">
        <f t="shared" si="36"/>
        <v>-</v>
      </c>
      <c r="D199" s="40" t="str">
        <f t="shared" si="41"/>
        <v>-</v>
      </c>
      <c r="E199" s="18" t="str">
        <f t="shared" si="37"/>
        <v>-</v>
      </c>
      <c r="F199" s="17">
        <f t="shared" si="30"/>
        <v>0.66473501538461544</v>
      </c>
      <c r="G199" s="31" t="str">
        <f t="shared" si="38"/>
        <v>-</v>
      </c>
      <c r="H199" s="31" t="str">
        <f t="shared" si="39"/>
        <v>-</v>
      </c>
      <c r="I199" s="32" t="str">
        <f t="shared" si="35"/>
        <v>-</v>
      </c>
      <c r="J199" s="66"/>
    </row>
    <row r="200" spans="2:10" x14ac:dyDescent="0.25">
      <c r="B200" s="26" t="str">
        <f t="shared" si="40"/>
        <v>-</v>
      </c>
      <c r="C200" s="17" t="str">
        <f t="shared" si="36"/>
        <v>-</v>
      </c>
      <c r="D200" s="40" t="str">
        <f t="shared" si="41"/>
        <v>-</v>
      </c>
      <c r="E200" s="18" t="str">
        <f t="shared" si="37"/>
        <v>-</v>
      </c>
      <c r="F200" s="17">
        <f t="shared" si="30"/>
        <v>0.66473501538461544</v>
      </c>
      <c r="G200" s="31" t="str">
        <f t="shared" si="38"/>
        <v>-</v>
      </c>
      <c r="H200" s="31" t="str">
        <f t="shared" si="39"/>
        <v>-</v>
      </c>
      <c r="I200" s="32" t="str">
        <f t="shared" si="35"/>
        <v>-</v>
      </c>
      <c r="J200" s="66"/>
    </row>
    <row r="201" spans="2:10" x14ac:dyDescent="0.25">
      <c r="B201" s="26" t="str">
        <f t="shared" si="40"/>
        <v>-</v>
      </c>
      <c r="C201" s="17" t="str">
        <f t="shared" si="36"/>
        <v>-</v>
      </c>
      <c r="D201" s="40" t="str">
        <f t="shared" si="41"/>
        <v>-</v>
      </c>
      <c r="E201" s="18" t="str">
        <f t="shared" si="37"/>
        <v>-</v>
      </c>
      <c r="F201" s="17">
        <f t="shared" si="30"/>
        <v>0.66473501538461544</v>
      </c>
      <c r="G201" s="31" t="str">
        <f t="shared" si="38"/>
        <v>-</v>
      </c>
      <c r="H201" s="31" t="str">
        <f t="shared" si="39"/>
        <v>-</v>
      </c>
      <c r="I201" s="32" t="str">
        <f t="shared" si="35"/>
        <v>-</v>
      </c>
      <c r="J201" s="66"/>
    </row>
    <row r="202" spans="2:10" x14ac:dyDescent="0.25">
      <c r="B202" s="26" t="str">
        <f t="shared" si="40"/>
        <v>-</v>
      </c>
      <c r="C202" s="17" t="str">
        <f t="shared" si="36"/>
        <v>-</v>
      </c>
      <c r="D202" s="40" t="str">
        <f t="shared" si="41"/>
        <v>-</v>
      </c>
      <c r="E202" s="18" t="str">
        <f t="shared" si="37"/>
        <v>-</v>
      </c>
      <c r="F202" s="17">
        <f t="shared" si="30"/>
        <v>0.66473501538461544</v>
      </c>
      <c r="G202" s="31" t="str">
        <f t="shared" si="38"/>
        <v>-</v>
      </c>
      <c r="H202" s="31" t="str">
        <f t="shared" si="39"/>
        <v>-</v>
      </c>
      <c r="I202" s="32" t="str">
        <f t="shared" si="35"/>
        <v>-</v>
      </c>
      <c r="J202" s="66"/>
    </row>
    <row r="203" spans="2:10" x14ac:dyDescent="0.25">
      <c r="B203" s="26" t="str">
        <f t="shared" si="40"/>
        <v>-</v>
      </c>
      <c r="C203" s="17" t="str">
        <f t="shared" si="36"/>
        <v>-</v>
      </c>
      <c r="D203" s="40" t="str">
        <f t="shared" si="41"/>
        <v>-</v>
      </c>
      <c r="E203" s="18" t="str">
        <f t="shared" si="37"/>
        <v>-</v>
      </c>
      <c r="F203" s="17">
        <f t="shared" si="30"/>
        <v>0.66473501538461544</v>
      </c>
      <c r="G203" s="31" t="str">
        <f t="shared" si="38"/>
        <v>-</v>
      </c>
      <c r="H203" s="31" t="str">
        <f t="shared" si="39"/>
        <v>-</v>
      </c>
      <c r="I203" s="32" t="str">
        <f t="shared" si="35"/>
        <v>-</v>
      </c>
      <c r="J203" s="66"/>
    </row>
    <row r="204" spans="2:10" x14ac:dyDescent="0.25">
      <c r="B204" s="26" t="str">
        <f t="shared" si="40"/>
        <v>-</v>
      </c>
      <c r="C204" s="17" t="str">
        <f t="shared" si="36"/>
        <v>-</v>
      </c>
      <c r="D204" s="40" t="str">
        <f t="shared" si="41"/>
        <v>-</v>
      </c>
      <c r="E204" s="18" t="str">
        <f t="shared" si="37"/>
        <v>-</v>
      </c>
      <c r="F204" s="17">
        <f t="shared" si="30"/>
        <v>0.66473501538461544</v>
      </c>
      <c r="G204" s="31" t="str">
        <f t="shared" si="38"/>
        <v>-</v>
      </c>
      <c r="H204" s="31" t="str">
        <f t="shared" si="39"/>
        <v>-</v>
      </c>
      <c r="I204" s="32" t="str">
        <f t="shared" si="35"/>
        <v>-</v>
      </c>
      <c r="J204" s="66"/>
    </row>
    <row r="205" spans="2:10" x14ac:dyDescent="0.25">
      <c r="B205" s="26" t="str">
        <f t="shared" si="40"/>
        <v>-</v>
      </c>
      <c r="C205" s="17" t="str">
        <f t="shared" si="36"/>
        <v>-</v>
      </c>
      <c r="D205" s="40" t="str">
        <f t="shared" si="41"/>
        <v>-</v>
      </c>
      <c r="E205" s="18" t="str">
        <f t="shared" si="37"/>
        <v>-</v>
      </c>
      <c r="F205" s="17">
        <f t="shared" si="30"/>
        <v>0.66473501538461544</v>
      </c>
      <c r="G205" s="31" t="str">
        <f t="shared" si="38"/>
        <v>-</v>
      </c>
      <c r="H205" s="31" t="str">
        <f t="shared" si="39"/>
        <v>-</v>
      </c>
      <c r="I205" s="32" t="str">
        <f t="shared" si="35"/>
        <v>-</v>
      </c>
      <c r="J205" s="66"/>
    </row>
    <row r="206" spans="2:10" x14ac:dyDescent="0.25">
      <c r="B206" s="26" t="str">
        <f t="shared" si="40"/>
        <v>-</v>
      </c>
      <c r="C206" s="17" t="str">
        <f t="shared" si="36"/>
        <v>-</v>
      </c>
      <c r="D206" s="40" t="str">
        <f t="shared" si="41"/>
        <v>-</v>
      </c>
      <c r="E206" s="18" t="str">
        <f t="shared" si="37"/>
        <v>-</v>
      </c>
      <c r="F206" s="17">
        <f t="shared" si="30"/>
        <v>0.66473501538461544</v>
      </c>
      <c r="G206" s="31" t="str">
        <f t="shared" si="38"/>
        <v>-</v>
      </c>
      <c r="H206" s="31" t="str">
        <f t="shared" si="39"/>
        <v>-</v>
      </c>
      <c r="I206" s="32" t="str">
        <f t="shared" si="35"/>
        <v>-</v>
      </c>
      <c r="J206" s="66"/>
    </row>
    <row r="207" spans="2:10" x14ac:dyDescent="0.25">
      <c r="B207" s="26" t="str">
        <f t="shared" si="40"/>
        <v>-</v>
      </c>
      <c r="C207" s="17" t="str">
        <f t="shared" si="36"/>
        <v>-</v>
      </c>
      <c r="D207" s="40" t="str">
        <f t="shared" si="41"/>
        <v>-</v>
      </c>
      <c r="E207" s="18" t="str">
        <f t="shared" si="37"/>
        <v>-</v>
      </c>
      <c r="F207" s="17">
        <f t="shared" si="30"/>
        <v>0.66473501538461544</v>
      </c>
      <c r="G207" s="31" t="str">
        <f t="shared" si="38"/>
        <v>-</v>
      </c>
      <c r="H207" s="31" t="str">
        <f t="shared" si="39"/>
        <v>-</v>
      </c>
      <c r="I207" s="32" t="str">
        <f t="shared" si="35"/>
        <v>-</v>
      </c>
      <c r="J207" s="66"/>
    </row>
    <row r="208" spans="2:10" x14ac:dyDescent="0.25">
      <c r="B208" s="26" t="str">
        <f t="shared" si="40"/>
        <v>-</v>
      </c>
      <c r="C208" s="17" t="str">
        <f t="shared" si="36"/>
        <v>-</v>
      </c>
      <c r="D208" s="40" t="str">
        <f t="shared" si="41"/>
        <v>-</v>
      </c>
      <c r="E208" s="18" t="str">
        <f t="shared" si="37"/>
        <v>-</v>
      </c>
      <c r="F208" s="17">
        <f t="shared" si="30"/>
        <v>0.66473501538461544</v>
      </c>
      <c r="G208" s="31" t="str">
        <f t="shared" si="38"/>
        <v>-</v>
      </c>
      <c r="H208" s="31" t="str">
        <f t="shared" si="39"/>
        <v>-</v>
      </c>
      <c r="I208" s="32" t="str">
        <f t="shared" si="35"/>
        <v>-</v>
      </c>
      <c r="J208" s="66"/>
    </row>
    <row r="209" spans="2:10" x14ac:dyDescent="0.25">
      <c r="B209" s="26" t="str">
        <f t="shared" si="40"/>
        <v>-</v>
      </c>
      <c r="C209" s="17" t="str">
        <f t="shared" si="36"/>
        <v>-</v>
      </c>
      <c r="D209" s="40" t="str">
        <f t="shared" si="41"/>
        <v>-</v>
      </c>
      <c r="E209" s="18" t="str">
        <f t="shared" si="37"/>
        <v>-</v>
      </c>
      <c r="F209" s="17">
        <f t="shared" si="30"/>
        <v>0.66473501538461544</v>
      </c>
      <c r="G209" s="31" t="str">
        <f t="shared" si="38"/>
        <v>-</v>
      </c>
      <c r="H209" s="31" t="str">
        <f t="shared" si="39"/>
        <v>-</v>
      </c>
      <c r="I209" s="32" t="str">
        <f t="shared" si="35"/>
        <v>-</v>
      </c>
      <c r="J209" s="66"/>
    </row>
    <row r="210" spans="2:10" x14ac:dyDescent="0.25">
      <c r="B210" s="26" t="str">
        <f t="shared" si="40"/>
        <v>-</v>
      </c>
      <c r="C210" s="17" t="str">
        <f t="shared" si="36"/>
        <v>-</v>
      </c>
      <c r="D210" s="40" t="str">
        <f t="shared" si="41"/>
        <v>-</v>
      </c>
      <c r="E210" s="18" t="str">
        <f t="shared" si="37"/>
        <v>-</v>
      </c>
      <c r="F210" s="17">
        <f t="shared" si="30"/>
        <v>0.66473501538461544</v>
      </c>
      <c r="G210" s="31" t="str">
        <f t="shared" si="38"/>
        <v>-</v>
      </c>
      <c r="H210" s="31" t="str">
        <f t="shared" si="39"/>
        <v>-</v>
      </c>
      <c r="I210" s="32" t="str">
        <f t="shared" si="35"/>
        <v>-</v>
      </c>
      <c r="J210" s="66"/>
    </row>
    <row r="211" spans="2:10" x14ac:dyDescent="0.25">
      <c r="B211" s="26" t="str">
        <f t="shared" si="40"/>
        <v>-</v>
      </c>
      <c r="C211" s="17" t="str">
        <f t="shared" si="36"/>
        <v>-</v>
      </c>
      <c r="D211" s="40" t="str">
        <f t="shared" si="41"/>
        <v>-</v>
      </c>
      <c r="E211" s="18" t="str">
        <f t="shared" si="37"/>
        <v>-</v>
      </c>
      <c r="F211" s="17">
        <f t="shared" si="30"/>
        <v>0.66473501538461544</v>
      </c>
      <c r="G211" s="31" t="str">
        <f t="shared" si="38"/>
        <v>-</v>
      </c>
      <c r="H211" s="31" t="str">
        <f t="shared" si="39"/>
        <v>-</v>
      </c>
      <c r="I211" s="32" t="str">
        <f t="shared" si="35"/>
        <v>-</v>
      </c>
      <c r="J211" s="66"/>
    </row>
    <row r="212" spans="2:10" x14ac:dyDescent="0.25">
      <c r="B212" s="26" t="str">
        <f t="shared" si="40"/>
        <v>-</v>
      </c>
      <c r="C212" s="17" t="str">
        <f t="shared" si="36"/>
        <v>-</v>
      </c>
      <c r="D212" s="40" t="str">
        <f t="shared" si="41"/>
        <v>-</v>
      </c>
      <c r="E212" s="18" t="str">
        <f t="shared" si="37"/>
        <v>-</v>
      </c>
      <c r="F212" s="17">
        <f t="shared" si="30"/>
        <v>0.66473501538461544</v>
      </c>
      <c r="G212" s="31" t="str">
        <f t="shared" si="38"/>
        <v>-</v>
      </c>
      <c r="H212" s="31" t="str">
        <f t="shared" si="39"/>
        <v>-</v>
      </c>
      <c r="I212" s="32" t="str">
        <f t="shared" si="35"/>
        <v>-</v>
      </c>
      <c r="J212" s="66"/>
    </row>
    <row r="213" spans="2:10" x14ac:dyDescent="0.25">
      <c r="B213" s="26" t="str">
        <f t="shared" si="40"/>
        <v>-</v>
      </c>
      <c r="C213" s="17" t="str">
        <f t="shared" si="36"/>
        <v>-</v>
      </c>
      <c r="D213" s="40" t="str">
        <f t="shared" si="41"/>
        <v>-</v>
      </c>
      <c r="E213" s="18" t="str">
        <f t="shared" si="37"/>
        <v>-</v>
      </c>
      <c r="F213" s="17">
        <f t="shared" si="30"/>
        <v>0.66473501538461544</v>
      </c>
      <c r="G213" s="31" t="str">
        <f t="shared" si="38"/>
        <v>-</v>
      </c>
      <c r="H213" s="31" t="str">
        <f t="shared" si="39"/>
        <v>-</v>
      </c>
      <c r="I213" s="32" t="str">
        <f t="shared" si="35"/>
        <v>-</v>
      </c>
      <c r="J213" s="66"/>
    </row>
    <row r="214" spans="2:10" x14ac:dyDescent="0.25">
      <c r="B214" s="26" t="str">
        <f t="shared" si="40"/>
        <v>-</v>
      </c>
      <c r="C214" s="17" t="str">
        <f t="shared" si="36"/>
        <v>-</v>
      </c>
      <c r="D214" s="40" t="str">
        <f t="shared" si="41"/>
        <v>-</v>
      </c>
      <c r="E214" s="18" t="str">
        <f t="shared" si="37"/>
        <v>-</v>
      </c>
      <c r="F214" s="17">
        <f t="shared" si="30"/>
        <v>0.66473501538461544</v>
      </c>
      <c r="G214" s="31" t="str">
        <f t="shared" si="38"/>
        <v>-</v>
      </c>
      <c r="H214" s="31" t="str">
        <f t="shared" si="39"/>
        <v>-</v>
      </c>
      <c r="I214" s="32" t="str">
        <f t="shared" si="35"/>
        <v>-</v>
      </c>
      <c r="J214" s="66"/>
    </row>
    <row r="215" spans="2:10" x14ac:dyDescent="0.25">
      <c r="B215" s="26" t="str">
        <f t="shared" si="40"/>
        <v>-</v>
      </c>
      <c r="C215" s="17" t="str">
        <f t="shared" ref="C215:C220" si="42">IFERROR(Vi-(a*B215),"-")</f>
        <v>-</v>
      </c>
      <c r="D215" s="40" t="str">
        <f t="shared" si="41"/>
        <v>-</v>
      </c>
      <c r="E215" s="18" t="str">
        <f t="shared" ref="E215:E220" si="43">IFERROR((rho_ar*I*C215/mi_ar),"-")</f>
        <v>-</v>
      </c>
      <c r="F215" s="17">
        <f t="shared" ref="F215:F220" si="44">c_ar*mi_ar/k_ar</f>
        <v>0.66473501538461544</v>
      </c>
      <c r="G215" s="31" t="str">
        <f t="shared" ref="G215:G246" si="45">IFERROR(0.193*(E215^0.618)*(F215^0.33)*k_ar/(2*r_d),"-")</f>
        <v>-</v>
      </c>
      <c r="H215" s="31" t="str">
        <f t="shared" ref="H215:H220" si="46">IFERROR(0.027*(E215^0.805)*(F215^0.33)*k_ar/(2*r_d),"-")</f>
        <v>-</v>
      </c>
      <c r="I215" s="32" t="str">
        <f t="shared" si="35"/>
        <v>-</v>
      </c>
      <c r="J215" s="66"/>
    </row>
    <row r="216" spans="2:10" x14ac:dyDescent="0.25">
      <c r="B216" s="26" t="str">
        <f t="shared" si="40"/>
        <v>-</v>
      </c>
      <c r="C216" s="17" t="str">
        <f t="shared" si="42"/>
        <v>-</v>
      </c>
      <c r="D216" s="40" t="str">
        <f t="shared" si="41"/>
        <v>-</v>
      </c>
      <c r="E216" s="18" t="str">
        <f t="shared" si="43"/>
        <v>-</v>
      </c>
      <c r="F216" s="17">
        <f t="shared" si="44"/>
        <v>0.66473501538461544</v>
      </c>
      <c r="G216" s="31" t="str">
        <f t="shared" si="45"/>
        <v>-</v>
      </c>
      <c r="H216" s="31" t="str">
        <f t="shared" si="46"/>
        <v>-</v>
      </c>
      <c r="I216" s="32" t="str">
        <f t="shared" ref="I216:I220" si="47">IFERROR(IF(E216&lt;40000,G216,H216),"-")</f>
        <v>-</v>
      </c>
      <c r="J216" s="66"/>
    </row>
    <row r="217" spans="2:10" x14ac:dyDescent="0.25">
      <c r="B217" s="26" t="str">
        <f t="shared" si="40"/>
        <v>-</v>
      </c>
      <c r="C217" s="17" t="str">
        <f t="shared" si="42"/>
        <v>-</v>
      </c>
      <c r="D217" s="40" t="str">
        <f t="shared" si="41"/>
        <v>-</v>
      </c>
      <c r="E217" s="18" t="str">
        <f t="shared" si="43"/>
        <v>-</v>
      </c>
      <c r="F217" s="17">
        <f t="shared" si="44"/>
        <v>0.66473501538461544</v>
      </c>
      <c r="G217" s="31" t="str">
        <f t="shared" si="45"/>
        <v>-</v>
      </c>
      <c r="H217" s="31" t="str">
        <f t="shared" si="46"/>
        <v>-</v>
      </c>
      <c r="I217" s="32" t="str">
        <f t="shared" si="47"/>
        <v>-</v>
      </c>
      <c r="J217" s="66"/>
    </row>
    <row r="218" spans="2:10" x14ac:dyDescent="0.25">
      <c r="B218" s="26" t="str">
        <f t="shared" si="40"/>
        <v>-</v>
      </c>
      <c r="C218" s="17" t="str">
        <f t="shared" si="42"/>
        <v>-</v>
      </c>
      <c r="D218" s="40" t="str">
        <f t="shared" si="41"/>
        <v>-</v>
      </c>
      <c r="E218" s="18" t="str">
        <f t="shared" si="43"/>
        <v>-</v>
      </c>
      <c r="F218" s="17">
        <f t="shared" si="44"/>
        <v>0.66473501538461544</v>
      </c>
      <c r="G218" s="31" t="str">
        <f t="shared" si="45"/>
        <v>-</v>
      </c>
      <c r="H218" s="31" t="str">
        <f t="shared" si="46"/>
        <v>-</v>
      </c>
      <c r="I218" s="32" t="str">
        <f t="shared" si="47"/>
        <v>-</v>
      </c>
      <c r="J218" s="66"/>
    </row>
    <row r="219" spans="2:10" x14ac:dyDescent="0.25">
      <c r="B219" s="26" t="str">
        <f t="shared" si="40"/>
        <v>-</v>
      </c>
      <c r="C219" s="17" t="str">
        <f t="shared" si="42"/>
        <v>-</v>
      </c>
      <c r="D219" s="40" t="str">
        <f t="shared" si="41"/>
        <v>-</v>
      </c>
      <c r="E219" s="18" t="str">
        <f t="shared" si="43"/>
        <v>-</v>
      </c>
      <c r="F219" s="17">
        <f t="shared" si="44"/>
        <v>0.66473501538461544</v>
      </c>
      <c r="G219" s="31" t="str">
        <f t="shared" si="45"/>
        <v>-</v>
      </c>
      <c r="H219" s="31" t="str">
        <f t="shared" si="46"/>
        <v>-</v>
      </c>
      <c r="I219" s="32" t="str">
        <f t="shared" si="47"/>
        <v>-</v>
      </c>
      <c r="J219" s="66"/>
    </row>
    <row r="220" spans="2:10" x14ac:dyDescent="0.25">
      <c r="B220" s="26" t="str">
        <f t="shared" si="40"/>
        <v>-</v>
      </c>
      <c r="C220" s="17" t="str">
        <f t="shared" si="42"/>
        <v>-</v>
      </c>
      <c r="D220" s="40" t="str">
        <f t="shared" si="41"/>
        <v>-</v>
      </c>
      <c r="E220" s="18" t="str">
        <f t="shared" si="43"/>
        <v>-</v>
      </c>
      <c r="F220" s="17">
        <f t="shared" si="44"/>
        <v>0.66473501538461544</v>
      </c>
      <c r="G220" s="31" t="str">
        <f t="shared" si="45"/>
        <v>-</v>
      </c>
      <c r="H220" s="31" t="str">
        <f t="shared" si="46"/>
        <v>-</v>
      </c>
      <c r="I220" s="32" t="str">
        <f t="shared" si="47"/>
        <v>-</v>
      </c>
      <c r="J220" s="66"/>
    </row>
  </sheetData>
  <mergeCells count="19">
    <mergeCell ref="G21:H21"/>
    <mergeCell ref="D7:F7"/>
    <mergeCell ref="D8:F8"/>
    <mergeCell ref="D9:F9"/>
    <mergeCell ref="F16:H16"/>
    <mergeCell ref="J16:K16"/>
    <mergeCell ref="J17:K17"/>
    <mergeCell ref="J18:K18"/>
    <mergeCell ref="C3:E3"/>
    <mergeCell ref="B12:C12"/>
    <mergeCell ref="D12:E12"/>
    <mergeCell ref="F12:G12"/>
    <mergeCell ref="H12:I12"/>
    <mergeCell ref="B11:C11"/>
    <mergeCell ref="D11:E11"/>
    <mergeCell ref="F11:G11"/>
    <mergeCell ref="H11:I11"/>
    <mergeCell ref="D4:E4"/>
    <mergeCell ref="D5:E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79</vt:i4>
      </vt:variant>
    </vt:vector>
  </HeadingPairs>
  <TitlesOfParts>
    <vt:vector size="83" baseType="lpstr">
      <vt:lpstr>Menu</vt:lpstr>
      <vt:lpstr>Aceleração</vt:lpstr>
      <vt:lpstr>Força no pedal</vt:lpstr>
      <vt:lpstr>Calor</vt:lpstr>
      <vt:lpstr>Calor!a</vt:lpstr>
      <vt:lpstr>a</vt:lpstr>
      <vt:lpstr>A_cm</vt:lpstr>
      <vt:lpstr>A_d</vt:lpstr>
      <vt:lpstr>Acm</vt:lpstr>
      <vt:lpstr>Calor!ag</vt:lpstr>
      <vt:lpstr>Apist_f</vt:lpstr>
      <vt:lpstr>Apist_r</vt:lpstr>
      <vt:lpstr>Apistf</vt:lpstr>
      <vt:lpstr>Apistr</vt:lpstr>
      <vt:lpstr>Calor!c_ar</vt:lpstr>
      <vt:lpstr>Calor!c_d</vt:lpstr>
      <vt:lpstr>Calor!c_p</vt:lpstr>
      <vt:lpstr>D</vt:lpstr>
      <vt:lpstr>ef_d</vt:lpstr>
      <vt:lpstr>ef_p</vt:lpstr>
      <vt:lpstr>F_pd</vt:lpstr>
      <vt:lpstr>Fat_f</vt:lpstr>
      <vt:lpstr>Fat_r</vt:lpstr>
      <vt:lpstr>Fatf</vt:lpstr>
      <vt:lpstr>Fatr</vt:lpstr>
      <vt:lpstr>Fpd</vt:lpstr>
      <vt:lpstr>FpdF</vt:lpstr>
      <vt:lpstr>FpdR</vt:lpstr>
      <vt:lpstr>Fpil</vt:lpstr>
      <vt:lpstr>FzF_din</vt:lpstr>
      <vt:lpstr>FzR_din</vt:lpstr>
      <vt:lpstr>g</vt:lpstr>
      <vt:lpstr>Calor!gamma</vt:lpstr>
      <vt:lpstr>h</vt:lpstr>
      <vt:lpstr>Calor!I</vt:lpstr>
      <vt:lpstr>I_w</vt:lpstr>
      <vt:lpstr>Iw</vt:lpstr>
      <vt:lpstr>Calor!k_ar</vt:lpstr>
      <vt:lpstr>Calor!k_d</vt:lpstr>
      <vt:lpstr>Calor!k_p</vt:lpstr>
      <vt:lpstr>LF</vt:lpstr>
      <vt:lpstr>LR</vt:lpstr>
      <vt:lpstr>mi</vt:lpstr>
      <vt:lpstr>Calor!mi_ar</vt:lpstr>
      <vt:lpstr>mi_at</vt:lpstr>
      <vt:lpstr>mi_d</vt:lpstr>
      <vt:lpstr>mi_max</vt:lpstr>
      <vt:lpstr>Mt</vt:lpstr>
      <vt:lpstr>N_f</vt:lpstr>
      <vt:lpstr>N_r</vt:lpstr>
      <vt:lpstr>Nf</vt:lpstr>
      <vt:lpstr>Nr</vt:lpstr>
      <vt:lpstr>omega0</vt:lpstr>
      <vt:lpstr>P_f</vt:lpstr>
      <vt:lpstr>P_r</vt:lpstr>
      <vt:lpstr>Pf</vt:lpstr>
      <vt:lpstr>phi</vt:lpstr>
      <vt:lpstr>pmax</vt:lpstr>
      <vt:lpstr>Pr</vt:lpstr>
      <vt:lpstr>r_d</vt:lpstr>
      <vt:lpstr>Rdf</vt:lpstr>
      <vt:lpstr>Rdiscf</vt:lpstr>
      <vt:lpstr>Rdiscr</vt:lpstr>
      <vt:lpstr>Rdr</vt:lpstr>
      <vt:lpstr>rel_ped</vt:lpstr>
      <vt:lpstr>rel_pedal</vt:lpstr>
      <vt:lpstr>Calor!rho</vt:lpstr>
      <vt:lpstr>Calor!rho_ar</vt:lpstr>
      <vt:lpstr>Calor!rho_d</vt:lpstr>
      <vt:lpstr>Calor!rho_p</vt:lpstr>
      <vt:lpstr>rm</vt:lpstr>
      <vt:lpstr>Rp</vt:lpstr>
      <vt:lpstr>Rpneu</vt:lpstr>
      <vt:lpstr>rt</vt:lpstr>
      <vt:lpstr>T_max</vt:lpstr>
      <vt:lpstr>time_stp</vt:lpstr>
      <vt:lpstr>Tmax</vt:lpstr>
      <vt:lpstr>Tmax_R</vt:lpstr>
      <vt:lpstr>ts</vt:lpstr>
      <vt:lpstr>Calor!Vi</vt:lpstr>
      <vt:lpstr>λ</vt:lpstr>
      <vt:lpstr>χ</vt:lpstr>
      <vt:lpstr>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Varella</dc:creator>
  <cp:lastModifiedBy>Felipe Rodrigues de Mello Alves</cp:lastModifiedBy>
  <dcterms:created xsi:type="dcterms:W3CDTF">2015-01-05T14:13:49Z</dcterms:created>
  <dcterms:modified xsi:type="dcterms:W3CDTF">2021-05-01T19:19:39Z</dcterms:modified>
</cp:coreProperties>
</file>