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3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Z24">
            <v>5220283407</v>
          </cell>
          <cell r="AA24">
            <v>0</v>
          </cell>
          <cell r="AB24">
            <v>35938417.26</v>
          </cell>
        </row>
        <row r="39">
          <cell r="Z39">
            <v>305542.02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4" t="inlineStr">
        <is>
          <t>CHILE FILMS SPA Y  AFILIADAS</t>
        </is>
      </c>
      <c r="B1" s="38" t="n"/>
      <c r="C1" s="285" t="inlineStr">
        <is>
          <t>TOTAL</t>
        </is>
      </c>
      <c r="E1" s="285" t="inlineStr">
        <is>
          <t>TOTAL</t>
        </is>
      </c>
    </row>
    <row r="2">
      <c r="A2" s="284" t="inlineStr">
        <is>
          <t>Estado Financiero Consolidado</t>
        </is>
      </c>
      <c r="B2" s="40" t="n"/>
      <c r="C2" s="286" t="n">
        <v>2022</v>
      </c>
      <c r="E2" s="286" t="n">
        <v>2021</v>
      </c>
    </row>
    <row r="3">
      <c r="A3" s="287" t="inlineStr">
        <is>
          <t>Estado de Situación Financiera</t>
        </is>
      </c>
      <c r="B3" s="288" t="n"/>
      <c r="C3" s="289" t="inlineStr">
        <is>
          <t>M$</t>
        </is>
      </c>
      <c r="E3" s="289" t="inlineStr">
        <is>
          <t>M$</t>
        </is>
      </c>
    </row>
    <row r="4">
      <c r="A4" s="290" t="inlineStr">
        <is>
          <t xml:space="preserve">Activos </t>
        </is>
      </c>
      <c r="B4" s="291" t="n"/>
      <c r="C4" s="292" t="n"/>
      <c r="E4" s="292" t="n"/>
    </row>
    <row r="5">
      <c r="A5" s="293" t="inlineStr">
        <is>
          <t>Activos corrientes</t>
        </is>
      </c>
      <c r="B5" s="294" t="n"/>
      <c r="C5" s="292" t="n"/>
      <c r="E5" s="292" t="n"/>
    </row>
    <row r="6">
      <c r="A6" s="70" t="inlineStr">
        <is>
          <t>Efectivo y Equivalentes al Efectivo</t>
        </is>
      </c>
      <c r="B6" s="49" t="n"/>
      <c r="C6" s="50">
        <f>+ROUND(Estado!V6/1000,0)</f>
        <v/>
      </c>
      <c r="E6" s="50" t="n">
        <v>29488803</v>
      </c>
    </row>
    <row r="7">
      <c r="A7" s="70" t="inlineStr">
        <is>
          <t>Otros activos financieros corrientes</t>
        </is>
      </c>
      <c r="B7" s="49" t="n"/>
      <c r="C7" s="50">
        <f>+ROUND(Estado!V7/1000,0)</f>
        <v/>
      </c>
      <c r="E7" s="50" t="n">
        <v>0</v>
      </c>
    </row>
    <row r="8">
      <c r="A8" s="70" t="inlineStr">
        <is>
          <t>Otros Activos No Financieros, Corriente</t>
        </is>
      </c>
      <c r="B8" s="49" t="n"/>
      <c r="C8" s="50">
        <f>+ROUND(Estado!V8/1000,0)</f>
        <v/>
      </c>
      <c r="E8" s="50" t="n">
        <v>1400465</v>
      </c>
    </row>
    <row r="9">
      <c r="A9" s="70" t="inlineStr">
        <is>
          <t>Deudores comerciales y otras cuentas por cobrar corrientes</t>
        </is>
      </c>
      <c r="B9" s="49" t="n"/>
      <c r="C9" s="50">
        <f>+ROUND(Estado!V9/1000,0)</f>
        <v/>
      </c>
      <c r="E9" s="50" t="n">
        <v>10108889</v>
      </c>
    </row>
    <row r="10">
      <c r="A10" s="70" t="inlineStr">
        <is>
          <t>Cuentas por Cobrar a Entidades Relacionadas, Corriente</t>
        </is>
      </c>
      <c r="B10" s="49" t="n"/>
      <c r="C10" s="50">
        <f>+ROUND(Estado!V10/1000,0)</f>
        <v/>
      </c>
      <c r="E10" s="50" t="n">
        <v>0</v>
      </c>
    </row>
    <row r="11">
      <c r="A11" s="70" t="inlineStr">
        <is>
          <t>Inventarios</t>
        </is>
      </c>
      <c r="B11" s="49" t="n"/>
      <c r="C11" s="50">
        <f>+ROUND(Estado!V11/1000,0)</f>
        <v/>
      </c>
      <c r="E11" s="50" t="n">
        <v>1150322</v>
      </c>
    </row>
    <row r="12">
      <c r="A12" s="70" t="inlineStr">
        <is>
          <t>Activos biológicos corrientes</t>
        </is>
      </c>
      <c r="B12" s="49" t="n"/>
      <c r="C12" s="50">
        <f>+ROUND(Estado!V12/1000,0)</f>
        <v/>
      </c>
      <c r="E12" s="50" t="n">
        <v>0</v>
      </c>
    </row>
    <row r="13">
      <c r="A13" s="70" t="inlineStr">
        <is>
          <t>Activos por impuestos corrientes</t>
        </is>
      </c>
      <c r="B13" s="49" t="n"/>
      <c r="C13" s="50">
        <f>+ROUND(Estado!V13/1000,0)</f>
        <v/>
      </c>
      <c r="E13" s="50" t="n">
        <v>1353039</v>
      </c>
    </row>
    <row r="14" ht="45" customHeight="1">
      <c r="A14" s="29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6" t="n"/>
      <c r="C14" s="297">
        <f>SUM(C6:C13)</f>
        <v/>
      </c>
      <c r="E14" s="297" t="n">
        <v>43501518</v>
      </c>
    </row>
    <row r="15" ht="22.5" customHeight="1">
      <c r="A15" s="298" t="inlineStr">
        <is>
          <t xml:space="preserve">Activos no corrientes o grupos de activos para su disposición clasificados como mantenidos para la venta </t>
        </is>
      </c>
      <c r="B15" s="299" t="n"/>
      <c r="C15" s="50">
        <f>+ROUND(Estado!V15/1000,0)</f>
        <v/>
      </c>
      <c r="E15" s="50" t="n">
        <v>0</v>
      </c>
    </row>
    <row r="16" ht="33.75" customHeight="1">
      <c r="A16" s="298" t="inlineStr">
        <is>
          <t>Activos no corrientes o grupos de activos para su disposición clasificados como mantenidos para distribuir a los propietarios</t>
        </is>
      </c>
      <c r="B16" s="299" t="n"/>
      <c r="C16" s="50">
        <f>+ROUND(Estado!V16/1000,0)</f>
        <v/>
      </c>
      <c r="E16" s="50" t="n">
        <v>0</v>
      </c>
    </row>
    <row r="17" ht="33.75" customHeight="1">
      <c r="A17" s="295" t="inlineStr">
        <is>
          <t>Activos no corrientes o grupos de activos para su disposición clasificados como mantenidos para la venta o como mantenidos para distribuir a los propietarios</t>
        </is>
      </c>
      <c r="B17" s="296" t="n"/>
      <c r="C17" s="297">
        <f>+C15+C16</f>
        <v/>
      </c>
      <c r="E17" s="297" t="n">
        <v>0</v>
      </c>
    </row>
    <row r="18">
      <c r="A18" s="300" t="inlineStr">
        <is>
          <t>Activos corrientes totales</t>
        </is>
      </c>
      <c r="B18" s="301" t="n"/>
      <c r="C18" s="302">
        <f>+C14+C17</f>
        <v/>
      </c>
      <c r="E18" s="302" t="n">
        <v>43501518</v>
      </c>
    </row>
    <row r="19">
      <c r="A19" s="293" t="inlineStr">
        <is>
          <t>Activos no corrientes</t>
        </is>
      </c>
      <c r="B19" s="294" t="n"/>
      <c r="C19" s="292" t="n"/>
      <c r="E19" s="292" t="n"/>
    </row>
    <row r="20">
      <c r="A20" s="303" t="inlineStr">
        <is>
          <t>Otros activos financieros no corrientes</t>
        </is>
      </c>
      <c r="B20" s="296" t="n"/>
      <c r="C20" s="50">
        <f>+ROUND(Estado!V20/1000,0)</f>
        <v/>
      </c>
      <c r="E20" s="50" t="n">
        <v>18602861</v>
      </c>
    </row>
    <row r="21">
      <c r="A21" s="303" t="inlineStr">
        <is>
          <t>Otros activos no financieros no corrientes</t>
        </is>
      </c>
      <c r="B21" s="296" t="n"/>
      <c r="C21" s="50">
        <f>+ROUND(Estado!V21/1000,0)</f>
        <v/>
      </c>
      <c r="E21" s="50" t="n">
        <v>1514553</v>
      </c>
    </row>
    <row r="22">
      <c r="A22" s="303" t="inlineStr">
        <is>
          <t>Derechos por cobrar no corrientes</t>
        </is>
      </c>
      <c r="B22" s="296" t="n"/>
      <c r="C22" s="50">
        <f>+ROUND(Estado!V22/1000,0)</f>
        <v/>
      </c>
      <c r="E22" s="50" t="n">
        <v>471786</v>
      </c>
    </row>
    <row r="23" ht="22.5" customHeight="1">
      <c r="A23" s="303" t="inlineStr">
        <is>
          <t>Cuentas por Cobrar a Entidades Relacionadas, No Corriente</t>
        </is>
      </c>
      <c r="B23" s="296" t="n"/>
      <c r="C23" s="50">
        <f>+ROUND(Estado!V23/1000,0)</f>
        <v/>
      </c>
      <c r="E23" s="50" t="n">
        <v>9503096</v>
      </c>
    </row>
    <row r="24" ht="22.5" customHeight="1">
      <c r="A24" s="303" t="inlineStr">
        <is>
          <t>Inversiones contabilizadas utilizando el método de la participación</t>
        </is>
      </c>
      <c r="B24" s="296" t="n"/>
      <c r="C24" s="50">
        <f>+ROUND(Estado!V24/1000,0)</f>
        <v/>
      </c>
      <c r="E24" s="50" t="n">
        <v>9574975</v>
      </c>
    </row>
    <row r="25">
      <c r="A25" s="303" t="inlineStr">
        <is>
          <t>Activos intangibles distintos de la plusvalía</t>
        </is>
      </c>
      <c r="B25" s="296" t="n"/>
      <c r="C25" s="50">
        <f>+ROUND(Estado!V25/1000,0)</f>
        <v/>
      </c>
      <c r="E25" s="50" t="n">
        <v>1493304</v>
      </c>
    </row>
    <row r="26">
      <c r="A26" s="303" t="inlineStr">
        <is>
          <t>Plusvalía</t>
        </is>
      </c>
      <c r="B26" s="296" t="n"/>
      <c r="C26" s="50">
        <f>+ROUND(Estado!V26/1000,0)</f>
        <v/>
      </c>
      <c r="E26" s="50" t="n">
        <v>374</v>
      </c>
    </row>
    <row r="27">
      <c r="A27" s="303" t="inlineStr">
        <is>
          <t>Propiedades, Planta y Equipo</t>
        </is>
      </c>
      <c r="B27" s="296" t="n"/>
      <c r="C27" s="50">
        <f>+ROUND(Estado!V27/1000,0)</f>
        <v/>
      </c>
      <c r="E27" s="50" t="n">
        <v>20757731</v>
      </c>
    </row>
    <row r="28">
      <c r="A28" s="303" t="inlineStr">
        <is>
          <t>Activos biológicos, no corrientes</t>
        </is>
      </c>
      <c r="B28" s="296" t="n"/>
      <c r="C28" s="50">
        <f>+ROUND(Estado!V28/1000,0)</f>
        <v/>
      </c>
      <c r="E28" s="50" t="n">
        <v>0</v>
      </c>
    </row>
    <row r="29">
      <c r="A29" s="303" t="inlineStr">
        <is>
          <t>Propiedad de inversión</t>
        </is>
      </c>
      <c r="B29" s="296" t="n"/>
      <c r="C29" s="50">
        <f>+ROUND(Estado!V29/1000,0)</f>
        <v/>
      </c>
      <c r="E29" s="50" t="n">
        <v>1339006</v>
      </c>
    </row>
    <row r="30">
      <c r="A30" s="303" t="inlineStr">
        <is>
          <t>Activos por impuestos diferidos</t>
        </is>
      </c>
      <c r="B30" s="296" t="n"/>
      <c r="C30" s="50">
        <f>+ROUND(Estado!V30/1000,0)</f>
        <v/>
      </c>
      <c r="E30" s="50" t="n">
        <v>3493551</v>
      </c>
    </row>
    <row r="31">
      <c r="A31" s="295" t="inlineStr">
        <is>
          <t>Total de activos no corrientes</t>
        </is>
      </c>
      <c r="B31" s="296" t="n"/>
      <c r="C31" s="297">
        <f>SUM(C20:C30)</f>
        <v/>
      </c>
      <c r="E31" s="297" t="n">
        <v>66751237</v>
      </c>
    </row>
    <row r="32">
      <c r="A32" s="304" t="inlineStr">
        <is>
          <t>Total de activos</t>
        </is>
      </c>
      <c r="B32" s="294" t="n"/>
      <c r="C32" s="302">
        <f>+C18+C31</f>
        <v/>
      </c>
      <c r="E32" s="302" t="n">
        <v>110252755</v>
      </c>
    </row>
    <row r="33">
      <c r="A33" s="305" t="n"/>
      <c r="B33" s="306" t="n"/>
      <c r="C33" s="292" t="n"/>
      <c r="E33" s="292" t="n"/>
    </row>
    <row r="34">
      <c r="A34" s="307" t="inlineStr">
        <is>
          <t>Patrimonio y pasivos</t>
        </is>
      </c>
      <c r="B34" s="308" t="n"/>
      <c r="C34" s="292" t="n"/>
      <c r="E34" s="292" t="n"/>
    </row>
    <row r="35">
      <c r="A35" s="293" t="inlineStr">
        <is>
          <t>Pasivos</t>
        </is>
      </c>
      <c r="B35" s="294" t="n"/>
      <c r="C35" s="292" t="n"/>
      <c r="E35" s="292" t="n"/>
    </row>
    <row r="36">
      <c r="A36" s="309" t="inlineStr">
        <is>
          <t>Pasivos corrientes</t>
        </is>
      </c>
      <c r="B36" s="301" t="n"/>
      <c r="C36" s="292" t="n"/>
      <c r="E36" s="292" t="n"/>
    </row>
    <row r="37">
      <c r="A37" s="70" t="inlineStr">
        <is>
          <t>Otros pasivos financieros corrientes</t>
        </is>
      </c>
      <c r="B37" s="49" t="n"/>
      <c r="C37" s="50">
        <f>+ROUND(Estado!V37/1000,0)</f>
        <v/>
      </c>
      <c r="E37" s="50" t="n">
        <v>1746845</v>
      </c>
    </row>
    <row r="38">
      <c r="A38" s="70" t="inlineStr">
        <is>
          <t>Cuentas por pagar comerciales y otras cuentas por pagar</t>
        </is>
      </c>
      <c r="B38" s="49" t="n"/>
      <c r="C38" s="50">
        <f>+ROUND(Estado!V38/1000,0)</f>
        <v/>
      </c>
      <c r="E38" s="50" t="n">
        <v>9519667</v>
      </c>
    </row>
    <row r="39">
      <c r="A39" s="70" t="inlineStr">
        <is>
          <t>Cuentas por Pagar a Entidades Relacionadas, Corriente</t>
        </is>
      </c>
      <c r="B39" s="49" t="n"/>
      <c r="C39" s="50" t="n"/>
      <c r="E39" s="50" t="n"/>
    </row>
    <row r="40">
      <c r="A40" s="70" t="inlineStr">
        <is>
          <t>Otras provisiones a corto plazo</t>
        </is>
      </c>
      <c r="B40" s="49" t="n"/>
      <c r="C40" s="50">
        <f>+ROUND(Estado!V40/1000,0)</f>
        <v/>
      </c>
      <c r="E40" s="50" t="n">
        <v>410301</v>
      </c>
    </row>
    <row r="41">
      <c r="A41" s="70" t="inlineStr">
        <is>
          <t>Pasivos por Impuestos corrientes</t>
        </is>
      </c>
      <c r="B41" s="49" t="n"/>
      <c r="C41" s="50">
        <f>+ROUND(Estado!V41/1000,0)</f>
        <v/>
      </c>
      <c r="E41" s="50" t="n">
        <v>1968084</v>
      </c>
    </row>
    <row r="42">
      <c r="A42" s="70" t="inlineStr">
        <is>
          <t>Provisiones corrientes por beneficios a los empleados</t>
        </is>
      </c>
      <c r="B42" s="49" t="n"/>
      <c r="C42" s="50">
        <f>+ROUND(Estado!V42/1000,0)+1</f>
        <v/>
      </c>
      <c r="E42" s="50" t="n">
        <v>1249892</v>
      </c>
    </row>
    <row r="43">
      <c r="A43" s="70" t="inlineStr">
        <is>
          <t>Otros pasivos no financieros corrientes</t>
        </is>
      </c>
      <c r="B43" s="49" t="n"/>
      <c r="C43" s="50">
        <f>+ROUND(Estado!V43/1000,0)</f>
        <v/>
      </c>
      <c r="E43" s="50" t="n">
        <v>3240163</v>
      </c>
    </row>
    <row r="44" ht="45" customHeight="1">
      <c r="A44" s="310" t="inlineStr">
        <is>
          <t>Total de pasivos corrientes distintos de los pasivos incluidos en grupos de activos para su disposición clasificados como mantenidos para la venta</t>
        </is>
      </c>
      <c r="B44" s="311" t="n"/>
      <c r="C44" s="312">
        <f>SUM(C37:C43)</f>
        <v/>
      </c>
      <c r="E44" s="312" t="n">
        <v>18134952</v>
      </c>
    </row>
    <row r="45" ht="22.5" customHeight="1">
      <c r="A45" s="298" t="inlineStr">
        <is>
          <t>Pasivos incluidos en grupos de activos para su disposición clasificados como mantenidos para la venta</t>
        </is>
      </c>
      <c r="B45" s="299" t="n"/>
      <c r="C45" s="50">
        <f>+ROUND(Estado!V45/1000,0)</f>
        <v/>
      </c>
      <c r="E45" s="50" t="n">
        <v>0</v>
      </c>
    </row>
    <row r="46">
      <c r="A46" s="51" t="inlineStr">
        <is>
          <t>Pasivos corrientes totales</t>
        </is>
      </c>
      <c r="B46" s="52" t="n"/>
      <c r="C46" s="312">
        <f>+C44+C45</f>
        <v/>
      </c>
      <c r="E46" s="312" t="n">
        <v>18134952</v>
      </c>
    </row>
    <row r="47">
      <c r="A47" s="309" t="inlineStr">
        <is>
          <t>Pasivos no corrientes</t>
        </is>
      </c>
      <c r="B47" s="301" t="n"/>
      <c r="C47" s="292" t="n"/>
      <c r="E47" s="292" t="n"/>
    </row>
    <row r="48">
      <c r="A48" s="70" t="inlineStr">
        <is>
          <t>Otros pasivos financieros no corrientes</t>
        </is>
      </c>
      <c r="B48" s="49" t="n"/>
      <c r="C48" s="50">
        <f>+ROUND(Estado!V48/1000,0)</f>
        <v/>
      </c>
      <c r="E48" s="50" t="n">
        <v>2537675</v>
      </c>
    </row>
    <row r="49">
      <c r="A49" s="70" t="inlineStr">
        <is>
          <t>Pasivos no corrientes</t>
        </is>
      </c>
      <c r="B49" s="49" t="n"/>
      <c r="C49" s="50">
        <f>+ROUND(Estado!V49/1000,0)</f>
        <v/>
      </c>
      <c r="E49" s="50" t="n">
        <v>0</v>
      </c>
    </row>
    <row r="50">
      <c r="A50" s="70" t="inlineStr">
        <is>
          <t>Cuentas por Pagar a Entidades Relacionadas, no corriente</t>
        </is>
      </c>
      <c r="B50" s="49" t="n"/>
      <c r="C50" s="50">
        <f>+ROUND((Estado!V50+Estado!V39)/1000,0)</f>
        <v/>
      </c>
      <c r="E50" s="50" t="n">
        <v>10818034</v>
      </c>
    </row>
    <row r="51">
      <c r="A51" s="70" t="inlineStr">
        <is>
          <t>Otras provisiones a largo plazo</t>
        </is>
      </c>
      <c r="B51" s="49" t="n"/>
      <c r="C51" s="50">
        <f>+ROUND(Estado!V51/1000,0)</f>
        <v/>
      </c>
      <c r="E51" s="50" t="n">
        <v>126704</v>
      </c>
    </row>
    <row r="52">
      <c r="A52" s="70" t="inlineStr">
        <is>
          <t>Pasivo por impuestos diferidos</t>
        </is>
      </c>
      <c r="B52" s="49" t="n"/>
      <c r="C52" s="50">
        <f>+ROUND(Estado!V52/1000,0)</f>
        <v/>
      </c>
      <c r="E52" s="50" t="n">
        <v>1985504</v>
      </c>
    </row>
    <row r="53">
      <c r="A53" s="70" t="inlineStr">
        <is>
          <t>Provisiones no corrientes por beneficios a los empleados</t>
        </is>
      </c>
      <c r="B53" s="49" t="n"/>
      <c r="C53" s="50">
        <f>+ROUND(Estado!V53/1000,0)</f>
        <v/>
      </c>
      <c r="E53" s="50" t="n">
        <v>0</v>
      </c>
    </row>
    <row r="54">
      <c r="A54" s="70" t="inlineStr">
        <is>
          <t>Otros pasivos no financieros no corrientes</t>
        </is>
      </c>
      <c r="B54" s="49" t="n"/>
      <c r="C54" s="50">
        <f>+ROUND(Estado!V54/1000,0)</f>
        <v/>
      </c>
      <c r="E54" s="50" t="n">
        <v>1424361</v>
      </c>
    </row>
    <row r="55">
      <c r="A55" s="51" t="inlineStr">
        <is>
          <t>Total de pasivos no corrientes</t>
        </is>
      </c>
      <c r="B55" s="52" t="n"/>
      <c r="C55" s="312">
        <f>SUM(C48:C54)</f>
        <v/>
      </c>
      <c r="E55" s="312" t="n">
        <v>16892278</v>
      </c>
    </row>
    <row r="56">
      <c r="A56" s="313" t="inlineStr">
        <is>
          <t>Total pasivos</t>
        </is>
      </c>
      <c r="B56" s="314" t="n"/>
      <c r="C56" s="315">
        <f>+C46+C55</f>
        <v/>
      </c>
      <c r="E56" s="315" t="n">
        <v>35027230</v>
      </c>
    </row>
    <row r="57">
      <c r="A57" s="293" t="inlineStr">
        <is>
          <t>Patrimonio</t>
        </is>
      </c>
      <c r="B57" s="294" t="n"/>
      <c r="C57" s="292" t="n"/>
      <c r="E57" s="292" t="n"/>
    </row>
    <row r="58">
      <c r="A58" s="298" t="inlineStr">
        <is>
          <t>Capital emitido</t>
        </is>
      </c>
      <c r="B58" s="296" t="n"/>
      <c r="C58" s="50">
        <f>+ROUND(Estado!V58/1000,0)</f>
        <v/>
      </c>
      <c r="E58" s="50" t="n">
        <v>28380294</v>
      </c>
    </row>
    <row r="59">
      <c r="A59" s="298" t="inlineStr">
        <is>
          <t>Ganancias (pérdidas) acumuladas</t>
        </is>
      </c>
      <c r="B59" s="296" t="n"/>
      <c r="C59" s="50">
        <f>+ROUND(Estado!V59/1000,0)</f>
        <v/>
      </c>
      <c r="E59" s="50" t="n">
        <v>46838093</v>
      </c>
    </row>
    <row r="60">
      <c r="A60" s="298" t="inlineStr">
        <is>
          <t>Primas de emisión</t>
        </is>
      </c>
      <c r="B60" s="296" t="n"/>
      <c r="C60" s="50">
        <f>+ROUND(Estado!V60/1000,0)</f>
        <v/>
      </c>
      <c r="E60" s="50" t="n">
        <v>0</v>
      </c>
    </row>
    <row r="61">
      <c r="A61" s="298" t="inlineStr">
        <is>
          <t>Acciones propias en cartera</t>
        </is>
      </c>
      <c r="B61" s="296" t="n"/>
      <c r="C61" s="50">
        <f>+ROUND(Estado!V61/1000,0)</f>
        <v/>
      </c>
      <c r="E61" s="50" t="n">
        <v>0</v>
      </c>
    </row>
    <row r="62">
      <c r="A62" s="298" t="inlineStr">
        <is>
          <t>Otras participaciones en el patrimonio</t>
        </is>
      </c>
      <c r="B62" s="296" t="n"/>
      <c r="C62" s="50">
        <f>+ROUND(Estado!V62/1000,0)</f>
        <v/>
      </c>
      <c r="E62" s="50" t="n">
        <v>0</v>
      </c>
    </row>
    <row r="63">
      <c r="A63" s="298" t="inlineStr">
        <is>
          <t>Otras reservas</t>
        </is>
      </c>
      <c r="B63" s="296" t="n"/>
      <c r="C63" s="318">
        <f>+ROUND(Estado!V63/1000,0)</f>
        <v/>
      </c>
      <c r="E63" s="50" t="n">
        <v>-964006</v>
      </c>
    </row>
    <row r="64" ht="22.5" customHeight="1">
      <c r="A64" s="293" t="inlineStr">
        <is>
          <t>Patrimonio atribuible a los propietarios de la controladora</t>
        </is>
      </c>
      <c r="B64" s="301" t="n"/>
      <c r="C64" s="312">
        <f>SUM(C58:C63)</f>
        <v/>
      </c>
      <c r="E64" s="312" t="n">
        <v>74254381</v>
      </c>
    </row>
    <row r="65">
      <c r="A65" s="298" t="inlineStr">
        <is>
          <t>Participaciones no controladoras</t>
        </is>
      </c>
      <c r="B65" s="296" t="n"/>
      <c r="C65" s="50">
        <f>+ROUND(Estado!V65/1000,0)</f>
        <v/>
      </c>
      <c r="E65" s="50" t="n">
        <v>971143</v>
      </c>
    </row>
    <row r="66">
      <c r="A66" s="293" t="inlineStr">
        <is>
          <t>Patrimonio total</t>
        </is>
      </c>
      <c r="B66" s="301" t="n"/>
      <c r="C66" s="312">
        <f>+C64+C65</f>
        <v/>
      </c>
      <c r="E66" s="312" t="n">
        <v>75225524</v>
      </c>
    </row>
    <row r="67">
      <c r="A67" s="316" t="inlineStr">
        <is>
          <t>Total de patrimonio y pasivos</t>
        </is>
      </c>
      <c r="B67" s="317" t="n"/>
      <c r="C67" s="315">
        <f>+C56+C66</f>
        <v/>
      </c>
      <c r="E67" s="315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7" t="inlineStr">
        <is>
          <t>TOTAL</t>
        </is>
      </c>
      <c r="E1" s="277" t="inlineStr">
        <is>
          <t>TOTAL</t>
        </is>
      </c>
    </row>
    <row r="2">
      <c r="A2" s="37" t="inlineStr">
        <is>
          <t>Estado de Resultados Integrales Consolidado</t>
        </is>
      </c>
      <c r="B2" s="40" t="n"/>
      <c r="C2" s="278" t="n">
        <v>2022</v>
      </c>
      <c r="E2" s="278" t="n">
        <v>2021</v>
      </c>
    </row>
    <row r="3">
      <c r="A3" s="42" t="n"/>
      <c r="B3" s="43" t="n"/>
      <c r="C3" s="44" t="inlineStr">
        <is>
          <t>M$</t>
        </is>
      </c>
      <c r="E3" s="44" t="inlineStr">
        <is>
          <t>M$</t>
        </is>
      </c>
    </row>
    <row r="4">
      <c r="A4" s="45" t="inlineStr">
        <is>
          <t>Ganancia (perdida)</t>
        </is>
      </c>
      <c r="B4" s="46" t="n"/>
      <c r="C4" s="319" t="n"/>
      <c r="E4" s="319" t="n"/>
    </row>
    <row r="5">
      <c r="A5" s="48" t="inlineStr">
        <is>
          <t>Ingresos de actividaes ordinarias</t>
        </is>
      </c>
      <c r="B5" s="49" t="n"/>
      <c r="C5" s="318">
        <f>+ROUND(Resultado!Y5/1000,0)</f>
        <v/>
      </c>
      <c r="E5" s="318" t="n">
        <v>46991750</v>
      </c>
    </row>
    <row r="6">
      <c r="A6" s="48" t="n"/>
      <c r="B6" s="49" t="n"/>
      <c r="C6" s="318" t="n"/>
      <c r="E6" s="318" t="n"/>
    </row>
    <row r="7">
      <c r="A7" s="48" t="inlineStr">
        <is>
          <t>Costos de ventas</t>
        </is>
      </c>
      <c r="B7" s="49" t="n"/>
      <c r="C7" s="318">
        <f>+ROUND(Resultado!Y7/1000,0)</f>
        <v/>
      </c>
      <c r="E7" s="318" t="n">
        <v>34034069</v>
      </c>
    </row>
    <row r="8">
      <c r="A8" s="51" t="n"/>
      <c r="B8" s="52" t="n"/>
      <c r="C8" s="318" t="n"/>
      <c r="E8" s="318" t="n"/>
    </row>
    <row r="9">
      <c r="A9" s="53" t="inlineStr">
        <is>
          <t>Ganancia bruta</t>
        </is>
      </c>
      <c r="B9" s="54" t="n"/>
      <c r="C9" s="320">
        <f>+C5-C7</f>
        <v/>
      </c>
      <c r="E9" s="320" t="n">
        <v>12957681</v>
      </c>
    </row>
    <row r="10">
      <c r="A10" s="51" t="n"/>
      <c r="B10" s="52" t="n"/>
      <c r="C10" s="318" t="n"/>
      <c r="E10" s="318" t="n"/>
    </row>
    <row r="11">
      <c r="A11" s="48" t="inlineStr">
        <is>
          <t>Gastos de administracion</t>
        </is>
      </c>
      <c r="B11" s="49" t="n"/>
      <c r="C11" s="318">
        <f>+ROUND(Resultado!Y11/1000,0)</f>
        <v/>
      </c>
      <c r="E11" s="318" t="n">
        <v>6217567</v>
      </c>
    </row>
    <row r="12">
      <c r="A12" s="48" t="inlineStr">
        <is>
          <t>Depreciacion y/o Amortizacion</t>
        </is>
      </c>
      <c r="B12" s="52" t="n"/>
      <c r="C12" s="318">
        <f>+ROUND(Resultado!Y12/1000,0)</f>
        <v/>
      </c>
      <c r="E12" s="318" t="n">
        <v>1798705</v>
      </c>
    </row>
    <row r="13">
      <c r="A13" s="53" t="inlineStr">
        <is>
          <t xml:space="preserve">Ganancia (perdida) de actividades operacionales </t>
        </is>
      </c>
      <c r="B13" s="54" t="n"/>
      <c r="C13" s="320">
        <f>+C9-C11-C12</f>
        <v/>
      </c>
      <c r="E13" s="320" t="n">
        <v>4941409</v>
      </c>
    </row>
    <row r="14">
      <c r="A14" s="51" t="n"/>
      <c r="B14" s="52" t="n"/>
      <c r="C14" s="318" t="n"/>
      <c r="E14" s="318" t="n"/>
    </row>
    <row r="15">
      <c r="A15" s="48" t="inlineStr">
        <is>
          <t>Ingresos financieros</t>
        </is>
      </c>
      <c r="B15" s="49" t="n"/>
      <c r="C15" s="318">
        <f>+ROUND(Resultado!Y15/1000,0)</f>
        <v/>
      </c>
      <c r="E15" s="318" t="n">
        <v>512445</v>
      </c>
    </row>
    <row r="16">
      <c r="A16" s="48" t="n"/>
      <c r="B16" s="49" t="n"/>
      <c r="C16" s="318" t="n"/>
      <c r="E16" s="318" t="n"/>
    </row>
    <row r="17">
      <c r="A17" s="48" t="inlineStr">
        <is>
          <t>Costos financieros</t>
        </is>
      </c>
      <c r="B17" s="49" t="n"/>
      <c r="C17" s="318">
        <f>+ROUND(Resultado!Y17/1000,0)</f>
        <v/>
      </c>
      <c r="E17" s="318" t="n">
        <v>-202228</v>
      </c>
    </row>
    <row r="18">
      <c r="A18" s="48" t="n"/>
      <c r="B18" s="49" t="n"/>
      <c r="C18" s="318" t="n"/>
      <c r="E18" s="318" t="n"/>
    </row>
    <row r="19">
      <c r="A19" s="48" t="inlineStr">
        <is>
          <t>Participacion en las ganancias (perdidas) de asociadas y negocios conjunto</t>
        </is>
      </c>
      <c r="B19" s="49" t="n"/>
      <c r="C19" s="318">
        <f>+ROUND(Resultado!Y19/1000,0)</f>
        <v/>
      </c>
      <c r="E19" s="318" t="n">
        <v>122935</v>
      </c>
    </row>
    <row r="20">
      <c r="A20" s="59" t="n"/>
      <c r="B20" s="60" t="n"/>
      <c r="C20" s="318" t="n"/>
      <c r="E20" s="318" t="n"/>
    </row>
    <row r="21">
      <c r="A21" s="48" t="inlineStr">
        <is>
          <t>Otros ingresos</t>
        </is>
      </c>
      <c r="B21" s="49" t="n"/>
      <c r="C21" s="318">
        <f>+ROUND(Resultado!Y21/1000,0)-1</f>
        <v/>
      </c>
      <c r="E21" s="318" t="n">
        <v>2846792</v>
      </c>
    </row>
    <row r="22">
      <c r="A22" s="48" t="n"/>
      <c r="B22" s="49" t="n"/>
      <c r="C22" s="318" t="n"/>
      <c r="E22" s="318" t="n"/>
    </row>
    <row r="23">
      <c r="A23" s="48" t="inlineStr">
        <is>
          <t>Otros egresos</t>
        </is>
      </c>
      <c r="B23" s="49" t="n"/>
      <c r="C23" s="318">
        <f>+ROUND(Resultado!Y23/1000,0)</f>
        <v/>
      </c>
      <c r="E23" s="318" t="n">
        <v>-2263575</v>
      </c>
    </row>
    <row r="24">
      <c r="A24" s="48" t="n"/>
      <c r="B24" s="49" t="n"/>
      <c r="C24" s="318" t="n"/>
      <c r="E24" s="318" t="n"/>
    </row>
    <row r="25">
      <c r="A25" s="48" t="inlineStr">
        <is>
          <t>Diferencias de cambio</t>
        </is>
      </c>
      <c r="B25" s="49" t="n"/>
      <c r="C25" s="318">
        <f>+ROUND(Resultado!Y25/1000,0)+1</f>
        <v/>
      </c>
      <c r="E25" s="318" t="n">
        <v>-3803161</v>
      </c>
    </row>
    <row r="26">
      <c r="A26" s="48" t="n"/>
      <c r="B26" s="49" t="n"/>
      <c r="C26" s="318" t="n"/>
      <c r="E26" s="318" t="n"/>
    </row>
    <row r="27">
      <c r="A27" s="48" t="inlineStr">
        <is>
          <t>Resultado por unidades de reajuste</t>
        </is>
      </c>
      <c r="B27" s="49" t="n"/>
      <c r="C27" s="318">
        <f>+ROUND(Resultado!Y27/1000,0)</f>
        <v/>
      </c>
      <c r="E27" s="318" t="n">
        <v>-9875546</v>
      </c>
    </row>
    <row r="28">
      <c r="A28" s="61" t="n"/>
      <c r="B28" s="62" t="n"/>
      <c r="C28" s="318" t="n"/>
      <c r="E28" s="318" t="n"/>
    </row>
    <row r="29">
      <c r="A29" s="53" t="inlineStr">
        <is>
          <t>Ganancia (perdida) antes de impuestos</t>
        </is>
      </c>
      <c r="B29" s="54" t="n"/>
      <c r="C29" s="320">
        <f>SUM(C13:C28)</f>
        <v/>
      </c>
      <c r="E29" s="320" t="n">
        <v>-7720929</v>
      </c>
    </row>
    <row r="30">
      <c r="A30" s="61" t="n"/>
      <c r="B30" s="62" t="n"/>
      <c r="C30" s="318" t="n"/>
      <c r="E30" s="318" t="n"/>
    </row>
    <row r="31">
      <c r="A31" s="48" t="inlineStr">
        <is>
          <t>Gasto por impuestos a las ganancias</t>
        </is>
      </c>
      <c r="B31" s="49" t="n"/>
      <c r="C31" s="318">
        <f>+ROUND(Resultado!Y31/1000,0)</f>
        <v/>
      </c>
      <c r="E31" s="318" t="n">
        <v>-2046344</v>
      </c>
    </row>
    <row r="32">
      <c r="A32" s="51" t="n"/>
      <c r="B32" s="52" t="n"/>
      <c r="C32" s="318" t="n"/>
      <c r="E32" s="318" t="n"/>
    </row>
    <row r="33">
      <c r="A33" s="53" t="inlineStr">
        <is>
          <t>Ganancia (perdida)</t>
        </is>
      </c>
      <c r="B33" s="54" t="n"/>
      <c r="C33" s="320">
        <f>+C29+C31</f>
        <v/>
      </c>
      <c r="E33" s="320" t="n">
        <v>-9767273</v>
      </c>
    </row>
    <row r="34">
      <c r="A34" s="63" t="n"/>
      <c r="B34" s="54" t="n"/>
      <c r="C34" s="321" t="n"/>
      <c r="E34" s="321" t="n"/>
    </row>
    <row r="35">
      <c r="A35" s="65" t="inlineStr">
        <is>
          <t>Ganancia (perdida) atribuible a los propietarios de la controladora</t>
        </is>
      </c>
      <c r="B35" s="54" t="n"/>
      <c r="C35" s="318">
        <f>+ROUND(Resultado!Y35/1000,0)</f>
        <v/>
      </c>
      <c r="E35" s="318" t="n">
        <v>-9730843</v>
      </c>
    </row>
    <row r="36">
      <c r="A36" s="63" t="n"/>
      <c r="B36" s="54" t="n"/>
      <c r="C36" s="321" t="n"/>
      <c r="E36" s="321" t="n"/>
    </row>
    <row r="37">
      <c r="A37" s="65" t="inlineStr">
        <is>
          <t>Ganancia (perdida) atribuible a participaciones no controladoras</t>
        </is>
      </c>
      <c r="B37" s="54" t="n"/>
      <c r="C37" s="318">
        <f>+ROUND(Resultado!Y37/1000,0)</f>
        <v/>
      </c>
      <c r="E37" s="318" t="n">
        <v>-36428</v>
      </c>
    </row>
    <row r="38">
      <c r="A38" s="63" t="n"/>
      <c r="B38" s="54" t="n"/>
      <c r="C38" s="321" t="n"/>
      <c r="E38" s="321" t="n"/>
    </row>
    <row r="39">
      <c r="A39" s="53" t="inlineStr">
        <is>
          <t>Ganancia (perdida)</t>
        </is>
      </c>
      <c r="B39" s="54" t="n"/>
      <c r="C39" s="322">
        <f>+C35+C37</f>
        <v/>
      </c>
      <c r="E39" s="322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118" min="1" max="1"/>
    <col width="0.542857142857143" customWidth="1" style="118" min="2" max="2"/>
    <col width="15.4285714285714" customWidth="1" style="118" min="3" max="3"/>
    <col width="14.5428571428571" customWidth="1" style="118" min="4" max="4"/>
    <col width="15.8190476190476" customWidth="1" style="118" min="5" max="6"/>
    <col width="19.8190476190476" customWidth="1" style="118" min="7" max="7"/>
    <col width="14.5428571428571" customWidth="1" style="118" min="8" max="8"/>
    <col width="14" customWidth="1" style="118" min="9" max="9"/>
    <col width="18" customWidth="1" style="118" min="10" max="10"/>
    <col width="0.542857142857143" customWidth="1" style="118" min="11" max="11"/>
    <col width="15.5428571428571" customWidth="1" style="118" min="12" max="13"/>
    <col width="15.4571428571429" customWidth="1" style="118" min="14" max="14"/>
    <col width="13.5428571428571" customWidth="1" style="118" min="15" max="15"/>
    <col width="14.5428571428571" customWidth="1" style="118" min="16" max="17"/>
    <col width="12.4571428571429" customWidth="1" style="118" min="18" max="18"/>
    <col width="14.5428571428571" customWidth="1" style="118" min="19" max="19"/>
    <col hidden="1" width="16.4571428571429" customWidth="1" style="119" min="20" max="20"/>
    <col width="0.542857142857143" customWidth="1" style="119" min="21" max="21"/>
    <col width="14.5428571428571" customWidth="1" style="120" min="22" max="22"/>
    <col width="16.1809523809524" customWidth="1" style="120" min="23" max="23"/>
    <col width="14.4571428571429" customWidth="1" style="120" min="24" max="24"/>
    <col width="16.1809523809524" customWidth="1" style="120" min="25" max="25"/>
    <col width="15.4571428571429" customWidth="1" style="120" min="26" max="28"/>
    <col width="14.5428571428571" customWidth="1" style="120" min="29" max="30"/>
    <col width="13.5428571428571" customWidth="1" style="120" min="31" max="32"/>
    <col width="15.5428571428571" customWidth="1" style="120" min="33" max="33"/>
    <col width="18.1809523809524" customWidth="1" style="120" min="34" max="34"/>
    <col width="16.4571428571429" customWidth="1" style="120" min="35" max="36"/>
    <col width="18.5428571428571" customWidth="1" style="120" min="37" max="37"/>
    <col width="13.4571428571429" customWidth="1" style="120" min="38" max="40"/>
    <col width="15.1809523809524" customWidth="1" style="120" min="41" max="41"/>
    <col width="13.8190476190476" customWidth="1" style="120" min="42" max="42"/>
    <col width="14.4571428571429" customWidth="1" style="120" min="43" max="43"/>
    <col width="15" customWidth="1" style="120" min="44" max="44"/>
    <col width="16.8190476190476" customWidth="1" style="120" min="45" max="45"/>
    <col width="14.1809523809524" customWidth="1" style="120" min="46" max="46"/>
    <col width="17.1809523809524" customWidth="1" style="120" min="47" max="47"/>
    <col width="15.4571428571429" customWidth="1" style="120" min="48" max="48"/>
    <col width="17.5428571428571" customWidth="1" style="120" min="49" max="49"/>
    <col width="11.4571428571429" customWidth="1" style="120" min="50" max="16384"/>
  </cols>
  <sheetData>
    <row r="1">
      <c r="A1" s="121" t="inlineStr">
        <is>
          <t>CHILE FILMS SPA Y AFILIADAS</t>
        </is>
      </c>
      <c r="B1" s="122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1" t="inlineStr">
        <is>
          <t>Estado Financiero Consolidado</t>
        </is>
      </c>
      <c r="B2" s="122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n"/>
      <c r="G2" s="41" t="inlineStr">
        <is>
          <t>Consolidado</t>
        </is>
      </c>
      <c r="H2" s="41" t="inlineStr">
        <is>
          <t>Individual</t>
        </is>
      </c>
      <c r="I2" s="41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1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3" t="inlineStr">
        <is>
          <t>Estado de Situación Financiera</t>
        </is>
      </c>
      <c r="B3" s="122" t="n"/>
      <c r="C3" s="124" t="inlineStr">
        <is>
          <t>Matriz</t>
        </is>
      </c>
      <c r="D3" s="124" t="inlineStr">
        <is>
          <t>Filiales</t>
        </is>
      </c>
      <c r="E3" s="124" t="inlineStr">
        <is>
          <t>Filiales</t>
        </is>
      </c>
      <c r="F3" s="124" t="inlineStr">
        <is>
          <t>Filiales</t>
        </is>
      </c>
      <c r="G3" s="124" t="n"/>
      <c r="H3" s="124" t="inlineStr">
        <is>
          <t>Filiales</t>
        </is>
      </c>
      <c r="I3" s="124" t="inlineStr">
        <is>
          <t>Filiales</t>
        </is>
      </c>
      <c r="J3" s="124" t="n"/>
      <c r="K3" s="88" t="n"/>
      <c r="L3" s="163" t="inlineStr">
        <is>
          <t>Ajuste</t>
        </is>
      </c>
      <c r="M3" s="163" t="inlineStr">
        <is>
          <t>Ajuste</t>
        </is>
      </c>
      <c r="N3" s="163" t="inlineStr">
        <is>
          <t>Ajuste</t>
        </is>
      </c>
      <c r="O3" s="163" t="inlineStr">
        <is>
          <t>Ajuste</t>
        </is>
      </c>
      <c r="P3" s="163" t="inlineStr">
        <is>
          <t>Ajuste</t>
        </is>
      </c>
      <c r="Q3" s="163" t="inlineStr">
        <is>
          <t>Ajuste</t>
        </is>
      </c>
      <c r="R3" s="163" t="inlineStr">
        <is>
          <t>Ajuste</t>
        </is>
      </c>
      <c r="S3" s="163" t="n"/>
      <c r="T3" s="163" t="inlineStr">
        <is>
          <t>Ajuste</t>
        </is>
      </c>
      <c r="U3" s="88" t="n"/>
      <c r="V3" s="173" t="n"/>
    </row>
    <row r="4">
      <c r="A4" s="125" t="inlineStr">
        <is>
          <t xml:space="preserve">Activos </t>
        </is>
      </c>
      <c r="B4" s="122" t="n"/>
      <c r="C4" s="126" t="n"/>
      <c r="D4" s="126" t="n"/>
      <c r="E4" s="126" t="n"/>
      <c r="F4" s="126" t="n"/>
      <c r="G4" s="126" t="n"/>
      <c r="H4" s="126" t="n"/>
      <c r="I4" s="126" t="n"/>
      <c r="J4" s="126" t="n"/>
      <c r="K4" s="88" t="n"/>
      <c r="L4" s="164" t="n"/>
      <c r="M4" s="164" t="n"/>
      <c r="N4" s="164" t="n"/>
      <c r="O4" s="164" t="n"/>
      <c r="P4" s="164" t="n"/>
      <c r="Q4" s="164" t="n"/>
      <c r="R4" s="164" t="n"/>
      <c r="S4" s="164" t="n"/>
      <c r="T4" s="164" t="n"/>
      <c r="U4" s="88" t="n"/>
      <c r="V4" s="126" t="n"/>
    </row>
    <row r="5">
      <c r="A5" s="127" t="inlineStr">
        <is>
          <t>Activos corrientes</t>
        </is>
      </c>
      <c r="B5" s="122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88" t="n"/>
      <c r="L5" s="164" t="n"/>
      <c r="M5" s="164" t="n"/>
      <c r="N5" s="164" t="n"/>
      <c r="O5" s="164" t="n"/>
      <c r="P5" s="164" t="n"/>
      <c r="Q5" s="164" t="n"/>
      <c r="R5" s="164" t="n"/>
      <c r="S5" s="164" t="n"/>
      <c r="T5" s="164" t="n"/>
      <c r="U5" s="88" t="n"/>
      <c r="V5" s="126" t="n"/>
    </row>
    <row r="6">
      <c r="A6" s="128" t="inlineStr">
        <is>
          <t>Efectivo y Equivalentes al Efectivo</t>
        </is>
      </c>
      <c r="B6" s="122" t="n"/>
      <c r="C6" s="129" t="n">
        <v>3991436469</v>
      </c>
      <c r="D6" s="129" t="n">
        <v>3117802</v>
      </c>
      <c r="E6" s="129" t="n">
        <v>1890802177</v>
      </c>
      <c r="F6" s="129" t="n">
        <v>3246043784</v>
      </c>
      <c r="G6" s="129" t="n">
        <v>3826419796.22</v>
      </c>
      <c r="H6" s="129" t="n">
        <v>5387933</v>
      </c>
      <c r="I6" s="129" t="n">
        <v>1093191</v>
      </c>
      <c r="J6" s="129" t="n">
        <v>19529113800</v>
      </c>
      <c r="K6" s="88" t="n"/>
      <c r="L6" s="129" t="n">
        <v>0</v>
      </c>
      <c r="M6" s="129" t="n">
        <v>0</v>
      </c>
      <c r="N6" s="129" t="n">
        <v>0</v>
      </c>
      <c r="O6" s="129" t="n">
        <v>0</v>
      </c>
      <c r="P6" s="129" t="n">
        <v>0</v>
      </c>
      <c r="Q6" s="129" t="n">
        <v>0</v>
      </c>
      <c r="R6" s="129" t="n">
        <v>0</v>
      </c>
      <c r="S6" s="129" t="n"/>
      <c r="T6" s="129" t="n">
        <v>0</v>
      </c>
      <c r="U6" s="88" t="n"/>
      <c r="V6" s="129">
        <f>SUM(C6:T6)</f>
        <v/>
      </c>
    </row>
    <row r="7">
      <c r="A7" s="128" t="inlineStr">
        <is>
          <t>Otros activos financieros corrientes</t>
        </is>
      </c>
      <c r="B7" s="122" t="n"/>
      <c r="C7" s="129" t="n">
        <v>0</v>
      </c>
      <c r="D7" s="129" t="n">
        <v>0</v>
      </c>
      <c r="E7" s="129" t="n">
        <v>0</v>
      </c>
      <c r="F7" s="129" t="n">
        <v>0</v>
      </c>
      <c r="G7" s="129" t="n">
        <v>0</v>
      </c>
      <c r="H7" s="129" t="n">
        <v>0</v>
      </c>
      <c r="I7" s="129" t="n">
        <v>0</v>
      </c>
      <c r="J7" s="129" t="n">
        <v>0</v>
      </c>
      <c r="K7" s="88" t="n"/>
      <c r="L7" s="129" t="n">
        <v>0</v>
      </c>
      <c r="M7" s="129" t="n">
        <v>0</v>
      </c>
      <c r="N7" s="129" t="n">
        <v>0</v>
      </c>
      <c r="O7" s="129" t="n">
        <v>0</v>
      </c>
      <c r="P7" s="129" t="n">
        <v>0</v>
      </c>
      <c r="Q7" s="129" t="n">
        <v>0</v>
      </c>
      <c r="R7" s="129" t="n">
        <v>0</v>
      </c>
      <c r="S7" s="129" t="n"/>
      <c r="T7" s="129" t="n">
        <v>0</v>
      </c>
      <c r="U7" s="88" t="n"/>
      <c r="V7" s="129">
        <f>SUM(C7:T7)</f>
        <v/>
      </c>
    </row>
    <row r="8" ht="15" customHeight="1">
      <c r="A8" s="128" t="inlineStr">
        <is>
          <t>Otros Activos No Financieros, Corriente</t>
        </is>
      </c>
      <c r="B8" s="122" t="n"/>
      <c r="C8" s="129" t="n">
        <v>28670407</v>
      </c>
      <c r="D8" s="129" t="n">
        <v>0</v>
      </c>
      <c r="E8" s="129" t="n">
        <v>28288613</v>
      </c>
      <c r="F8" s="129" t="n">
        <v>466048</v>
      </c>
      <c r="G8" s="129" t="n">
        <v>244845284.66</v>
      </c>
      <c r="H8" s="129" t="n">
        <v>10444966</v>
      </c>
      <c r="I8" s="129" t="n">
        <v>0</v>
      </c>
      <c r="J8" s="129" t="n">
        <v>918103580</v>
      </c>
      <c r="K8" s="88" t="n"/>
      <c r="L8" s="129" t="n">
        <v>0</v>
      </c>
      <c r="M8" s="129" t="n">
        <v>0</v>
      </c>
      <c r="N8" s="129" t="n">
        <v>0</v>
      </c>
      <c r="O8" s="129" t="n">
        <v>0</v>
      </c>
      <c r="P8" s="129" t="n">
        <v>0</v>
      </c>
      <c r="Q8" s="129" t="n">
        <v>0</v>
      </c>
      <c r="R8" s="129" t="n">
        <v>0</v>
      </c>
      <c r="S8" s="129" t="n"/>
      <c r="T8" s="129" t="n">
        <v>0</v>
      </c>
      <c r="U8" s="88" t="n"/>
      <c r="V8" s="129">
        <f>SUM(C8:T8)</f>
        <v/>
      </c>
      <c r="W8" s="119" t="n"/>
      <c r="X8" s="174" t="n"/>
      <c r="Y8" s="174" t="n"/>
      <c r="Z8" s="174" t="n"/>
      <c r="AA8" s="198" t="n"/>
      <c r="AB8" s="198" t="n"/>
    </row>
    <row r="9">
      <c r="A9" s="128" t="inlineStr">
        <is>
          <t>Deudores comerciales y otras cuentas por cobrar corrientes</t>
        </is>
      </c>
      <c r="B9" s="122" t="n"/>
      <c r="C9" s="129" t="n">
        <v>544775395</v>
      </c>
      <c r="D9" s="129" t="n">
        <v>2340104</v>
      </c>
      <c r="E9" s="129" t="n">
        <v>496838638</v>
      </c>
      <c r="F9" s="129" t="n">
        <v>2555362919</v>
      </c>
      <c r="G9" s="129" t="n">
        <v>3069928738.72</v>
      </c>
      <c r="H9" s="129" t="n">
        <v>0</v>
      </c>
      <c r="I9" s="129" t="n">
        <v>191674</v>
      </c>
      <c r="J9" s="129" t="n">
        <v>8020150772</v>
      </c>
      <c r="K9" s="88" t="n"/>
      <c r="L9" s="142">
        <f>+'[17]Detalle Cta Cte  Reclasi(Final)'!$BM$43</f>
        <v/>
      </c>
      <c r="M9" s="129" t="n">
        <v>0</v>
      </c>
      <c r="N9" s="129" t="n"/>
      <c r="O9" s="129" t="n"/>
      <c r="P9" s="129" t="n">
        <v>0</v>
      </c>
      <c r="Q9" s="129" t="n"/>
      <c r="R9" s="129" t="n">
        <v>0</v>
      </c>
      <c r="S9" s="129" t="n"/>
      <c r="T9" s="129" t="n">
        <v>0</v>
      </c>
      <c r="U9" s="88" t="n"/>
      <c r="V9" s="129">
        <f>SUM(C9:T9)</f>
        <v/>
      </c>
      <c r="W9" s="175" t="n"/>
      <c r="X9" s="323" t="n"/>
      <c r="Y9" s="199" t="n"/>
      <c r="Z9" s="199" t="n"/>
      <c r="AA9" s="323" t="n"/>
      <c r="AB9" s="198" t="n"/>
    </row>
    <row r="10">
      <c r="A10" s="130" t="inlineStr">
        <is>
          <t>Cuentas por Cobrar a Entidades Relacionadas, Corriente</t>
        </is>
      </c>
      <c r="B10" s="131" t="n"/>
      <c r="C10" s="13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v>0</v>
      </c>
      <c r="I10" s="132" t="n">
        <v>0</v>
      </c>
      <c r="J10" s="132" t="n">
        <v>0</v>
      </c>
      <c r="K10" s="165" t="n"/>
      <c r="L10" s="132" t="n">
        <v>0</v>
      </c>
      <c r="M10" s="132" t="n">
        <v>0</v>
      </c>
      <c r="N10" s="132" t="n">
        <v>0</v>
      </c>
      <c r="O10" s="132" t="n">
        <v>0</v>
      </c>
      <c r="P10" s="132" t="n">
        <v>0</v>
      </c>
      <c r="Q10" s="132" t="n">
        <v>0</v>
      </c>
      <c r="R10" s="132" t="n">
        <v>0</v>
      </c>
      <c r="S10" s="132" t="n"/>
      <c r="T10" s="132" t="n">
        <v>0</v>
      </c>
      <c r="U10" s="165" t="n"/>
      <c r="V10" s="132">
        <f>SUM(C10:T10)</f>
        <v/>
      </c>
    </row>
    <row r="11">
      <c r="A11" s="128" t="inlineStr">
        <is>
          <t>Inventarios</t>
        </is>
      </c>
      <c r="B11" s="122" t="n"/>
      <c r="C11" s="129" t="n">
        <v>53135152</v>
      </c>
      <c r="D11" s="129" t="n">
        <v>0</v>
      </c>
      <c r="E11" s="129" t="n">
        <v>0</v>
      </c>
      <c r="F11" s="129" t="n">
        <v>6981384</v>
      </c>
      <c r="G11" s="129" t="n">
        <v>17627292.56</v>
      </c>
      <c r="H11" s="129" t="n">
        <v>0</v>
      </c>
      <c r="I11" s="129" t="n">
        <v>0</v>
      </c>
      <c r="J11" s="129" t="n">
        <v>922381337</v>
      </c>
      <c r="K11" s="88" t="n"/>
      <c r="L11" s="129" t="n">
        <v>0</v>
      </c>
      <c r="M11" s="129" t="n">
        <v>0</v>
      </c>
      <c r="N11" s="129" t="n">
        <v>0</v>
      </c>
      <c r="O11" s="129" t="n">
        <v>0</v>
      </c>
      <c r="P11" s="129" t="n">
        <v>0</v>
      </c>
      <c r="Q11" s="129" t="n">
        <v>0</v>
      </c>
      <c r="R11" s="129" t="n">
        <v>0</v>
      </c>
      <c r="S11" s="129" t="n"/>
      <c r="T11" s="129" t="n">
        <v>0</v>
      </c>
      <c r="U11" s="88" t="n"/>
      <c r="V11" s="129">
        <f>SUM(C11:T11)</f>
        <v/>
      </c>
    </row>
    <row r="12">
      <c r="A12" s="128" t="inlineStr">
        <is>
          <t>Activos biológicos corrientes</t>
        </is>
      </c>
      <c r="B12" s="122" t="n"/>
      <c r="C12" s="129" t="n">
        <v>0</v>
      </c>
      <c r="D12" s="129" t="n">
        <v>0</v>
      </c>
      <c r="E12" s="129" t="n">
        <v>0</v>
      </c>
      <c r="F12" s="129" t="n">
        <v>0</v>
      </c>
      <c r="G12" s="129" t="n">
        <v>0</v>
      </c>
      <c r="H12" s="129" t="n">
        <v>0</v>
      </c>
      <c r="I12" s="129" t="n">
        <v>0</v>
      </c>
      <c r="J12" s="129" t="n">
        <v>0</v>
      </c>
      <c r="K12" s="88" t="n"/>
      <c r="L12" s="129" t="n">
        <v>0</v>
      </c>
      <c r="M12" s="129" t="n">
        <v>0</v>
      </c>
      <c r="N12" s="129" t="n">
        <v>0</v>
      </c>
      <c r="O12" s="129" t="n">
        <v>0</v>
      </c>
      <c r="P12" s="129" t="n">
        <v>0</v>
      </c>
      <c r="Q12" s="129" t="n">
        <v>0</v>
      </c>
      <c r="R12" s="129" t="n">
        <v>0</v>
      </c>
      <c r="S12" s="129" t="n"/>
      <c r="T12" s="129" t="n">
        <v>0</v>
      </c>
      <c r="U12" s="88" t="n"/>
      <c r="V12" s="129">
        <f>SUM(C12:T12)</f>
        <v/>
      </c>
    </row>
    <row r="13">
      <c r="A13" s="128" t="inlineStr">
        <is>
          <t>Activos por impuestos corrientes</t>
        </is>
      </c>
      <c r="B13" s="122" t="n"/>
      <c r="C13" s="129" t="n">
        <v>668517589</v>
      </c>
      <c r="D13" s="129" t="n">
        <v>0</v>
      </c>
      <c r="E13" s="129" t="n">
        <v>4633528</v>
      </c>
      <c r="F13" s="129" t="n">
        <v>76312982</v>
      </c>
      <c r="G13" s="129" t="n">
        <v>954474894.46</v>
      </c>
      <c r="H13" s="129" t="n">
        <v>21855290</v>
      </c>
      <c r="I13" s="129" t="n">
        <v>17123867</v>
      </c>
      <c r="J13" s="129" t="n">
        <v>632874679</v>
      </c>
      <c r="K13" s="88" t="n"/>
      <c r="L13" s="129" t="n">
        <v>0</v>
      </c>
      <c r="M13" s="129" t="n">
        <v>0</v>
      </c>
      <c r="N13" s="129" t="n">
        <v>0</v>
      </c>
      <c r="O13" s="129" t="n">
        <v>0</v>
      </c>
      <c r="P13" s="129" t="n">
        <v>0</v>
      </c>
      <c r="Q13" s="129" t="n">
        <v>0</v>
      </c>
      <c r="R13" s="129" t="n">
        <v>0</v>
      </c>
      <c r="S13" s="129" t="n"/>
      <c r="T13" s="129" t="n">
        <v>0</v>
      </c>
      <c r="U13" s="88" t="n"/>
      <c r="V13" s="129">
        <f>SUM(C13:T13)</f>
        <v/>
      </c>
    </row>
    <row r="14" ht="48" customHeight="1">
      <c r="A14" s="133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2" t="n"/>
      <c r="C14" s="134">
        <f>SUM(C6:C13)</f>
        <v/>
      </c>
      <c r="D14" s="134">
        <f>SUM(D6:D13)</f>
        <v/>
      </c>
      <c r="E14" s="134">
        <f>SUM(E6:E13)</f>
        <v/>
      </c>
      <c r="F14" s="134">
        <f>SUM(F6:F13)</f>
        <v/>
      </c>
      <c r="G14" s="134">
        <f>SUM(G6:G13)</f>
        <v/>
      </c>
      <c r="H14" s="134">
        <f>SUM(H6:H13)</f>
        <v/>
      </c>
      <c r="I14" s="134">
        <f>SUM(I6:I13)</f>
        <v/>
      </c>
      <c r="J14" s="134">
        <f>SUM(J6:J13)</f>
        <v/>
      </c>
      <c r="K14" s="88" t="n"/>
      <c r="L14" s="166">
        <f>SUM(L6:L13)</f>
        <v/>
      </c>
      <c r="M14" s="166">
        <f>SUM(M6:M13)</f>
        <v/>
      </c>
      <c r="N14" s="166">
        <f>SUM(N6:N13)</f>
        <v/>
      </c>
      <c r="O14" s="166">
        <f>SUM(O6:O13)</f>
        <v/>
      </c>
      <c r="P14" s="166">
        <f>SUM(P6:P13)</f>
        <v/>
      </c>
      <c r="Q14" s="166">
        <f>SUM(Q6:Q13)</f>
        <v/>
      </c>
      <c r="R14" s="166">
        <f>SUM(R6:R13)</f>
        <v/>
      </c>
      <c r="S14" s="166" t="n"/>
      <c r="T14" s="166">
        <f>SUM(T6:T13)</f>
        <v/>
      </c>
      <c r="U14" s="88" t="n"/>
      <c r="V14" s="134">
        <f>SUM(V6:V13)</f>
        <v/>
      </c>
    </row>
    <row r="15" ht="36" customHeight="1">
      <c r="A15" s="135" t="inlineStr">
        <is>
          <t xml:space="preserve">Activos no corrientes o grupos de activos para su disposición clasificados como mantenidos para la venta </t>
        </is>
      </c>
      <c r="B15" s="122" t="n"/>
      <c r="C15" s="129" t="n">
        <v>0</v>
      </c>
      <c r="D15" s="129" t="n">
        <v>0</v>
      </c>
      <c r="E15" s="129" t="n">
        <v>0</v>
      </c>
      <c r="F15" s="129" t="n">
        <v>0</v>
      </c>
      <c r="G15" s="129" t="n">
        <v>0</v>
      </c>
      <c r="H15" s="129" t="n">
        <v>0</v>
      </c>
      <c r="I15" s="129" t="n">
        <v>0</v>
      </c>
      <c r="J15" s="129" t="n">
        <v>0</v>
      </c>
      <c r="K15" s="88" t="n"/>
      <c r="L15" s="129" t="n">
        <v>0</v>
      </c>
      <c r="M15" s="129" t="n">
        <v>0</v>
      </c>
      <c r="N15" s="129" t="n">
        <v>0</v>
      </c>
      <c r="O15" s="129" t="n">
        <v>0</v>
      </c>
      <c r="P15" s="129" t="n">
        <v>0</v>
      </c>
      <c r="Q15" s="129" t="n">
        <v>0</v>
      </c>
      <c r="R15" s="129" t="n">
        <v>0</v>
      </c>
      <c r="S15" s="129" t="n"/>
      <c r="T15" s="129" t="n">
        <v>0</v>
      </c>
      <c r="U15" s="88" t="n"/>
      <c r="V15" s="129">
        <f>SUM(C15:T15)</f>
        <v/>
      </c>
    </row>
    <row r="16" ht="36" customHeight="1">
      <c r="A16" s="135" t="inlineStr">
        <is>
          <t>Activos no corrientes o grupos de activos para su disposición clasificados como mantenidos para distribuir a los propietarios</t>
        </is>
      </c>
      <c r="B16" s="122" t="n"/>
      <c r="C16" s="129" t="n">
        <v>0</v>
      </c>
      <c r="D16" s="129" t="n">
        <v>0</v>
      </c>
      <c r="E16" s="129" t="n">
        <v>0</v>
      </c>
      <c r="F16" s="129" t="n">
        <v>0</v>
      </c>
      <c r="G16" s="129" t="n">
        <v>0</v>
      </c>
      <c r="H16" s="129" t="n">
        <v>0</v>
      </c>
      <c r="I16" s="129" t="n">
        <v>0</v>
      </c>
      <c r="J16" s="129" t="n">
        <v>0</v>
      </c>
      <c r="K16" s="88" t="n"/>
      <c r="L16" s="129" t="n">
        <v>0</v>
      </c>
      <c r="M16" s="129" t="n">
        <v>0</v>
      </c>
      <c r="N16" s="129" t="n">
        <v>0</v>
      </c>
      <c r="O16" s="129" t="n">
        <v>0</v>
      </c>
      <c r="P16" s="129" t="n">
        <v>0</v>
      </c>
      <c r="Q16" s="129" t="n">
        <v>0</v>
      </c>
      <c r="R16" s="129" t="n">
        <v>0</v>
      </c>
      <c r="S16" s="129" t="n"/>
      <c r="T16" s="129" t="n">
        <v>0</v>
      </c>
      <c r="U16" s="88" t="n"/>
      <c r="V16" s="129">
        <f>SUM(C16:T16)</f>
        <v/>
      </c>
    </row>
    <row r="17" ht="48" customHeight="1">
      <c r="A17" s="133" t="inlineStr">
        <is>
          <t>Activos no corrientes o grupos de activos para su disposición clasificados como mantenidos para la venta o como mantenidos para distribuir a los propietarios</t>
        </is>
      </c>
      <c r="B17" s="122" t="n"/>
      <c r="C17" s="134">
        <f>+C15+C16</f>
        <v/>
      </c>
      <c r="D17" s="134">
        <f>+D15+D16</f>
        <v/>
      </c>
      <c r="E17" s="134">
        <f>+E15+E16</f>
        <v/>
      </c>
      <c r="F17" s="134">
        <f>+F15+F16</f>
        <v/>
      </c>
      <c r="G17" s="134">
        <f>+G15+G16</f>
        <v/>
      </c>
      <c r="H17" s="134">
        <f>+H15+H16</f>
        <v/>
      </c>
      <c r="I17" s="134">
        <f>+I15+I16</f>
        <v/>
      </c>
      <c r="J17" s="134" t="n"/>
      <c r="K17" s="88" t="n"/>
      <c r="L17" s="166">
        <f>+L15+L16</f>
        <v/>
      </c>
      <c r="M17" s="166">
        <f>+M15+M16</f>
        <v/>
      </c>
      <c r="N17" s="166">
        <f>+N15+N16</f>
        <v/>
      </c>
      <c r="O17" s="166">
        <f>+O15+O16</f>
        <v/>
      </c>
      <c r="P17" s="166">
        <f>+P15+P16</f>
        <v/>
      </c>
      <c r="Q17" s="166">
        <f>+Q15+Q16</f>
        <v/>
      </c>
      <c r="R17" s="166">
        <f>+R15+R16</f>
        <v/>
      </c>
      <c r="S17" s="166" t="n"/>
      <c r="T17" s="166">
        <f>+T15+T16</f>
        <v/>
      </c>
      <c r="U17" s="88" t="n"/>
      <c r="V17" s="134">
        <f>+V15+V16</f>
        <v/>
      </c>
    </row>
    <row r="18" ht="15" customHeight="1">
      <c r="A18" s="136" t="inlineStr">
        <is>
          <t>Activos corrientes totales</t>
        </is>
      </c>
      <c r="B18" s="122" t="n"/>
      <c r="C18" s="137">
        <f>+C14+C17</f>
        <v/>
      </c>
      <c r="D18" s="137">
        <f>+D14+D17</f>
        <v/>
      </c>
      <c r="E18" s="137">
        <f>+E14+E17</f>
        <v/>
      </c>
      <c r="F18" s="137">
        <f>+F14+F17</f>
        <v/>
      </c>
      <c r="G18" s="137">
        <f>+G14+G17</f>
        <v/>
      </c>
      <c r="H18" s="137">
        <f>+H14+H17</f>
        <v/>
      </c>
      <c r="I18" s="137">
        <f>+I14+I17</f>
        <v/>
      </c>
      <c r="J18" s="137">
        <f>+J14+J17</f>
        <v/>
      </c>
      <c r="K18" s="88" t="n"/>
      <c r="L18" s="137">
        <f>+L14+L17</f>
        <v/>
      </c>
      <c r="M18" s="137">
        <f>+M14+M17</f>
        <v/>
      </c>
      <c r="N18" s="137">
        <f>+N14+N17</f>
        <v/>
      </c>
      <c r="O18" s="137">
        <f>+O14+O17</f>
        <v/>
      </c>
      <c r="P18" s="137">
        <f>+P14+P17</f>
        <v/>
      </c>
      <c r="Q18" s="137">
        <f>+Q14+Q17</f>
        <v/>
      </c>
      <c r="R18" s="137">
        <f>+R14+R17</f>
        <v/>
      </c>
      <c r="S18" s="137" t="n"/>
      <c r="T18" s="137">
        <f>+T14+T17</f>
        <v/>
      </c>
      <c r="U18" s="88" t="n"/>
      <c r="V18" s="137">
        <f>+V14+V17</f>
        <v/>
      </c>
      <c r="W18" s="177" t="inlineStr">
        <is>
          <t>Consolidado Conate</t>
        </is>
      </c>
      <c r="Y18" s="200" t="inlineStr">
        <is>
          <t>Consolidado CHF Inversiones</t>
        </is>
      </c>
      <c r="Z18" s="201" t="n"/>
      <c r="AA18" s="201" t="n"/>
      <c r="AB18" s="202" t="n"/>
      <c r="AC18" s="192" t="n"/>
      <c r="AD18" s="192" t="n"/>
      <c r="AE18" s="192" t="n"/>
      <c r="AF18" s="192" t="n"/>
    </row>
    <row r="19" ht="45" customHeight="1">
      <c r="A19" s="127" t="inlineStr">
        <is>
          <t>Activos no corrientes</t>
        </is>
      </c>
      <c r="B19" s="122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88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88" t="n"/>
      <c r="V19" s="126" t="n"/>
      <c r="W19" s="178" t="inlineStr">
        <is>
          <t>Gramado (Otros Activos)</t>
        </is>
      </c>
      <c r="X19" s="178" t="inlineStr">
        <is>
          <t>Cinemo Prod. (Depositos Judiciales)</t>
        </is>
      </c>
      <c r="Y19" s="203" t="inlineStr">
        <is>
          <t>Otras Inv. en Otras Sociedades en CHF Inv</t>
        </is>
      </c>
      <c r="Z19" s="178" t="inlineStr">
        <is>
          <t>Inversiones Permanentes en Audivisual</t>
        </is>
      </c>
      <c r="AA19" s="178" t="inlineStr">
        <is>
          <t>Depositos Judiciales en Curt</t>
        </is>
      </c>
      <c r="AB19" s="178" t="inlineStr">
        <is>
          <t>Depositos Judiciales en CC Do Brasil</t>
        </is>
      </c>
      <c r="AC19" s="178" t="inlineStr">
        <is>
          <t>Depositos Judiciales en Amazon</t>
        </is>
      </c>
      <c r="AD19" s="186" t="n"/>
      <c r="AE19" s="186" t="n"/>
      <c r="AF19" s="186" t="n"/>
      <c r="AG19" s="186" t="n"/>
      <c r="AH19" s="186" t="n"/>
      <c r="AJ19" s="186" t="inlineStr">
        <is>
          <t>TOTAL</t>
        </is>
      </c>
    </row>
    <row r="20">
      <c r="A20" s="138" t="inlineStr">
        <is>
          <t>Otros activos financieros no corrientes</t>
        </is>
      </c>
      <c r="B20" s="122" t="n"/>
      <c r="C20" s="139" t="n">
        <v>0</v>
      </c>
      <c r="D20" s="139" t="n">
        <v>0</v>
      </c>
      <c r="E20" s="139" t="n">
        <v>2072568436.67</v>
      </c>
      <c r="F20" s="139" t="n">
        <v>0</v>
      </c>
      <c r="G20" s="139" t="n">
        <v>0</v>
      </c>
      <c r="H20" s="139" t="n">
        <v>0</v>
      </c>
      <c r="I20" s="139" t="n">
        <v>0</v>
      </c>
      <c r="J20" s="139" t="n">
        <v>11222624019</v>
      </c>
      <c r="K20" s="88" t="n"/>
      <c r="L20" s="139" t="n"/>
      <c r="M20" s="139" t="n">
        <v>0</v>
      </c>
      <c r="N20" s="139">
        <f>-'[17]cta cte  (Ajustes) (Final)'!$J$55-'[17]cta cte  (Ajustes) (Final)'!$R$55</f>
        <v/>
      </c>
      <c r="O20" s="139" t="n">
        <v>0</v>
      </c>
      <c r="P20" s="139" t="n">
        <v>0</v>
      </c>
      <c r="Q20" s="139" t="n">
        <v>0</v>
      </c>
      <c r="R20" s="139" t="n">
        <v>0</v>
      </c>
      <c r="S20" s="139">
        <f>-'[17]cta cte  (Ajustes) (Final)'!$AO$55-'[17]cta cte  (Ajustes) (Final)'!$AQ$55</f>
        <v/>
      </c>
      <c r="T20" s="129" t="n">
        <v>0</v>
      </c>
      <c r="U20" s="88" t="n"/>
      <c r="V20" s="139">
        <f>SUM(C20:T20)</f>
        <v/>
      </c>
      <c r="W20" s="179">
        <f>+'[17]cta cte  (Final) (Quedan)'!$J$54</f>
        <v/>
      </c>
      <c r="X20" s="180">
        <f>+'[17]cta cte  (Final) (Quedan)'!$N$49</f>
        <v/>
      </c>
      <c r="Y20" s="204">
        <f>+'[17]cta cte  (Final) (Quedan)'!$AM$46</f>
        <v/>
      </c>
      <c r="Z20" s="205">
        <f>+'[17]cta cte  (Final) (Quedan)'!$AO$47</f>
        <v/>
      </c>
      <c r="AA20" s="324">
        <f>+'[17]cta cte  (Final) (Quedan)'!$BI$49</f>
        <v/>
      </c>
      <c r="AB20" s="325">
        <f>+'[17]cta cte  (Final) (Quedan)'!$AQ$49</f>
        <v/>
      </c>
      <c r="AC20" s="208">
        <f>+'[17]cta cte  (Final) (Quedan)'!$R$49</f>
        <v/>
      </c>
      <c r="AD20" s="119" t="n"/>
      <c r="AE20" s="208" t="n"/>
      <c r="AF20" s="208" t="n"/>
      <c r="AG20" s="175" t="n"/>
      <c r="AH20" s="119">
        <f>+L20</f>
        <v/>
      </c>
      <c r="AJ20" s="326">
        <f>SUM(W20:AH20)</f>
        <v/>
      </c>
      <c r="AK20" s="326">
        <f>+V20-AJ20</f>
        <v/>
      </c>
    </row>
    <row r="21">
      <c r="A21" s="140" t="inlineStr">
        <is>
          <t>Otros activos no financieros no corrientes</t>
        </is>
      </c>
      <c r="B21" s="122" t="n"/>
      <c r="C21" s="129" t="n">
        <v>7244332690</v>
      </c>
      <c r="D21" s="129" t="n">
        <v>0</v>
      </c>
      <c r="E21" s="129" t="n">
        <v>745758745</v>
      </c>
      <c r="F21" s="129" t="n">
        <v>0</v>
      </c>
      <c r="G21" s="129" t="n">
        <v>0</v>
      </c>
      <c r="H21" s="129" t="n">
        <v>0</v>
      </c>
      <c r="I21" s="129" t="n">
        <v>0</v>
      </c>
      <c r="J21" s="129" t="n">
        <v>16641984</v>
      </c>
      <c r="K21" s="88" t="n"/>
      <c r="L21" s="167">
        <f>77916732-417</f>
        <v/>
      </c>
      <c r="M21" s="129" t="n">
        <v>0</v>
      </c>
      <c r="N21" s="129" t="n">
        <v>0</v>
      </c>
      <c r="O21" s="129" t="n">
        <v>0</v>
      </c>
      <c r="P21" s="129" t="n">
        <v>0</v>
      </c>
      <c r="Q21" s="181" t="n"/>
      <c r="R21" s="129" t="n">
        <v>0</v>
      </c>
      <c r="S21" s="181" t="n"/>
      <c r="T21" s="129" t="n">
        <v>0</v>
      </c>
      <c r="U21" s="88" t="n"/>
      <c r="V21" s="129">
        <f>SUM(C21:T21)</f>
        <v/>
      </c>
      <c r="W21" s="119" t="n">
        <v>0</v>
      </c>
      <c r="X21" s="119">
        <f>+E21</f>
        <v/>
      </c>
      <c r="Y21" s="119" t="n">
        <v>0</v>
      </c>
      <c r="Z21" s="119" t="n">
        <v>0</v>
      </c>
      <c r="AA21" s="119" t="n">
        <v>0</v>
      </c>
      <c r="AH21" s="175" t="n"/>
      <c r="AJ21" s="175">
        <f>SUM(W21:AH21)</f>
        <v/>
      </c>
      <c r="AL21" s="192" t="inlineStr">
        <is>
          <t>Sonus</t>
        </is>
      </c>
      <c r="AM21" s="192" t="inlineStr">
        <is>
          <t>Sonus</t>
        </is>
      </c>
      <c r="AN21" s="192" t="inlineStr">
        <is>
          <t>Sonus</t>
        </is>
      </c>
      <c r="AO21" s="192" t="inlineStr">
        <is>
          <t>Sonus</t>
        </is>
      </c>
    </row>
    <row r="22" ht="15" customHeight="1">
      <c r="A22" s="140" t="inlineStr">
        <is>
          <t>Derechos por cobrar no corrientes</t>
        </is>
      </c>
      <c r="B22" s="122" t="n"/>
      <c r="C22" s="129" t="n">
        <v>0</v>
      </c>
      <c r="D22" s="129" t="n">
        <v>0</v>
      </c>
      <c r="E22" s="129" t="n">
        <v>0</v>
      </c>
      <c r="F22" s="129" t="n">
        <v>0</v>
      </c>
      <c r="G22" s="129" t="n">
        <v>0</v>
      </c>
      <c r="H22" s="129" t="n">
        <v>0</v>
      </c>
      <c r="I22" s="129" t="n">
        <v>0</v>
      </c>
      <c r="J22" s="129" t="n">
        <v>0</v>
      </c>
      <c r="K22" s="88" t="n"/>
      <c r="M22" s="129" t="n">
        <v>0</v>
      </c>
      <c r="N22" s="129" t="n">
        <v>0</v>
      </c>
      <c r="O22" s="129" t="n">
        <v>0</v>
      </c>
      <c r="P22" s="129" t="n">
        <v>0</v>
      </c>
      <c r="Q22" s="129" t="n">
        <v>0</v>
      </c>
      <c r="R22" s="129" t="n">
        <v>0</v>
      </c>
      <c r="S22" s="129" t="n"/>
      <c r="T22" s="129" t="n">
        <v>0</v>
      </c>
      <c r="U22" s="88" t="n"/>
      <c r="V22" s="129">
        <f>SUM(C22:T22)</f>
        <v/>
      </c>
      <c r="W22" s="182" t="inlineStr">
        <is>
          <t>CVN</t>
        </is>
      </c>
      <c r="X22" s="183">
        <f>+[15]Estado!$Z$22</f>
        <v/>
      </c>
      <c r="Y22" s="209" t="inlineStr">
        <is>
          <t>JPD</t>
        </is>
      </c>
      <c r="Z22" s="210" t="inlineStr">
        <is>
          <t>CVN</t>
        </is>
      </c>
      <c r="AA22" s="211" t="inlineStr">
        <is>
          <t>Agricola Rio Grande</t>
        </is>
      </c>
      <c r="AB22" s="211" t="inlineStr">
        <is>
          <t>CINECOLOR MEX</t>
        </is>
      </c>
      <c r="AC22" s="210" t="inlineStr">
        <is>
          <t>Pronemsa</t>
        </is>
      </c>
      <c r="AD22" s="211" t="inlineStr">
        <is>
          <t>Inmo. Plaza Alba</t>
        </is>
      </c>
      <c r="AE22" s="212" t="inlineStr">
        <is>
          <t>CHF Internaccional</t>
        </is>
      </c>
      <c r="AF22" s="210" t="inlineStr">
        <is>
          <t>Fundación CARE</t>
        </is>
      </c>
      <c r="AG22" s="210" t="inlineStr">
        <is>
          <t>Costa Sur</t>
        </is>
      </c>
      <c r="AH22" s="211" t="inlineStr">
        <is>
          <t>CN Inv. Financ.</t>
        </is>
      </c>
      <c r="AJ22" s="226" t="n"/>
      <c r="AK22" s="227" t="n"/>
      <c r="AL22" s="198">
        <f>+[5]Estado!$AG$22</f>
        <v/>
      </c>
      <c r="AM22" s="228" t="inlineStr">
        <is>
          <t>Csur</t>
        </is>
      </c>
      <c r="AN22" s="228" t="inlineStr">
        <is>
          <t>Agricola</t>
        </is>
      </c>
      <c r="AO22" s="192" t="inlineStr">
        <is>
          <t>Fundación</t>
        </is>
      </c>
      <c r="AP22" s="233">
        <f>+'[4]Estado$'!$AG$22</f>
        <v/>
      </c>
      <c r="AQ22" s="233">
        <f>+'[4]Estado$'!$AL$22</f>
        <v/>
      </c>
      <c r="AR22" s="234">
        <f>+'[4]Estado$'!$AM$22</f>
        <v/>
      </c>
      <c r="AS22" s="235" t="inlineStr">
        <is>
          <t>Surface</t>
        </is>
      </c>
      <c r="AT22" s="236">
        <f>+'[4]Estado$'!$AE$22</f>
        <v/>
      </c>
      <c r="AV22" s="237" t="inlineStr">
        <is>
          <t>Total</t>
        </is>
      </c>
    </row>
    <row r="23" ht="24.75" customHeight="1">
      <c r="A23" s="141" t="inlineStr">
        <is>
          <t>Cuentas por Cobrar a Entidades Relacionadas, No Corriente</t>
        </is>
      </c>
      <c r="B23" s="122" t="n"/>
      <c r="C23" s="142" t="n">
        <v>3706892400</v>
      </c>
      <c r="D23" s="142" t="n">
        <v>212649967</v>
      </c>
      <c r="E23" s="142" t="n">
        <v>8586449380</v>
      </c>
      <c r="F23" s="142" t="n">
        <v>271744</v>
      </c>
      <c r="G23" s="142" t="n">
        <v>1923515459.057696</v>
      </c>
      <c r="H23" s="142" t="n">
        <v>300360854</v>
      </c>
      <c r="I23" s="142" t="n">
        <v>175296882</v>
      </c>
      <c r="J23" s="142" t="n">
        <v>6997365974</v>
      </c>
      <c r="K23" s="168" t="n"/>
      <c r="L23" s="142">
        <f>-'[17]cta cte  (Ajustes) (Final)'!$B$43-'[17]Detalle Cta Cte  Reclasi(Final)'!$BM$57+417</f>
        <v/>
      </c>
      <c r="M23" s="142">
        <f>-'[17]cta cte  (Ajustes) (Final)'!$D$43</f>
        <v/>
      </c>
      <c r="N23" s="142">
        <f>-'[17]cta cte  (Ajustes) (Final)'!$F$43-'[17]cta cte  (Ajustes) (Final)'!$H$43-'[17]cta cte  (Ajustes) (Final)'!$T$43</f>
        <v/>
      </c>
      <c r="O23" s="142">
        <f>-'[17]cta cte  (Ajustes) (Final)'!$AA$43</f>
        <v/>
      </c>
      <c r="P23" s="142">
        <f>-'[17]cta cte  (Ajustes) (Final)'!$AC$43</f>
        <v/>
      </c>
      <c r="Q23" s="142">
        <f>-'[17]cta cte  (Ajustes) (Final)'!$AI$43</f>
        <v/>
      </c>
      <c r="R23" s="142">
        <f>-'[17]cta cte  (Ajustes) (Final)'!$AK$43</f>
        <v/>
      </c>
      <c r="S23" s="142">
        <f>-'[17]cta cte  (Ajustes) (Final)'!$AM$43-'[17]cta cte  (Ajustes) (Final)'!$BG$43</f>
        <v/>
      </c>
      <c r="T23" s="142" t="n">
        <v>0</v>
      </c>
      <c r="U23" s="88" t="n"/>
      <c r="V23" s="142">
        <f>SUM(C23:T23)</f>
        <v/>
      </c>
      <c r="W23" s="175">
        <f>+[15]Estado!$AE$23</f>
        <v/>
      </c>
      <c r="X23" s="326">
        <f>+[15]Estado!$Z$23</f>
        <v/>
      </c>
      <c r="Y23" s="327">
        <f>+[6]Ctas!$D$197</f>
        <v/>
      </c>
      <c r="Z23" s="327">
        <f>+[6]Ctas!$D$198</f>
        <v/>
      </c>
      <c r="AA23" s="327">
        <f>+[6]Ctas!$D$199</f>
        <v/>
      </c>
      <c r="AB23" s="214" t="n">
        <v>0</v>
      </c>
      <c r="AC23" s="214">
        <f>+[6]Ctas!$D$208</f>
        <v/>
      </c>
      <c r="AD23" s="214">
        <f>+[6]Ctas!$D$211</f>
        <v/>
      </c>
      <c r="AE23" s="214">
        <f>+[6]Ctas!$D$220</f>
        <v/>
      </c>
      <c r="AF23" s="214">
        <f>+[6]Ctas!$D$235</f>
        <v/>
      </c>
      <c r="AG23" s="327">
        <f>+[6]Ctas!$D$228</f>
        <v/>
      </c>
      <c r="AH23" s="327">
        <f>+[6]Ctas!$D$230</f>
        <v/>
      </c>
      <c r="AJ23" s="226" t="n"/>
      <c r="AK23" s="226" t="n"/>
      <c r="AL23" s="199">
        <f>+[10]Estado!$AH$23</f>
        <v/>
      </c>
      <c r="AM23" s="328">
        <f>+[10]Estado!$Z$23</f>
        <v/>
      </c>
      <c r="AN23" s="328">
        <f>+[10]Estado!$AB$23</f>
        <v/>
      </c>
      <c r="AO23" s="326">
        <f>+[10]Estado!$AC$23</f>
        <v/>
      </c>
      <c r="AP23" s="234" t="n"/>
      <c r="AQ23" s="234">
        <f>+'[16]Estado$'!$AL$23+'[16]Estado$'!$AP$23+'[16]Estado$'!$AR$23</f>
        <v/>
      </c>
      <c r="AR23" s="234" t="n"/>
      <c r="AS23" s="329">
        <f>+'[16]Estado$'!$AN$23</f>
        <v/>
      </c>
      <c r="AT23" s="234">
        <f>+'[16]Estado$'!$AE$23</f>
        <v/>
      </c>
      <c r="AU23" s="326" t="n"/>
      <c r="AV23" s="330">
        <f>SUM(W23:AU23)</f>
        <v/>
      </c>
      <c r="AW23" s="326">
        <f>+V23-AV23</f>
        <v/>
      </c>
      <c r="AX23" s="119">
        <f>+'[17]Detalle Cta Cte  Reclasi(Final)'!$BM$43</f>
        <v/>
      </c>
      <c r="AY23" s="119">
        <f>+AW23-AX23</f>
        <v/>
      </c>
    </row>
    <row r="24" ht="24.75" customHeight="1">
      <c r="A24" s="143" t="inlineStr">
        <is>
          <t>Inversiones contabilizadas utilizando el método de la participación</t>
        </is>
      </c>
      <c r="B24" s="122" t="n"/>
      <c r="C24" s="144" t="n">
        <v>66927963658</v>
      </c>
      <c r="D24" s="144" t="n">
        <v>0</v>
      </c>
      <c r="E24" s="144" t="n">
        <v>287360463</v>
      </c>
      <c r="F24" s="144" t="n">
        <v>0</v>
      </c>
      <c r="G24" s="144" t="n">
        <v>5256221824.26</v>
      </c>
      <c r="H24" s="144" t="n">
        <v>0</v>
      </c>
      <c r="I24" s="144" t="n">
        <v>0</v>
      </c>
      <c r="J24" s="144" t="n">
        <v>5275727314</v>
      </c>
      <c r="K24" s="88" t="n"/>
      <c r="L24" s="169">
        <f>-'[18]Invers. Ajuste Consol.'!$B$40</f>
        <v/>
      </c>
      <c r="M24" s="167" t="n"/>
      <c r="N24" s="169">
        <f>-[15]Estado!$Y$24</f>
        <v/>
      </c>
      <c r="O24" s="169" t="n">
        <v>0</v>
      </c>
      <c r="P24" s="169">
        <f>-[10]Estado!$Z$24-[10]Estado!$AB$24</f>
        <v/>
      </c>
      <c r="Q24" s="169" t="n">
        <v>0</v>
      </c>
      <c r="R24" s="169" t="n">
        <v>0</v>
      </c>
      <c r="S24" s="169">
        <f>-'[16]Estado$'!$AL$24</f>
        <v/>
      </c>
      <c r="T24" s="169">
        <f>-#REF!</f>
        <v/>
      </c>
      <c r="U24" s="88" t="n"/>
      <c r="V24" s="142">
        <f>SUM(B24:S24)</f>
        <v/>
      </c>
      <c r="W24" s="175">
        <f>+[6]Ctas!$D$257</f>
        <v/>
      </c>
      <c r="X24" s="175">
        <f>+[6]Ctas!$D$256</f>
        <v/>
      </c>
      <c r="Y24" s="119">
        <f>+[6]Ctas!$D$249</f>
        <v/>
      </c>
      <c r="Z24" s="119">
        <f>+[6]Ctas!$D$243</f>
        <v/>
      </c>
      <c r="AA24" s="119">
        <f>+'[16]Estado$'!$AE$24</f>
        <v/>
      </c>
      <c r="AB24" s="119">
        <f>+'[16]Estado$'!$AH$24</f>
        <v/>
      </c>
      <c r="AC24" s="119">
        <f>+'[16]Estado$'!$AJ$24</f>
        <v/>
      </c>
      <c r="AD24" s="119">
        <f>+'[16]Estado$'!$AK$24</f>
        <v/>
      </c>
      <c r="AE24" s="326">
        <f>+'[16]Estado$'!$AI$24+1</f>
        <v/>
      </c>
      <c r="AF24" s="326">
        <f>+[10]Estado!$AA$24</f>
        <v/>
      </c>
      <c r="AH24" s="331">
        <f>SUM(W24:AF24)</f>
        <v/>
      </c>
      <c r="AI24" s="332">
        <f>+V24-AH24</f>
        <v/>
      </c>
      <c r="AW24" s="326">
        <f>+AJ50</f>
        <v/>
      </c>
    </row>
    <row r="25" ht="15" customHeight="1">
      <c r="A25" s="140" t="inlineStr">
        <is>
          <t>Activos intangibles distintos de la plusvalía</t>
        </is>
      </c>
      <c r="B25" s="122" t="n"/>
      <c r="C25" s="129" t="n">
        <v>0</v>
      </c>
      <c r="D25" s="129" t="n">
        <v>0</v>
      </c>
      <c r="E25" s="129" t="n">
        <v>1080743206</v>
      </c>
      <c r="F25" s="129" t="n">
        <v>0</v>
      </c>
      <c r="G25" s="129" t="n">
        <v>0</v>
      </c>
      <c r="H25" s="129" t="n">
        <v>0</v>
      </c>
      <c r="I25" s="129" t="n">
        <v>0</v>
      </c>
      <c r="J25" s="129" t="n">
        <v>6059</v>
      </c>
      <c r="K25" s="88" t="n"/>
      <c r="L25" s="129" t="n">
        <v>0</v>
      </c>
      <c r="M25" s="129" t="n">
        <v>0</v>
      </c>
      <c r="N25" s="129" t="n">
        <v>0</v>
      </c>
      <c r="O25" s="129" t="n">
        <v>0</v>
      </c>
      <c r="P25" s="129" t="n">
        <v>0</v>
      </c>
      <c r="Q25" s="129" t="n">
        <v>0</v>
      </c>
      <c r="R25" s="129" t="n">
        <v>0</v>
      </c>
      <c r="S25" s="129" t="n"/>
      <c r="T25" s="129" t="n">
        <v>0</v>
      </c>
      <c r="U25" s="88" t="n"/>
      <c r="V25" s="129">
        <f>SUM(C25:T25)</f>
        <v/>
      </c>
      <c r="W25" s="185" t="inlineStr">
        <is>
          <t>INMOB.EDIF.ESCANDINAVIA SP</t>
        </is>
      </c>
      <c r="X25" s="186" t="inlineStr">
        <is>
          <t>Mediapro</t>
        </is>
      </c>
      <c r="Y25" s="186" t="inlineStr">
        <is>
          <t>Hopin</t>
        </is>
      </c>
      <c r="Z25" s="186" t="inlineStr">
        <is>
          <t>Andes Films</t>
        </is>
      </c>
      <c r="AA25" s="215">
        <f>+'[4]Estado$'!$AE$25</f>
        <v/>
      </c>
      <c r="AB25" s="215">
        <f>+'[4]Estado$'!$AH$25</f>
        <v/>
      </c>
      <c r="AC25" s="216">
        <f>+'[4]Estado$'!$AJ$25</f>
        <v/>
      </c>
      <c r="AD25" s="217">
        <f>+'[16]Estado$'!$AK$25</f>
        <v/>
      </c>
      <c r="AE25" s="215">
        <f>+'[16]Estado$'!$AI$25</f>
        <v/>
      </c>
      <c r="AF25" s="218" t="inlineStr">
        <is>
          <t>INV.INMOBIL NORUEGA S</t>
        </is>
      </c>
      <c r="AP25" s="233" t="n"/>
      <c r="AW25" s="326">
        <f>+AW23-AW24</f>
        <v/>
      </c>
    </row>
    <row r="26" ht="15" customHeight="1">
      <c r="A26" s="140" t="inlineStr">
        <is>
          <t>Plusvalía</t>
        </is>
      </c>
      <c r="B26" s="122" t="n"/>
      <c r="C26" s="129" t="n">
        <v>0</v>
      </c>
      <c r="D26" s="129" t="n">
        <v>0</v>
      </c>
      <c r="E26" s="129" t="n">
        <v>0</v>
      </c>
      <c r="F26" s="129" t="n">
        <v>0</v>
      </c>
      <c r="G26" s="129" t="n">
        <v>0</v>
      </c>
      <c r="H26" s="129" t="n">
        <v>0</v>
      </c>
      <c r="I26" s="129" t="n">
        <v>0</v>
      </c>
      <c r="J26" s="129" t="n">
        <v>403110</v>
      </c>
      <c r="K26" s="88" t="n"/>
      <c r="L26" s="129" t="n">
        <v>0</v>
      </c>
      <c r="M26" s="129" t="n">
        <v>0</v>
      </c>
      <c r="N26" s="129" t="n">
        <v>0</v>
      </c>
      <c r="O26" s="129" t="n">
        <v>0</v>
      </c>
      <c r="P26" s="129" t="n">
        <v>0</v>
      </c>
      <c r="Q26" s="129" t="n">
        <v>0</v>
      </c>
      <c r="R26" s="129" t="n">
        <v>0</v>
      </c>
      <c r="S26" s="129" t="n"/>
      <c r="T26" s="129" t="n">
        <v>0</v>
      </c>
      <c r="U26" s="88" t="n"/>
      <c r="V26" s="129">
        <f>SUM(C26:T26)</f>
        <v/>
      </c>
      <c r="W26" s="187" t="n"/>
      <c r="X26" s="188" t="inlineStr">
        <is>
          <t>Chilefilms</t>
        </is>
      </c>
      <c r="AA26" s="192" t="inlineStr">
        <is>
          <t>Consolidado CHF Inversiones</t>
        </is>
      </c>
      <c r="AF26" s="187" t="inlineStr">
        <is>
          <t>CCFilms SAC</t>
        </is>
      </c>
      <c r="AP26" s="234" t="n"/>
    </row>
    <row r="27">
      <c r="A27" s="140" t="inlineStr">
        <is>
          <t>Propiedades, Planta y Equipo</t>
        </is>
      </c>
      <c r="B27" s="122" t="n"/>
      <c r="C27" s="129" t="n">
        <v>7219481303</v>
      </c>
      <c r="D27" s="129" t="n">
        <v>0</v>
      </c>
      <c r="E27" s="129" t="n">
        <v>74429346</v>
      </c>
      <c r="F27" s="129" t="n">
        <v>1166316</v>
      </c>
      <c r="G27" s="129" t="n">
        <v>539360404.4200001</v>
      </c>
      <c r="H27" s="129" t="n">
        <v>0</v>
      </c>
      <c r="I27" s="129" t="n">
        <v>0</v>
      </c>
      <c r="J27" s="129" t="n">
        <v>9234185858</v>
      </c>
      <c r="K27" s="88" t="n"/>
      <c r="L27" s="129" t="n">
        <v>0</v>
      </c>
      <c r="M27" s="129" t="n">
        <v>0</v>
      </c>
      <c r="N27" s="129" t="n">
        <v>0</v>
      </c>
      <c r="O27" s="129" t="n">
        <v>0</v>
      </c>
      <c r="P27" s="129" t="n">
        <v>0</v>
      </c>
      <c r="Q27" s="129" t="n">
        <v>0</v>
      </c>
      <c r="R27" s="129" t="n">
        <v>0</v>
      </c>
      <c r="S27" s="129" t="n"/>
      <c r="T27" s="129" t="n">
        <v>0</v>
      </c>
      <c r="U27" s="88" t="n"/>
      <c r="V27" s="129">
        <f>SUM(C27:T27)</f>
        <v/>
      </c>
      <c r="AB27" s="198" t="n"/>
      <c r="AT27" s="120" t="inlineStr">
        <is>
          <t>x cobrar</t>
        </is>
      </c>
      <c r="AU27" s="120" t="n">
        <v>20453842507.58</v>
      </c>
    </row>
    <row r="28">
      <c r="A28" s="140" t="inlineStr">
        <is>
          <t>Activos biológicos, no corrientes</t>
        </is>
      </c>
      <c r="B28" s="122" t="n"/>
      <c r="C28" s="129" t="n">
        <v>0</v>
      </c>
      <c r="D28" s="129" t="n">
        <v>0</v>
      </c>
      <c r="E28" s="129" t="n">
        <v>0</v>
      </c>
      <c r="F28" s="129" t="n">
        <v>0</v>
      </c>
      <c r="G28" s="129" t="n">
        <v>0</v>
      </c>
      <c r="H28" s="129" t="n">
        <v>0</v>
      </c>
      <c r="I28" s="129" t="n">
        <v>0</v>
      </c>
      <c r="J28" s="129" t="n">
        <v>0</v>
      </c>
      <c r="K28" s="88" t="n"/>
      <c r="L28" s="129" t="n">
        <v>0</v>
      </c>
      <c r="M28" s="129" t="n">
        <v>0</v>
      </c>
      <c r="N28" s="129" t="n">
        <v>0</v>
      </c>
      <c r="O28" s="129" t="n">
        <v>0</v>
      </c>
      <c r="P28" s="129" t="n">
        <v>0</v>
      </c>
      <c r="Q28" s="129" t="n">
        <v>0</v>
      </c>
      <c r="R28" s="129" t="n">
        <v>0</v>
      </c>
      <c r="S28" s="129" t="n"/>
      <c r="T28" s="129" t="n">
        <v>0</v>
      </c>
      <c r="U28" s="88" t="n"/>
      <c r="V28" s="129">
        <f>SUM(C28:T28)</f>
        <v/>
      </c>
      <c r="AB28" s="219" t="n"/>
      <c r="AT28" s="120" t="inlineStr">
        <is>
          <t>x Pagar</t>
        </is>
      </c>
      <c r="AU28" s="120" t="n">
        <v>16810190106</v>
      </c>
    </row>
    <row r="29">
      <c r="A29" s="140" t="inlineStr">
        <is>
          <t>Propiedad de inversión</t>
        </is>
      </c>
      <c r="B29" s="122" t="n"/>
      <c r="C29" s="129" t="n">
        <v>1221545875</v>
      </c>
      <c r="D29" s="129" t="n">
        <v>0</v>
      </c>
      <c r="E29" s="129" t="n">
        <v>0</v>
      </c>
      <c r="F29" s="129" t="n">
        <v>0</v>
      </c>
      <c r="G29" s="129" t="n">
        <v>786972684.46</v>
      </c>
      <c r="H29" s="129" t="n">
        <v>0</v>
      </c>
      <c r="I29" s="129" t="n">
        <v>0</v>
      </c>
      <c r="J29" s="129" t="n">
        <v>98063358</v>
      </c>
      <c r="K29" s="88" t="n"/>
      <c r="L29" s="129" t="n">
        <v>0</v>
      </c>
      <c r="M29" s="129" t="n">
        <v>0</v>
      </c>
      <c r="N29" s="129" t="n">
        <v>0</v>
      </c>
      <c r="O29" s="129" t="n">
        <v>0</v>
      </c>
      <c r="P29" s="129" t="n">
        <v>0</v>
      </c>
      <c r="Q29" s="129" t="n">
        <v>0</v>
      </c>
      <c r="R29" s="129" t="n">
        <v>0</v>
      </c>
      <c r="S29" s="129" t="n"/>
      <c r="T29" s="129" t="n">
        <v>0</v>
      </c>
      <c r="U29" s="88" t="n"/>
      <c r="V29" s="129">
        <f>SUM(C29:T29)</f>
        <v/>
      </c>
      <c r="AT29" s="120" t="inlineStr">
        <is>
          <t>Diferencia a reclasificar</t>
        </is>
      </c>
      <c r="AU29" s="120" t="n">
        <v>3643652401.58</v>
      </c>
    </row>
    <row r="30">
      <c r="A30" s="140" t="inlineStr">
        <is>
          <t>Activos por impuestos diferidos</t>
        </is>
      </c>
      <c r="B30" s="122" t="n"/>
      <c r="C30" s="129" t="n">
        <v>0</v>
      </c>
      <c r="D30" s="129" t="n">
        <v>7393024</v>
      </c>
      <c r="E30" s="129" t="n">
        <v>73811555</v>
      </c>
      <c r="F30" s="129" t="n">
        <v>66589078</v>
      </c>
      <c r="G30" s="129" t="n">
        <v>19876930</v>
      </c>
      <c r="H30" s="129" t="n">
        <v>68798365</v>
      </c>
      <c r="I30" s="129" t="n">
        <v>3960531</v>
      </c>
      <c r="J30" s="129" t="n">
        <v>1973899479</v>
      </c>
      <c r="K30" s="88" t="n"/>
      <c r="L30" s="129" t="n">
        <v>0</v>
      </c>
      <c r="M30" s="129" t="n">
        <v>0</v>
      </c>
      <c r="N30" s="129" t="n">
        <v>0</v>
      </c>
      <c r="O30" s="129" t="n">
        <v>0</v>
      </c>
      <c r="P30" s="129" t="n">
        <v>0</v>
      </c>
      <c r="Q30" s="129" t="n">
        <v>0</v>
      </c>
      <c r="R30" s="129" t="n">
        <v>0</v>
      </c>
      <c r="S30" s="129" t="n"/>
      <c r="T30" s="129" t="n">
        <v>0</v>
      </c>
      <c r="U30" s="88" t="n"/>
      <c r="V30" s="129">
        <f>SUM(C30:T30)</f>
        <v/>
      </c>
    </row>
    <row r="31">
      <c r="A31" s="133" t="inlineStr">
        <is>
          <t>Total de activos no corrientes</t>
        </is>
      </c>
      <c r="B31" s="122" t="n"/>
      <c r="C31" s="134">
        <f>SUM(C20:C30)</f>
        <v/>
      </c>
      <c r="D31" s="134">
        <f>SUM(D20:D30)</f>
        <v/>
      </c>
      <c r="E31" s="134">
        <f>SUM(E20:E30)</f>
        <v/>
      </c>
      <c r="F31" s="134">
        <f>SUM(F20:F30)</f>
        <v/>
      </c>
      <c r="G31" s="134">
        <f>SUM(G20:G30)</f>
        <v/>
      </c>
      <c r="H31" s="134">
        <f>SUM(H20:H30)</f>
        <v/>
      </c>
      <c r="I31" s="134">
        <f>SUM(I20:I30)</f>
        <v/>
      </c>
      <c r="J31" s="134">
        <f>SUM(J20:J30)</f>
        <v/>
      </c>
      <c r="K31" s="88" t="n"/>
      <c r="L31" s="166">
        <f>SUM(L20:L30)</f>
        <v/>
      </c>
      <c r="M31" s="166">
        <f>SUM(M20:M30)</f>
        <v/>
      </c>
      <c r="N31" s="166">
        <f>SUM(N20:N30)</f>
        <v/>
      </c>
      <c r="O31" s="166">
        <f>SUM(O20:O30)</f>
        <v/>
      </c>
      <c r="P31" s="166">
        <f>SUM(P20:P30)</f>
        <v/>
      </c>
      <c r="Q31" s="166">
        <f>SUM(Q20:Q30)</f>
        <v/>
      </c>
      <c r="R31" s="166">
        <f>SUM(R20:R30)</f>
        <v/>
      </c>
      <c r="S31" s="166">
        <f>SUM(S20:S30)</f>
        <v/>
      </c>
      <c r="T31" s="166">
        <f>SUM(T20:T30)</f>
        <v/>
      </c>
      <c r="U31" s="88" t="n"/>
      <c r="V31" s="134">
        <f>SUM(V20:V30)</f>
        <v/>
      </c>
    </row>
    <row r="32">
      <c r="A32" s="145" t="inlineStr">
        <is>
          <t>Total de activos</t>
        </is>
      </c>
      <c r="B32" s="122" t="n"/>
      <c r="C32" s="137">
        <f>+C18+C31</f>
        <v/>
      </c>
      <c r="D32" s="137">
        <f>+D18+D31</f>
        <v/>
      </c>
      <c r="E32" s="137">
        <f>+E18+E31</f>
        <v/>
      </c>
      <c r="F32" s="137">
        <f>+F18+F31</f>
        <v/>
      </c>
      <c r="G32" s="137">
        <f>+G18+G31</f>
        <v/>
      </c>
      <c r="H32" s="137">
        <f>+H18+H31</f>
        <v/>
      </c>
      <c r="I32" s="137">
        <f>+I18+I31</f>
        <v/>
      </c>
      <c r="J32" s="137">
        <f>+J18+J31</f>
        <v/>
      </c>
      <c r="K32" s="88" t="n"/>
      <c r="L32" s="137">
        <f>+L18+L31</f>
        <v/>
      </c>
      <c r="M32" s="137">
        <f>+M18+M31</f>
        <v/>
      </c>
      <c r="N32" s="137">
        <f>+N18+N31</f>
        <v/>
      </c>
      <c r="O32" s="137">
        <f>+O18+O31</f>
        <v/>
      </c>
      <c r="P32" s="137">
        <f>+P18+P31</f>
        <v/>
      </c>
      <c r="Q32" s="137">
        <f>+Q18+Q31</f>
        <v/>
      </c>
      <c r="R32" s="137">
        <f>+R18+R31</f>
        <v/>
      </c>
      <c r="S32" s="137">
        <f>+S18+S31</f>
        <v/>
      </c>
      <c r="T32" s="137">
        <f>+T18+T31</f>
        <v/>
      </c>
      <c r="U32" s="88" t="n"/>
      <c r="V32" s="137">
        <f>+V18+V31</f>
        <v/>
      </c>
    </row>
    <row r="33">
      <c r="A33" s="146" t="n"/>
      <c r="B33" s="122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88" t="n"/>
      <c r="L33" s="164" t="n"/>
      <c r="M33" s="164" t="n"/>
      <c r="N33" s="164" t="n"/>
      <c r="O33" s="164" t="n"/>
      <c r="P33" s="164" t="n"/>
      <c r="Q33" s="164" t="n"/>
      <c r="R33" s="164" t="n"/>
      <c r="S33" s="164" t="n"/>
      <c r="T33" s="164" t="n"/>
      <c r="U33" s="88" t="n"/>
      <c r="V33" s="126" t="n"/>
    </row>
    <row r="34">
      <c r="A34" s="147" t="inlineStr">
        <is>
          <t>Patrimonio y pasivos</t>
        </is>
      </c>
      <c r="B34" s="122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88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88" t="n"/>
      <c r="V34" s="126" t="n"/>
    </row>
    <row r="35">
      <c r="A35" s="127" t="inlineStr">
        <is>
          <t>Pasivos</t>
        </is>
      </c>
      <c r="B35" s="122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88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88" t="n"/>
      <c r="V35" s="126" t="n"/>
    </row>
    <row r="36">
      <c r="A36" s="148" t="inlineStr">
        <is>
          <t>Pasivos corrientes</t>
        </is>
      </c>
      <c r="B36" s="122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88" t="n"/>
      <c r="L36" s="164" t="n"/>
      <c r="M36" s="164" t="n"/>
      <c r="N36" s="164" t="n"/>
      <c r="O36" s="164" t="n"/>
      <c r="P36" s="164" t="n"/>
      <c r="Q36" s="164" t="n"/>
      <c r="R36" s="164" t="n"/>
      <c r="S36" s="164" t="n"/>
      <c r="T36" s="164" t="n"/>
      <c r="U36" s="88" t="n"/>
      <c r="V36" s="126" t="n"/>
    </row>
    <row r="37" customFormat="1" s="116">
      <c r="A37" s="149" t="inlineStr">
        <is>
          <t>Otros pasivos financieros corrientes</t>
        </is>
      </c>
      <c r="B37" s="122" t="n"/>
      <c r="C37" s="150" t="n">
        <v>409483261</v>
      </c>
      <c r="D37" s="150" t="n">
        <v>0</v>
      </c>
      <c r="E37" s="150" t="n">
        <v>0</v>
      </c>
      <c r="F37" s="150" t="n">
        <v>187872287</v>
      </c>
      <c r="G37" s="150" t="n">
        <v>881974983.28</v>
      </c>
      <c r="H37" s="150" t="n">
        <v>0</v>
      </c>
      <c r="I37" s="150" t="n">
        <v>0</v>
      </c>
      <c r="J37" s="150" t="n">
        <v>558046576</v>
      </c>
      <c r="K37" s="170" t="n"/>
      <c r="L37" s="150" t="n"/>
      <c r="M37" s="150" t="n">
        <v>0</v>
      </c>
      <c r="N37" s="150" t="n">
        <v>0</v>
      </c>
      <c r="O37" s="150" t="n">
        <v>0</v>
      </c>
      <c r="P37" s="150" t="n">
        <v>0</v>
      </c>
      <c r="Q37" s="150" t="n">
        <v>0</v>
      </c>
      <c r="R37" s="150" t="n">
        <v>0</v>
      </c>
      <c r="S37" s="150" t="n"/>
      <c r="T37" s="150" t="n">
        <v>0</v>
      </c>
      <c r="U37" s="170" t="n"/>
      <c r="V37" s="150">
        <f>SUM(C37:T37)</f>
        <v/>
      </c>
    </row>
    <row r="38">
      <c r="A38" s="128" t="inlineStr">
        <is>
          <t>Cuentas por pagar comerciales y otras cuentas por pagar</t>
        </is>
      </c>
      <c r="B38" s="122" t="n"/>
      <c r="C38" s="129" t="n">
        <v>556915101</v>
      </c>
      <c r="D38" s="129" t="n">
        <v>1099353</v>
      </c>
      <c r="E38" s="129" t="n">
        <v>8484843</v>
      </c>
      <c r="F38" s="129" t="n">
        <v>3284919403</v>
      </c>
      <c r="G38" s="129" t="n">
        <v>3727612560.78</v>
      </c>
      <c r="H38" s="129" t="n">
        <v>54248821</v>
      </c>
      <c r="I38" s="129" t="n">
        <v>35884384</v>
      </c>
      <c r="J38" s="129" t="n">
        <v>5414028694</v>
      </c>
      <c r="K38" s="88" t="n"/>
      <c r="L38" s="142" t="n"/>
      <c r="M38" s="129" t="n">
        <v>0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/>
      <c r="T38" s="129" t="n">
        <v>0</v>
      </c>
      <c r="U38" s="88" t="n"/>
      <c r="V38" s="189">
        <f>SUM(C38:T38)</f>
        <v/>
      </c>
      <c r="W38" s="175" t="n"/>
      <c r="AA38" s="326" t="n"/>
    </row>
    <row r="39">
      <c r="A39" s="151" t="inlineStr">
        <is>
          <t>Cuentas por Pagar a Entidades Relacionadas, Corriente</t>
        </is>
      </c>
      <c r="B39" s="152" t="n"/>
      <c r="C39" s="142" t="n">
        <v>0</v>
      </c>
      <c r="D39" s="142" t="n">
        <v>0</v>
      </c>
      <c r="E39" s="142" t="n">
        <v>0</v>
      </c>
      <c r="F39" s="142" t="n">
        <v>443150607</v>
      </c>
      <c r="G39" s="142" t="n">
        <v>305542.0199999996</v>
      </c>
      <c r="H39" s="142" t="n">
        <v>0</v>
      </c>
      <c r="I39" s="142" t="n">
        <v>0</v>
      </c>
      <c r="J39" s="142" t="n">
        <v>0</v>
      </c>
      <c r="K39" s="168" t="n"/>
      <c r="L39" s="142" t="n">
        <v>0</v>
      </c>
      <c r="M39" s="142" t="n">
        <v>0</v>
      </c>
      <c r="N39" s="142" t="n">
        <v>0</v>
      </c>
      <c r="O39" s="142">
        <f>-[9]Ctas!$D$416</f>
        <v/>
      </c>
      <c r="P39" s="142">
        <f>-[10]Estado!$Z$39</f>
        <v/>
      </c>
      <c r="Q39" s="142" t="n">
        <v>0</v>
      </c>
      <c r="R39" s="142" t="n"/>
      <c r="S39" s="142" t="n"/>
      <c r="T39" s="142" t="n">
        <v>0</v>
      </c>
      <c r="U39" s="168" t="n"/>
      <c r="V39" s="190">
        <f>SUM(C39:T39)</f>
        <v/>
      </c>
      <c r="W39" s="326" t="n"/>
      <c r="X39" s="328" t="n"/>
      <c r="Y39" s="328" t="n"/>
      <c r="Z39" s="326" t="n"/>
      <c r="AB39" s="326" t="n"/>
      <c r="AC39" s="333" t="n"/>
      <c r="AD39" s="334" t="n"/>
    </row>
    <row r="40">
      <c r="A40" s="128" t="inlineStr">
        <is>
          <t>Otras provisiones a corto plazo</t>
        </is>
      </c>
      <c r="B40" s="122" t="n"/>
      <c r="C40" s="129" t="n">
        <v>0</v>
      </c>
      <c r="D40" s="129" t="n">
        <v>0</v>
      </c>
      <c r="E40" s="129" t="n">
        <v>0</v>
      </c>
      <c r="F40" s="129" t="n">
        <v>0</v>
      </c>
      <c r="G40" s="129" t="n">
        <v>0</v>
      </c>
      <c r="H40" s="129" t="n">
        <v>0</v>
      </c>
      <c r="I40" s="129" t="n">
        <v>0</v>
      </c>
      <c r="J40" s="129" t="n">
        <v>463737719</v>
      </c>
      <c r="K40" s="88" t="n"/>
      <c r="L40" s="129" t="n">
        <v>0</v>
      </c>
      <c r="M40" s="129" t="n">
        <v>0</v>
      </c>
      <c r="N40" s="129" t="n"/>
      <c r="O40" s="129" t="n">
        <v>0</v>
      </c>
      <c r="P40" s="129" t="n">
        <v>0</v>
      </c>
      <c r="Q40" s="129" t="n">
        <v>0</v>
      </c>
      <c r="R40" s="129" t="n">
        <v>0</v>
      </c>
      <c r="S40" s="129" t="n"/>
      <c r="T40" s="129" t="n">
        <v>0</v>
      </c>
      <c r="U40" s="88" t="n"/>
      <c r="V40" s="189">
        <f>SUM(C40:T40)</f>
        <v/>
      </c>
      <c r="W40" s="192" t="n"/>
      <c r="X40" s="192" t="n"/>
      <c r="Y40" s="192" t="n"/>
      <c r="Z40" s="192" t="n"/>
      <c r="AC40" s="192" t="n"/>
    </row>
    <row r="41">
      <c r="A41" s="128" t="inlineStr">
        <is>
          <t>Pasivos por Impuestos corrientes</t>
        </is>
      </c>
      <c r="B41" s="122" t="n"/>
      <c r="C41" s="129" t="n">
        <v>74649635</v>
      </c>
      <c r="D41" s="129" t="n">
        <v>0</v>
      </c>
      <c r="E41" s="129" t="n">
        <v>11826273</v>
      </c>
      <c r="F41" s="129" t="n">
        <v>0</v>
      </c>
      <c r="G41" s="129" t="n">
        <v>32963207</v>
      </c>
      <c r="H41" s="129" t="n">
        <v>4965044</v>
      </c>
      <c r="I41" s="129" t="n">
        <v>0</v>
      </c>
      <c r="J41" s="129" t="n">
        <v>1112722638</v>
      </c>
      <c r="K41" s="88" t="n"/>
      <c r="L41" s="129" t="n">
        <v>0</v>
      </c>
      <c r="M41" s="129" t="n">
        <v>0</v>
      </c>
      <c r="N41" s="129" t="n">
        <v>0</v>
      </c>
      <c r="O41" s="129" t="n">
        <v>0</v>
      </c>
      <c r="P41" s="129" t="n">
        <v>0</v>
      </c>
      <c r="Q41" s="129" t="n">
        <v>0</v>
      </c>
      <c r="R41" s="129" t="n">
        <v>0</v>
      </c>
      <c r="S41" s="129" t="n"/>
      <c r="T41" s="129" t="n">
        <v>0</v>
      </c>
      <c r="U41" s="88" t="n"/>
      <c r="V41" s="189">
        <f>SUM(C41:T41)</f>
        <v/>
      </c>
      <c r="W41" s="192" t="n"/>
      <c r="X41" s="192" t="n"/>
      <c r="Y41" s="192" t="n"/>
      <c r="Z41" s="192" t="n"/>
    </row>
    <row r="42" customFormat="1" s="117">
      <c r="A42" s="153" t="inlineStr">
        <is>
          <t>Provisiones corrientes por beneficios a los empleados</t>
        </is>
      </c>
      <c r="B42" s="122" t="n"/>
      <c r="C42" s="154" t="n">
        <v>0</v>
      </c>
      <c r="D42" s="154" t="n">
        <v>0</v>
      </c>
      <c r="E42" s="154" t="n">
        <v>0</v>
      </c>
      <c r="F42" s="154" t="n">
        <v>10827587</v>
      </c>
      <c r="G42" s="154" t="n">
        <v>73618259</v>
      </c>
      <c r="H42" s="154" t="n">
        <v>254808755</v>
      </c>
      <c r="I42" s="154" t="n">
        <v>0</v>
      </c>
      <c r="J42" s="154" t="n">
        <v>932917018</v>
      </c>
      <c r="K42" s="171" t="n"/>
      <c r="L42" s="154">
        <f>-L53</f>
        <v/>
      </c>
      <c r="M42" s="154" t="n">
        <v>0</v>
      </c>
      <c r="N42" s="154">
        <f>-N40</f>
        <v/>
      </c>
      <c r="O42" s="154" t="n">
        <v>0</v>
      </c>
      <c r="P42" s="154" t="n">
        <v>0</v>
      </c>
      <c r="Q42" s="154" t="n">
        <v>0</v>
      </c>
      <c r="R42" s="154" t="n">
        <v>0</v>
      </c>
      <c r="S42" s="154" t="n"/>
      <c r="T42" s="154" t="n">
        <v>0</v>
      </c>
      <c r="U42" s="171" t="n"/>
      <c r="V42" s="154">
        <f>SUM(C42:T42)</f>
        <v/>
      </c>
    </row>
    <row r="43">
      <c r="A43" s="128" t="inlineStr">
        <is>
          <t>Otros pasivos no financieros corrientes</t>
        </is>
      </c>
      <c r="B43" s="122" t="n"/>
      <c r="C43" s="129" t="n">
        <v>0</v>
      </c>
      <c r="D43" s="129" t="n">
        <v>0</v>
      </c>
      <c r="E43" s="129" t="n">
        <v>534903942.67</v>
      </c>
      <c r="F43" s="129" t="n">
        <v>0</v>
      </c>
      <c r="G43" s="129" t="n">
        <v>0</v>
      </c>
      <c r="H43" s="129" t="n">
        <v>0</v>
      </c>
      <c r="I43" s="129" t="n">
        <v>0</v>
      </c>
      <c r="J43" s="129" t="n">
        <v>625311782</v>
      </c>
      <c r="K43" s="88" t="n"/>
      <c r="L43" s="142">
        <f>+'[17]Detalle Cta Cte  Reclasi(Final)'!$BN$57+9647327</f>
        <v/>
      </c>
      <c r="M43" s="142" t="n"/>
      <c r="N43" s="129" t="n">
        <v>0</v>
      </c>
      <c r="O43" s="129" t="n">
        <v>0</v>
      </c>
      <c r="P43" s="129" t="n">
        <v>0</v>
      </c>
      <c r="Q43" s="129" t="n">
        <v>0</v>
      </c>
      <c r="R43" s="129" t="n">
        <v>0</v>
      </c>
      <c r="S43" s="129" t="n"/>
      <c r="T43" s="129" t="n">
        <v>0</v>
      </c>
      <c r="U43" s="88" t="n"/>
      <c r="V43" s="129">
        <f>SUM(C43:T43)</f>
        <v/>
      </c>
    </row>
    <row r="44" ht="36" customHeight="1">
      <c r="A44" s="155" t="inlineStr">
        <is>
          <t>Total de pasivos corrientes distintos de los pasivos incluidos en grupos de activos para su disposición clasificados como mantenidos para la venta</t>
        </is>
      </c>
      <c r="B44" s="122" t="n"/>
      <c r="C44" s="156">
        <f>SUM(C37:C43)</f>
        <v/>
      </c>
      <c r="D44" s="156">
        <f>SUM(D37:D43)</f>
        <v/>
      </c>
      <c r="E44" s="156">
        <f>SUM(E37:E43)</f>
        <v/>
      </c>
      <c r="F44" s="156">
        <f>SUM(F37:F43)</f>
        <v/>
      </c>
      <c r="G44" s="156">
        <f>SUM(G37:G43)</f>
        <v/>
      </c>
      <c r="H44" s="156">
        <f>SUM(H37:H43)</f>
        <v/>
      </c>
      <c r="I44" s="156">
        <f>SUM(I37:I43)</f>
        <v/>
      </c>
      <c r="J44" s="156">
        <f>SUM(J37:J43)</f>
        <v/>
      </c>
      <c r="K44" s="88" t="n"/>
      <c r="L44" s="172">
        <f>SUM(L37:L43)</f>
        <v/>
      </c>
      <c r="M44" s="172">
        <f>SUM(M37:M43)</f>
        <v/>
      </c>
      <c r="N44" s="172">
        <f>SUM(N37:N43)</f>
        <v/>
      </c>
      <c r="O44" s="172">
        <f>SUM(O37:O43)</f>
        <v/>
      </c>
      <c r="P44" s="172">
        <f>SUM(P37:P43)</f>
        <v/>
      </c>
      <c r="Q44" s="172">
        <f>SUM(Q37:Q43)</f>
        <v/>
      </c>
      <c r="R44" s="172">
        <f>SUM(R37:R43)</f>
        <v/>
      </c>
      <c r="S44" s="172" t="n"/>
      <c r="T44" s="172">
        <f>SUM(T37:T43)</f>
        <v/>
      </c>
      <c r="U44" s="88" t="n"/>
      <c r="V44" s="156">
        <f>SUM(V37:V43)</f>
        <v/>
      </c>
    </row>
    <row r="45" ht="36" customHeight="1">
      <c r="A45" s="135" t="inlineStr">
        <is>
          <t>Pasivos incluidos en grupos de activos para su disposición clasificados como mantenidos para la venta</t>
        </is>
      </c>
      <c r="B45" s="122" t="n"/>
      <c r="C45" s="129" t="n">
        <v>0</v>
      </c>
      <c r="D45" s="129" t="n">
        <v>0</v>
      </c>
      <c r="E45" s="129" t="n">
        <v>0</v>
      </c>
      <c r="F45" s="129" t="n">
        <v>0</v>
      </c>
      <c r="G45" s="129" t="n">
        <v>0</v>
      </c>
      <c r="H45" s="129" t="n">
        <v>0</v>
      </c>
      <c r="I45" s="129" t="n">
        <v>0</v>
      </c>
      <c r="J45" s="129" t="n">
        <v>0</v>
      </c>
      <c r="K45" s="88" t="n"/>
      <c r="L45" s="129" t="n">
        <v>0</v>
      </c>
      <c r="M45" s="129" t="n">
        <v>0</v>
      </c>
      <c r="N45" s="129" t="n">
        <v>0</v>
      </c>
      <c r="O45" s="129" t="n">
        <v>0</v>
      </c>
      <c r="P45" s="129" t="n">
        <v>0</v>
      </c>
      <c r="Q45" s="129" t="n">
        <v>0</v>
      </c>
      <c r="R45" s="129" t="n">
        <v>0</v>
      </c>
      <c r="S45" s="129" t="n"/>
      <c r="T45" s="129" t="n">
        <v>0</v>
      </c>
      <c r="U45" s="88" t="n"/>
      <c r="V45" s="129">
        <f>SUM(C45:T45)</f>
        <v/>
      </c>
    </row>
    <row r="46" ht="15" customHeight="1">
      <c r="A46" s="157" t="inlineStr">
        <is>
          <t>Pasivos corrientes totales</t>
        </is>
      </c>
      <c r="B46" s="122" t="n"/>
      <c r="C46" s="156">
        <f>+C44+C45</f>
        <v/>
      </c>
      <c r="D46" s="156">
        <f>+D44+D45</f>
        <v/>
      </c>
      <c r="E46" s="156">
        <f>+E44+E45</f>
        <v/>
      </c>
      <c r="F46" s="156">
        <f>+F44+F45</f>
        <v/>
      </c>
      <c r="G46" s="156">
        <f>+G44+G45</f>
        <v/>
      </c>
      <c r="H46" s="156">
        <f>+H44+H45</f>
        <v/>
      </c>
      <c r="I46" s="156">
        <f>+I44+I45</f>
        <v/>
      </c>
      <c r="J46" s="156">
        <f>+J44+J45</f>
        <v/>
      </c>
      <c r="K46" s="88" t="n"/>
      <c r="L46" s="172">
        <f>+L44+L45</f>
        <v/>
      </c>
      <c r="M46" s="172">
        <f>+M44+M45</f>
        <v/>
      </c>
      <c r="N46" s="172">
        <f>+N44+N45</f>
        <v/>
      </c>
      <c r="O46" s="172">
        <f>+O44+O45</f>
        <v/>
      </c>
      <c r="P46" s="172">
        <f>+P44+P45</f>
        <v/>
      </c>
      <c r="Q46" s="172">
        <f>+Q44+Q45</f>
        <v/>
      </c>
      <c r="R46" s="172">
        <f>+R44+R45</f>
        <v/>
      </c>
      <c r="S46" s="172" t="n"/>
      <c r="T46" s="172">
        <f>+T44+T45</f>
        <v/>
      </c>
      <c r="U46" s="88" t="n"/>
      <c r="V46" s="156">
        <f>+V44+V45</f>
        <v/>
      </c>
      <c r="W46" s="177" t="inlineStr">
        <is>
          <t>Consolidado CHF Inversiones</t>
        </is>
      </c>
      <c r="Z46" s="200" t="inlineStr">
        <is>
          <t>Consolidado Conate</t>
        </is>
      </c>
      <c r="AA46" s="201" t="inlineStr">
        <is>
          <t>CCFilms</t>
        </is>
      </c>
      <c r="AB46" s="201" t="inlineStr">
        <is>
          <t>Chilefilms</t>
        </is>
      </c>
      <c r="AC46" s="201" t="n"/>
      <c r="AD46" s="192" t="n"/>
      <c r="AE46" s="192" t="n"/>
      <c r="AF46" s="192" t="n"/>
      <c r="AG46" s="192" t="n"/>
    </row>
    <row r="47" ht="15" customHeight="1">
      <c r="A47" s="148" t="inlineStr">
        <is>
          <t>Pasivos no corrientes</t>
        </is>
      </c>
      <c r="B47" s="122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88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88" t="n"/>
      <c r="V47" s="126" t="n"/>
      <c r="W47" s="186">
        <f>+'[4]Estado$'!$AD$47</f>
        <v/>
      </c>
      <c r="X47" s="186" t="inlineStr">
        <is>
          <t>Fashion Group</t>
        </is>
      </c>
      <c r="Y47" s="186">
        <f>+'[4]Estado$'!$AI$47</f>
        <v/>
      </c>
      <c r="Z47" s="222" t="inlineStr">
        <is>
          <t>Amazon</t>
        </is>
      </c>
      <c r="AA47" s="222" t="inlineStr">
        <is>
          <t>prestamo</t>
        </is>
      </c>
      <c r="AB47" s="186" t="inlineStr">
        <is>
          <t>Ptmo</t>
        </is>
      </c>
      <c r="AC47" s="222" t="n"/>
      <c r="AD47" s="186" t="n"/>
      <c r="AE47" s="186" t="n"/>
      <c r="AF47" s="186" t="n"/>
      <c r="AG47" s="231" t="inlineStr">
        <is>
          <t>TOTAL</t>
        </is>
      </c>
    </row>
    <row r="48" customFormat="1" s="116">
      <c r="A48" s="149" t="inlineStr">
        <is>
          <t>Otros pasivos financieros no corrientes</t>
        </is>
      </c>
      <c r="B48" s="158" t="n"/>
      <c r="C48" s="150" t="n">
        <v>783863096</v>
      </c>
      <c r="D48" s="150" t="n">
        <v>0</v>
      </c>
      <c r="E48" s="159" t="n">
        <v>1944016932</v>
      </c>
      <c r="F48" s="150" t="n">
        <v>242721216</v>
      </c>
      <c r="G48" s="150" t="n">
        <v>0</v>
      </c>
      <c r="H48" s="150" t="n">
        <v>0</v>
      </c>
      <c r="I48" s="150" t="n">
        <v>0</v>
      </c>
      <c r="J48" s="159" t="n">
        <v>4652450566</v>
      </c>
      <c r="K48" s="170" t="n"/>
      <c r="L48" s="150" t="n">
        <v>0</v>
      </c>
      <c r="M48" s="150" t="n">
        <v>0</v>
      </c>
      <c r="N48" s="159">
        <f>-'[17]cta cte  (Ajustes) (Final)'!$K$55-'[17]cta cte  (Ajustes) (Final)'!$O$55-'[17]cta cte  (Ajustes) (Final)'!$S$55</f>
        <v/>
      </c>
      <c r="O48" s="150" t="n">
        <v>0</v>
      </c>
      <c r="P48" s="150" t="n">
        <v>0</v>
      </c>
      <c r="Q48" s="150" t="n">
        <v>0</v>
      </c>
      <c r="R48" s="150" t="n">
        <v>0</v>
      </c>
      <c r="S48" s="159">
        <f>-'[17]cta cte  (Ajustes) (Final)'!$AR$55</f>
        <v/>
      </c>
      <c r="T48" s="150" t="n">
        <v>0</v>
      </c>
      <c r="U48" s="170" t="n"/>
      <c r="V48" s="150">
        <f>SUM(C48:T48)</f>
        <v/>
      </c>
      <c r="W48" s="193">
        <f>+'[17]Cta Cte  (Acumuladas Consol)'!$BJ$54</f>
        <v/>
      </c>
      <c r="X48" s="193">
        <f>+'[17]cta cte  (Final) (Quedan)'!$AT$54</f>
        <v/>
      </c>
      <c r="Y48" s="193">
        <f>+'[17]cta cte  (Final) (Quedan)'!$AR$54</f>
        <v/>
      </c>
      <c r="Z48" s="193">
        <f>+'[17]cta cte  (Final) (Quedan)'!$S$56</f>
        <v/>
      </c>
      <c r="AA48" s="193">
        <f>+F48</f>
        <v/>
      </c>
      <c r="AB48" s="193">
        <f>+C48</f>
        <v/>
      </c>
      <c r="AC48" s="193" t="n"/>
      <c r="AD48" s="223" t="n"/>
      <c r="AE48" s="224" t="n"/>
      <c r="AF48" s="224" t="n">
        <v>0</v>
      </c>
      <c r="AG48" s="223">
        <f>SUM(W48:AF48)</f>
        <v/>
      </c>
      <c r="AH48" s="223">
        <f>+V48-AG48</f>
        <v/>
      </c>
      <c r="AI48" s="223" t="n"/>
      <c r="AK48" s="223" t="n"/>
    </row>
    <row r="49">
      <c r="A49" s="128" t="inlineStr">
        <is>
          <t>Pasivos no corrientes</t>
        </is>
      </c>
      <c r="B49" s="122" t="n"/>
      <c r="C49" s="129" t="n">
        <v>0</v>
      </c>
      <c r="D49" s="129" t="n">
        <v>0</v>
      </c>
      <c r="E49" s="129" t="n">
        <v>680407921</v>
      </c>
      <c r="F49" s="129" t="n">
        <v>0</v>
      </c>
      <c r="G49" s="129" t="n">
        <v>0</v>
      </c>
      <c r="H49" s="129" t="n">
        <v>0</v>
      </c>
      <c r="I49" s="129" t="n">
        <v>0</v>
      </c>
      <c r="J49" s="129" t="n">
        <v>227887275</v>
      </c>
      <c r="K49" s="88" t="n"/>
      <c r="L49" s="132" t="n"/>
      <c r="M49" s="129" t="n"/>
      <c r="N49" s="129" t="n"/>
      <c r="O49" s="129" t="n"/>
      <c r="P49" s="129" t="n">
        <v>0</v>
      </c>
      <c r="Q49" s="129" t="n">
        <v>0</v>
      </c>
      <c r="R49" s="129" t="n">
        <v>0</v>
      </c>
      <c r="S49" s="129" t="n"/>
      <c r="T49" s="129" t="n">
        <v>0</v>
      </c>
      <c r="U49" s="88" t="n"/>
      <c r="V49" s="129">
        <f>SUM(C49:T49)</f>
        <v/>
      </c>
      <c r="W49" s="192" t="inlineStr">
        <is>
          <t>CVN</t>
        </is>
      </c>
      <c r="X49" s="194" t="n"/>
      <c r="Y49" s="194">
        <f>+'[16]Estado$'!$AJ$51</f>
        <v/>
      </c>
      <c r="Z49" s="120" t="inlineStr">
        <is>
          <t>TLP</t>
        </is>
      </c>
      <c r="AA49" s="194" t="inlineStr">
        <is>
          <t>Andinas</t>
        </is>
      </c>
      <c r="AB49" s="194" t="inlineStr">
        <is>
          <t>Cine y Color (Mx)</t>
        </is>
      </c>
      <c r="AC49" s="194">
        <f>+'[4]Estado$'!$AE$52</f>
        <v/>
      </c>
      <c r="AD49" s="194">
        <f>+'[4]Estado$'!$AF$52</f>
        <v/>
      </c>
      <c r="AE49" s="194">
        <f>+'[4]Estado$'!$AG$52</f>
        <v/>
      </c>
      <c r="AF49" s="119">
        <f>+'[4]Estado$'!$AH$52</f>
        <v/>
      </c>
      <c r="AG49" s="119">
        <f>+'[4]Estado$'!$AI$52</f>
        <v/>
      </c>
      <c r="AH49" s="192" t="inlineStr">
        <is>
          <t>IACSA</t>
        </is>
      </c>
      <c r="AI49" s="231" t="inlineStr">
        <is>
          <t>TOTAL</t>
        </is>
      </c>
    </row>
    <row r="50">
      <c r="A50" s="151" t="inlineStr">
        <is>
          <t>Cuentas por Pagar a Entidades Relacionadas, no corriente</t>
        </is>
      </c>
      <c r="B50" s="122" t="n"/>
      <c r="C50" s="142" t="n">
        <v>6473472320</v>
      </c>
      <c r="D50" s="142" t="n">
        <v>91754</v>
      </c>
      <c r="E50" s="142" t="n">
        <v>931</v>
      </c>
      <c r="F50" s="142" t="n">
        <v>78312210</v>
      </c>
      <c r="G50" s="142" t="n">
        <v>0</v>
      </c>
      <c r="H50" s="142" t="n">
        <v>100000</v>
      </c>
      <c r="I50" s="142" t="n">
        <v>30646</v>
      </c>
      <c r="J50" s="142" t="n">
        <v>6806005656</v>
      </c>
      <c r="K50" s="88" t="n"/>
      <c r="L50" s="142">
        <f>-'[17]cta cte  (Ajustes) (Final)'!$C$43+'[17]cta cte  (Final) (Quedan)'!$BR$43</f>
        <v/>
      </c>
      <c r="M50" s="142">
        <f>-'[17]cta cte  (Ajustes) (Final)'!$E$43</f>
        <v/>
      </c>
      <c r="N50" s="142" t="n">
        <v>0</v>
      </c>
      <c r="O50" s="142">
        <f>-'[17]cta cte  (Ajustes) (Final)'!$AB$43</f>
        <v/>
      </c>
      <c r="P50" s="142">
        <f>-'[17]cta cte  (Ajustes) (Final)'!$AD$43</f>
        <v/>
      </c>
      <c r="Q50" s="142">
        <f>-'[17]cta cte  (Ajustes) (Final)'!$AJ$43</f>
        <v/>
      </c>
      <c r="R50" s="142">
        <f>-'[17]cta cte  (Ajustes) (Final)'!$AL$43</f>
        <v/>
      </c>
      <c r="S50" s="142">
        <f>-'[17]cta cte  (Ajustes) (Final)'!$AN$43-'[17]cta cte  (Ajustes) (Final)'!$AX$43-'[17]cta cte  (Ajustes) (Final)'!$BB$43-'[17]cta cte  (Ajustes) (Final)'!$BH$43</f>
        <v/>
      </c>
      <c r="T50" s="142" t="n">
        <v>0</v>
      </c>
      <c r="U50" s="88" t="n"/>
      <c r="V50" s="142">
        <f>SUM(C50:T50)</f>
        <v/>
      </c>
      <c r="W50" s="335">
        <f>+[6]Ctas!$D$458</f>
        <v/>
      </c>
      <c r="X50" s="335" t="n"/>
      <c r="Y50" s="225">
        <f>+'[16]Estado$'!$AJ$50</f>
        <v/>
      </c>
      <c r="Z50" s="225">
        <f>+'[16]Estado$'!$AN$50</f>
        <v/>
      </c>
      <c r="AA50" s="225">
        <f>+'[16]Estado$'!$AQ$50</f>
        <v/>
      </c>
      <c r="AB50" s="225">
        <f>+'[16]Estado$'!$AP$50</f>
        <v/>
      </c>
      <c r="AC50" s="225">
        <f>+'[16]Estado$'!$AE$50</f>
        <v/>
      </c>
      <c r="AD50" s="225">
        <f>+'[16]Estado$'!$AF$50</f>
        <v/>
      </c>
      <c r="AE50" s="225">
        <f>+'[16]Estado$'!$AG$50</f>
        <v/>
      </c>
      <c r="AF50" s="225">
        <f>+'[16]Estado$'!$AH$50</f>
        <v/>
      </c>
      <c r="AG50" s="225">
        <f>+'[16]Estado$'!$AI$50</f>
        <v/>
      </c>
      <c r="AH50" s="119">
        <f>+'[16]Estado$'!$AK$50</f>
        <v/>
      </c>
      <c r="AI50" s="119">
        <f>SUM(W50:AH50)</f>
        <v/>
      </c>
      <c r="AJ50" s="336">
        <f>+V50-AI50</f>
        <v/>
      </c>
    </row>
    <row r="51">
      <c r="A51" s="128" t="inlineStr">
        <is>
          <t>Otras provisiones a largo plazo</t>
        </is>
      </c>
      <c r="B51" s="122" t="n"/>
      <c r="C51" s="129" t="n">
        <v>0</v>
      </c>
      <c r="D51" s="129" t="n">
        <v>0</v>
      </c>
      <c r="E51" s="129" t="n">
        <v>128379000</v>
      </c>
      <c r="F51" s="129" t="n">
        <v>0</v>
      </c>
      <c r="G51" s="129" t="n">
        <v>0</v>
      </c>
      <c r="H51" s="129" t="n">
        <v>0</v>
      </c>
      <c r="I51" s="129" t="n">
        <v>0</v>
      </c>
      <c r="J51" s="129" t="n">
        <v>0</v>
      </c>
      <c r="K51" s="88" t="n"/>
      <c r="L51" s="129" t="n">
        <v>0</v>
      </c>
      <c r="M51" s="129" t="n">
        <v>0</v>
      </c>
      <c r="N51" s="129" t="n">
        <v>0</v>
      </c>
      <c r="O51" s="129" t="n">
        <v>0</v>
      </c>
      <c r="P51" s="129" t="n">
        <v>0</v>
      </c>
      <c r="Q51" s="129" t="n">
        <v>0</v>
      </c>
      <c r="R51" s="129" t="n">
        <v>0</v>
      </c>
      <c r="S51" s="129" t="n"/>
      <c r="T51" s="129" t="n">
        <v>0</v>
      </c>
      <c r="U51" s="88" t="n"/>
      <c r="V51" s="129">
        <f>SUM(C51:T51)</f>
        <v/>
      </c>
    </row>
    <row r="52">
      <c r="A52" s="128" t="inlineStr">
        <is>
          <t>Pasivo por impuestos diferidos</t>
        </is>
      </c>
      <c r="B52" s="122" t="n"/>
      <c r="C52" s="129" t="n">
        <v>949215459</v>
      </c>
      <c r="D52" s="129" t="n">
        <v>0</v>
      </c>
      <c r="E52" s="129" t="n">
        <v>0</v>
      </c>
      <c r="F52" s="129" t="n">
        <v>0</v>
      </c>
      <c r="G52" s="129" t="n">
        <v>0</v>
      </c>
      <c r="H52" s="129" t="n">
        <v>0</v>
      </c>
      <c r="I52" s="129" t="n">
        <v>0</v>
      </c>
      <c r="J52" s="129" t="n">
        <v>1446182627</v>
      </c>
      <c r="K52" s="88" t="n"/>
      <c r="L52" s="129" t="n">
        <v>0</v>
      </c>
      <c r="M52" s="129" t="n">
        <v>0</v>
      </c>
      <c r="N52" s="129" t="n">
        <v>0</v>
      </c>
      <c r="O52" s="129" t="n">
        <v>0</v>
      </c>
      <c r="P52" s="129" t="n">
        <v>0</v>
      </c>
      <c r="Q52" s="129" t="n">
        <v>0</v>
      </c>
      <c r="R52" s="129" t="n">
        <v>0</v>
      </c>
      <c r="S52" s="129" t="n"/>
      <c r="T52" s="129" t="n">
        <v>0</v>
      </c>
      <c r="U52" s="88" t="n"/>
      <c r="V52" s="129">
        <f>SUM(C52:T52)</f>
        <v/>
      </c>
    </row>
    <row r="53" customFormat="1" s="117">
      <c r="A53" s="153" t="inlineStr">
        <is>
          <t>Provisiones no corrientes por beneficios a los empleados</t>
        </is>
      </c>
      <c r="B53" s="160" t="n"/>
      <c r="C53" s="154" t="n">
        <v>0</v>
      </c>
      <c r="D53" s="154" t="n">
        <v>0</v>
      </c>
      <c r="E53" s="154" t="n">
        <v>0</v>
      </c>
      <c r="F53" s="154" t="n">
        <v>0</v>
      </c>
      <c r="G53" s="154" t="n">
        <v>0</v>
      </c>
      <c r="H53" s="154" t="n">
        <v>0</v>
      </c>
      <c r="I53" s="154" t="n">
        <v>0</v>
      </c>
      <c r="J53" s="154" t="n">
        <v>0</v>
      </c>
      <c r="K53" s="171" t="n"/>
      <c r="L53" s="154" t="n"/>
      <c r="M53" s="154" t="n">
        <v>0</v>
      </c>
      <c r="N53" s="154" t="n">
        <v>0</v>
      </c>
      <c r="O53" s="154" t="n">
        <v>0</v>
      </c>
      <c r="P53" s="154" t="n">
        <v>0</v>
      </c>
      <c r="Q53" s="154" t="n">
        <v>0</v>
      </c>
      <c r="R53" s="154" t="n">
        <v>0</v>
      </c>
      <c r="S53" s="154" t="n"/>
      <c r="T53" s="154" t="n">
        <v>0</v>
      </c>
      <c r="U53" s="171" t="n"/>
      <c r="V53" s="154">
        <f>SUM(C53:T53)</f>
        <v/>
      </c>
    </row>
    <row r="54">
      <c r="A54" s="128" t="inlineStr">
        <is>
          <t>Otros pasivos no financieros no corrientes</t>
        </is>
      </c>
      <c r="B54" s="122" t="n"/>
      <c r="C54" s="129" t="n">
        <v>180959611</v>
      </c>
      <c r="D54" s="129" t="n">
        <v>0</v>
      </c>
      <c r="E54" s="129" t="n">
        <v>0</v>
      </c>
      <c r="F54" s="129" t="n">
        <v>0</v>
      </c>
      <c r="G54" s="129" t="n">
        <v>0</v>
      </c>
      <c r="H54" s="129" t="n">
        <v>0</v>
      </c>
      <c r="I54" s="129" t="n">
        <v>0</v>
      </c>
      <c r="J54" s="129" t="n">
        <v>93967634</v>
      </c>
      <c r="K54" s="88" t="n"/>
      <c r="L54" s="132">
        <f>-L49</f>
        <v/>
      </c>
      <c r="M54" s="129" t="n">
        <v>0</v>
      </c>
      <c r="N54" s="129" t="n"/>
      <c r="O54" s="129">
        <f>-O49</f>
        <v/>
      </c>
      <c r="P54" s="129" t="n">
        <v>0</v>
      </c>
      <c r="Q54" s="129" t="n">
        <v>0</v>
      </c>
      <c r="R54" s="129" t="n">
        <v>0</v>
      </c>
      <c r="T54" s="129" t="n">
        <v>0</v>
      </c>
      <c r="U54" s="88" t="n"/>
      <c r="V54" s="129">
        <f>SUM(C54:T54)</f>
        <v/>
      </c>
    </row>
    <row r="55">
      <c r="A55" s="157" t="inlineStr">
        <is>
          <t>Total de pasivos no corrientes</t>
        </is>
      </c>
      <c r="B55" s="122" t="n"/>
      <c r="C55" s="156">
        <f>SUM(C48:C54)</f>
        <v/>
      </c>
      <c r="D55" s="156">
        <f>SUM(D48:D54)</f>
        <v/>
      </c>
      <c r="E55" s="156">
        <f>SUM(E48:E54)</f>
        <v/>
      </c>
      <c r="F55" s="156">
        <f>SUM(F48:F54)</f>
        <v/>
      </c>
      <c r="G55" s="156">
        <f>SUM(G48:G54)</f>
        <v/>
      </c>
      <c r="H55" s="156">
        <f>SUM(H48:H54)</f>
        <v/>
      </c>
      <c r="I55" s="156">
        <f>SUM(I48:I54)</f>
        <v/>
      </c>
      <c r="J55" s="156">
        <f>SUM(J48:J54)</f>
        <v/>
      </c>
      <c r="K55" s="88" t="n"/>
      <c r="L55" s="172">
        <f>SUM(L48:L54)</f>
        <v/>
      </c>
      <c r="M55" s="172">
        <f>SUM(M48:M54)</f>
        <v/>
      </c>
      <c r="N55" s="172">
        <f>SUM(N48:N54)</f>
        <v/>
      </c>
      <c r="O55" s="172">
        <f>SUM(O48:O54)</f>
        <v/>
      </c>
      <c r="P55" s="172">
        <f>SUM(P48:P54)</f>
        <v/>
      </c>
      <c r="Q55" s="172">
        <f>SUM(Q48:Q54)</f>
        <v/>
      </c>
      <c r="R55" s="172">
        <f>SUM(R48:R54)</f>
        <v/>
      </c>
      <c r="S55" s="172" t="n"/>
      <c r="T55" s="172">
        <f>SUM(T48:T54)</f>
        <v/>
      </c>
      <c r="U55" s="88" t="n"/>
      <c r="V55" s="156">
        <f>SUM(V48:V54)</f>
        <v/>
      </c>
    </row>
    <row r="56">
      <c r="A56" s="161" t="inlineStr">
        <is>
          <t>Total pasivos</t>
        </is>
      </c>
      <c r="B56" s="122" t="n"/>
      <c r="C56" s="162">
        <f>+C46+C55</f>
        <v/>
      </c>
      <c r="D56" s="162">
        <f>+D46+D55</f>
        <v/>
      </c>
      <c r="E56" s="162">
        <f>+E46+E55</f>
        <v/>
      </c>
      <c r="F56" s="162">
        <f>+F46+F55</f>
        <v/>
      </c>
      <c r="G56" s="162">
        <f>+G46+G55</f>
        <v/>
      </c>
      <c r="H56" s="162">
        <f>+H46+H55</f>
        <v/>
      </c>
      <c r="I56" s="162">
        <f>+I46+I55</f>
        <v/>
      </c>
      <c r="J56" s="162">
        <f>+J46+J55</f>
        <v/>
      </c>
      <c r="K56" s="88" t="n"/>
      <c r="L56" s="162">
        <f>+L46+L55</f>
        <v/>
      </c>
      <c r="M56" s="162">
        <f>+M46+M55</f>
        <v/>
      </c>
      <c r="N56" s="162">
        <f>+N46+N55</f>
        <v/>
      </c>
      <c r="O56" s="162">
        <f>+O46+O55</f>
        <v/>
      </c>
      <c r="P56" s="162">
        <f>+P46+P55</f>
        <v/>
      </c>
      <c r="Q56" s="162">
        <f>+Q46+Q55</f>
        <v/>
      </c>
      <c r="R56" s="162">
        <f>+R46+R55</f>
        <v/>
      </c>
      <c r="S56" s="162" t="n"/>
      <c r="T56" s="162">
        <f>+T46+T55</f>
        <v/>
      </c>
      <c r="U56" s="88" t="n"/>
      <c r="V56" s="162">
        <f>+V46+V55</f>
        <v/>
      </c>
    </row>
    <row r="57">
      <c r="A57" s="127" t="inlineStr">
        <is>
          <t>Patrimonio</t>
        </is>
      </c>
      <c r="B57" s="122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88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88" t="n"/>
      <c r="V57" s="126" t="n"/>
    </row>
    <row r="58">
      <c r="A58" s="140" t="inlineStr">
        <is>
          <t>Capital emitido</t>
        </is>
      </c>
      <c r="B58" s="122" t="n"/>
      <c r="C58" s="129" t="n">
        <v>28743629969</v>
      </c>
      <c r="D58" s="129" t="n">
        <v>89385225</v>
      </c>
      <c r="E58" s="129" t="n">
        <v>1352480884</v>
      </c>
      <c r="F58" s="129" t="n">
        <v>194722012</v>
      </c>
      <c r="G58" s="129" t="n">
        <v>9406623059</v>
      </c>
      <c r="H58" s="129" t="n">
        <v>1313272</v>
      </c>
      <c r="I58" s="129" t="n">
        <v>1087339</v>
      </c>
      <c r="J58" s="129" t="n">
        <v>32296318921</v>
      </c>
      <c r="K58" s="88" t="n"/>
      <c r="L58" s="129" t="n">
        <v>0</v>
      </c>
      <c r="M58" s="129">
        <f>-D58</f>
        <v/>
      </c>
      <c r="N58" s="129">
        <f>-E58</f>
        <v/>
      </c>
      <c r="O58" s="129">
        <f>-F58</f>
        <v/>
      </c>
      <c r="P58" s="129">
        <f>-G58</f>
        <v/>
      </c>
      <c r="Q58" s="129">
        <f>-H58</f>
        <v/>
      </c>
      <c r="R58" s="129">
        <f>-I58</f>
        <v/>
      </c>
      <c r="S58" s="129">
        <f>-J58</f>
        <v/>
      </c>
      <c r="T58" s="129">
        <f>-#REF!</f>
        <v/>
      </c>
      <c r="U58" s="88" t="n"/>
      <c r="V58" s="129">
        <f>SUM(B58:S58)</f>
        <v/>
      </c>
    </row>
    <row r="59">
      <c r="A59" s="140" t="inlineStr">
        <is>
          <t>Ganancias (pérdidas) acumuladas</t>
        </is>
      </c>
      <c r="B59" s="122" t="n"/>
      <c r="C59" s="129" t="n">
        <v>51023010062</v>
      </c>
      <c r="D59" s="129" t="n">
        <v>98349992</v>
      </c>
      <c r="E59" s="129" t="n">
        <v>4653484162</v>
      </c>
      <c r="F59" s="129" t="n">
        <v>1623081431</v>
      </c>
      <c r="G59" s="129" t="n">
        <v>1508925219</v>
      </c>
      <c r="H59" s="129" t="n">
        <v>91438527</v>
      </c>
      <c r="I59" s="129" t="n">
        <v>160686140</v>
      </c>
      <c r="J59" s="129" t="n">
        <v>7719195458</v>
      </c>
      <c r="K59" s="88" t="n"/>
      <c r="L59" s="129" t="n">
        <v>0</v>
      </c>
      <c r="M59" s="129">
        <f>-D59</f>
        <v/>
      </c>
      <c r="N59" s="129">
        <f>-E59</f>
        <v/>
      </c>
      <c r="O59" s="129">
        <f>-F59</f>
        <v/>
      </c>
      <c r="P59" s="129">
        <f>-G59</f>
        <v/>
      </c>
      <c r="Q59" s="129">
        <f>-H59</f>
        <v/>
      </c>
      <c r="R59" s="129">
        <f>-I59</f>
        <v/>
      </c>
      <c r="S59" s="129">
        <f>-J59</f>
        <v/>
      </c>
      <c r="T59" s="129">
        <f>-#REF!</f>
        <v/>
      </c>
      <c r="U59" s="88" t="n"/>
      <c r="V59" s="129">
        <f>SUM(B59:S59)</f>
        <v/>
      </c>
    </row>
    <row r="60">
      <c r="A60" s="140" t="inlineStr">
        <is>
          <t>Primas de emisión</t>
        </is>
      </c>
      <c r="B60" s="122" t="n"/>
      <c r="C60" s="129" t="n">
        <v>0</v>
      </c>
      <c r="D60" s="129" t="n">
        <v>0</v>
      </c>
      <c r="E60" s="129" t="n">
        <v>0</v>
      </c>
      <c r="F60" s="129" t="n">
        <v>0</v>
      </c>
      <c r="G60" s="129" t="n">
        <v>0</v>
      </c>
      <c r="H60" s="129" t="n">
        <v>0</v>
      </c>
      <c r="I60" s="129" t="n">
        <v>0</v>
      </c>
      <c r="J60" s="129" t="n">
        <v>0</v>
      </c>
      <c r="K60" s="88" t="n"/>
      <c r="L60" s="129" t="n">
        <v>0</v>
      </c>
      <c r="M60" s="129">
        <f>-D60</f>
        <v/>
      </c>
      <c r="N60" s="129">
        <f>-E60</f>
        <v/>
      </c>
      <c r="O60" s="129">
        <f>-F60</f>
        <v/>
      </c>
      <c r="P60" s="129">
        <f>-G60</f>
        <v/>
      </c>
      <c r="Q60" s="129">
        <f>-H60</f>
        <v/>
      </c>
      <c r="R60" s="129">
        <f>-I60</f>
        <v/>
      </c>
      <c r="S60" s="129">
        <f>-J60</f>
        <v/>
      </c>
      <c r="T60" s="129">
        <f>-#REF!</f>
        <v/>
      </c>
      <c r="U60" s="88" t="n"/>
      <c r="V60" s="129">
        <f>SUM(B60:S60)</f>
        <v/>
      </c>
    </row>
    <row r="61">
      <c r="A61" s="140" t="inlineStr">
        <is>
          <t>Acciones propias en cartera</t>
        </is>
      </c>
      <c r="B61" s="122" t="n"/>
      <c r="C61" s="129" t="n">
        <v>0</v>
      </c>
      <c r="D61" s="129" t="n">
        <v>0</v>
      </c>
      <c r="E61" s="129" t="n">
        <v>0</v>
      </c>
      <c r="F61" s="129" t="n">
        <v>0</v>
      </c>
      <c r="G61" s="129" t="n">
        <v>0</v>
      </c>
      <c r="H61" s="129" t="n">
        <v>0</v>
      </c>
      <c r="I61" s="129" t="n">
        <v>0</v>
      </c>
      <c r="J61" s="129" t="n">
        <v>0</v>
      </c>
      <c r="K61" s="88" t="n"/>
      <c r="L61" s="129" t="n">
        <v>0</v>
      </c>
      <c r="M61" s="129">
        <f>-D61</f>
        <v/>
      </c>
      <c r="N61" s="129">
        <f>-E61</f>
        <v/>
      </c>
      <c r="O61" s="129">
        <f>-F61</f>
        <v/>
      </c>
      <c r="P61" s="129">
        <f>-G61</f>
        <v/>
      </c>
      <c r="Q61" s="129">
        <f>-H61</f>
        <v/>
      </c>
      <c r="R61" s="129">
        <f>-I61</f>
        <v/>
      </c>
      <c r="S61" s="129">
        <f>-J61</f>
        <v/>
      </c>
      <c r="T61" s="129">
        <f>-#REF!</f>
        <v/>
      </c>
      <c r="U61" s="88" t="n"/>
      <c r="V61" s="129">
        <f>SUM(B61:S61)</f>
        <v/>
      </c>
    </row>
    <row r="62">
      <c r="A62" s="140" t="inlineStr">
        <is>
          <t>Otras participaciones en el patrimonio</t>
        </is>
      </c>
      <c r="B62" s="122" t="n"/>
      <c r="C62" s="129" t="n">
        <v>0</v>
      </c>
      <c r="D62" s="129" t="n">
        <v>0</v>
      </c>
      <c r="E62" s="129" t="n">
        <v>0</v>
      </c>
      <c r="F62" s="129" t="n">
        <v>0</v>
      </c>
      <c r="G62" s="129" t="n">
        <v>0</v>
      </c>
      <c r="H62" s="129" t="n">
        <v>0</v>
      </c>
      <c r="I62" s="129" t="n">
        <v>0</v>
      </c>
      <c r="J62" s="129" t="n">
        <v>0</v>
      </c>
      <c r="K62" s="88" t="n"/>
      <c r="L62" s="129" t="n">
        <v>0</v>
      </c>
      <c r="M62" s="129">
        <f>-D62</f>
        <v/>
      </c>
      <c r="N62" s="129">
        <f>-E62</f>
        <v/>
      </c>
      <c r="O62" s="129">
        <f>-F62</f>
        <v/>
      </c>
      <c r="P62" s="129">
        <f>-G62</f>
        <v/>
      </c>
      <c r="Q62" s="129">
        <f>-H62</f>
        <v/>
      </c>
      <c r="R62" s="129">
        <f>-I62</f>
        <v/>
      </c>
      <c r="S62" s="129">
        <f>-J62</f>
        <v/>
      </c>
      <c r="T62" s="129">
        <f>-#REF!</f>
        <v/>
      </c>
      <c r="U62" s="88" t="n"/>
      <c r="V62" s="129">
        <f>SUM(B62:S62)</f>
        <v/>
      </c>
    </row>
    <row r="63">
      <c r="A63" s="140" t="inlineStr">
        <is>
          <t>Otras reservas</t>
        </is>
      </c>
      <c r="B63" s="122" t="n"/>
      <c r="C63" s="129" t="n">
        <v>2411552424</v>
      </c>
      <c r="D63" s="129" t="n">
        <v>36574573</v>
      </c>
      <c r="E63" s="129" t="n">
        <v>1217740780</v>
      </c>
      <c r="F63" s="129" t="n">
        <v>-112412498</v>
      </c>
      <c r="G63" s="129" t="n">
        <v>988753254</v>
      </c>
      <c r="H63" s="129" t="n">
        <v>-27011</v>
      </c>
      <c r="I63" s="129" t="n">
        <v>-22364</v>
      </c>
      <c r="J63" s="129" t="n">
        <v>2488253058</v>
      </c>
      <c r="K63" s="88" t="n"/>
      <c r="L63" s="129" t="n">
        <v>0</v>
      </c>
      <c r="M63" s="129">
        <f>-D63</f>
        <v/>
      </c>
      <c r="N63" s="129">
        <f>-E63</f>
        <v/>
      </c>
      <c r="O63" s="129">
        <f>-F63</f>
        <v/>
      </c>
      <c r="P63" s="129">
        <f>-G63</f>
        <v/>
      </c>
      <c r="Q63" s="129">
        <f>-H63</f>
        <v/>
      </c>
      <c r="R63" s="129">
        <f>-I63</f>
        <v/>
      </c>
      <c r="S63" s="129">
        <f>-J63</f>
        <v/>
      </c>
      <c r="T63" s="129">
        <f>-#REF!</f>
        <v/>
      </c>
      <c r="U63" s="88" t="n"/>
      <c r="V63" s="129">
        <f>SUM(B63:S63)</f>
        <v/>
      </c>
      <c r="X63" s="120" t="inlineStr">
        <is>
          <t>Do Brasil</t>
        </is>
      </c>
    </row>
    <row r="64" ht="24" customHeight="1">
      <c r="A64" s="148" t="inlineStr">
        <is>
          <t>Patrimonio atribuible a los propietarios de la controladora</t>
        </is>
      </c>
      <c r="B64" s="122" t="n"/>
      <c r="C64" s="156">
        <f>SUM(C58:C63)</f>
        <v/>
      </c>
      <c r="D64" s="156">
        <f>SUM(D58:D63)</f>
        <v/>
      </c>
      <c r="E64" s="156">
        <f>SUM(E58:E63)</f>
        <v/>
      </c>
      <c r="F64" s="156">
        <f>SUM(F58:F63)</f>
        <v/>
      </c>
      <c r="G64" s="156">
        <f>SUM(G58:G63)</f>
        <v/>
      </c>
      <c r="H64" s="156">
        <f>SUM(H58:H63)</f>
        <v/>
      </c>
      <c r="I64" s="156">
        <f>SUM(I58:I63)</f>
        <v/>
      </c>
      <c r="J64" s="156">
        <f>SUM(J58:J63)</f>
        <v/>
      </c>
      <c r="K64" s="88" t="n"/>
      <c r="L64" s="172">
        <f>SUM(L58:L63)</f>
        <v/>
      </c>
      <c r="M64" s="172">
        <f>SUM(M58:M63)</f>
        <v/>
      </c>
      <c r="N64" s="172">
        <f>SUM(N58:N63)</f>
        <v/>
      </c>
      <c r="O64" s="172">
        <f>SUM(O58:O63)</f>
        <v/>
      </c>
      <c r="P64" s="172">
        <f>SUM(P58:P63)</f>
        <v/>
      </c>
      <c r="Q64" s="172">
        <f>SUM(Q58:Q63)</f>
        <v/>
      </c>
      <c r="R64" s="172">
        <f>SUM(R58:R63)</f>
        <v/>
      </c>
      <c r="S64" s="172">
        <f>SUM(S58:S63)</f>
        <v/>
      </c>
      <c r="T64" s="172">
        <f>SUM(T58:T63)</f>
        <v/>
      </c>
      <c r="U64" s="88" t="n"/>
      <c r="V64" s="156">
        <f>SUM(V58:V63)</f>
        <v/>
      </c>
      <c r="W64" s="196">
        <f>+F87</f>
        <v/>
      </c>
      <c r="X64" s="197">
        <f>+'[4]Estado$'!$AE$64</f>
        <v/>
      </c>
      <c r="Y64" s="197">
        <f>+'[4]Estado$'!$AG$64</f>
        <v/>
      </c>
      <c r="Z64" s="197" t="inlineStr">
        <is>
          <t>Ivision</t>
        </is>
      </c>
      <c r="AA64" s="197" t="inlineStr">
        <is>
          <t>Cindow</t>
        </is>
      </c>
      <c r="AB64" s="196" t="inlineStr">
        <is>
          <t xml:space="preserve">Curt </t>
        </is>
      </c>
      <c r="AC64" s="197" t="inlineStr">
        <is>
          <t>TOTAL</t>
        </is>
      </c>
    </row>
    <row r="65">
      <c r="A65" s="140" t="inlineStr">
        <is>
          <t>Participaciones no controladoras</t>
        </is>
      </c>
      <c r="B65" s="122" t="n"/>
      <c r="C65" s="129" t="n"/>
      <c r="D65" s="129" t="n">
        <v>0</v>
      </c>
      <c r="E65" s="129" t="n">
        <v>4809958419</v>
      </c>
      <c r="F65" s="129" t="n">
        <v>0</v>
      </c>
      <c r="G65" s="129" t="n">
        <v>18467224.74000001</v>
      </c>
      <c r="H65" s="129" t="n">
        <v>0</v>
      </c>
      <c r="I65" s="129" t="n">
        <v>0</v>
      </c>
      <c r="J65" s="129" t="n">
        <v>4515701</v>
      </c>
      <c r="K65" s="88" t="n"/>
      <c r="L65" s="260" t="n"/>
      <c r="M65" s="261" t="n"/>
      <c r="N65" s="261">
        <f>-[15]Estado!$AH$65</f>
        <v/>
      </c>
      <c r="O65" s="261" t="n"/>
      <c r="P65" s="261">
        <f>+G87-G65</f>
        <v/>
      </c>
      <c r="Q65" s="261" t="n"/>
      <c r="R65" s="261" t="n"/>
      <c r="S65" s="261">
        <f>-'[16]Estado$'!$AG$65-'[16]Estado$'!$AJ$65-'[16]Estado$'!$AN$65</f>
        <v/>
      </c>
      <c r="T65" s="261">
        <f>+#REF!</f>
        <v/>
      </c>
      <c r="U65" s="88" t="n"/>
      <c r="V65" s="129">
        <f>SUM(B65:S65)</f>
        <v/>
      </c>
      <c r="W65" s="334">
        <f>+G87</f>
        <v/>
      </c>
      <c r="X65" s="268">
        <f>+'[13]Estado$'!$AD$65</f>
        <v/>
      </c>
      <c r="Y65" s="268">
        <f>+'[13]Estado$'!$AF$65</f>
        <v/>
      </c>
      <c r="Z65" s="337">
        <f>+[15]Estado!$AG$65</f>
        <v/>
      </c>
      <c r="AA65" s="337">
        <f>+[15]Estado!$AB$65</f>
        <v/>
      </c>
      <c r="AB65" s="119">
        <f>+'[16]Estado$'!$AI$65</f>
        <v/>
      </c>
      <c r="AC65" s="334">
        <f>SUM(W65:AB65)</f>
        <v/>
      </c>
      <c r="AD65" s="119">
        <f>+AC65-V65</f>
        <v/>
      </c>
    </row>
    <row r="66">
      <c r="A66" s="148" t="inlineStr">
        <is>
          <t>Patrimonio total</t>
        </is>
      </c>
      <c r="B66" s="122" t="n"/>
      <c r="C66" s="156">
        <f>+C64+C65</f>
        <v/>
      </c>
      <c r="D66" s="156">
        <f>+D64+D65</f>
        <v/>
      </c>
      <c r="E66" s="156">
        <f>+E64+E65</f>
        <v/>
      </c>
      <c r="F66" s="156">
        <f>+F64+F65</f>
        <v/>
      </c>
      <c r="G66" s="156">
        <f>+G64+G65</f>
        <v/>
      </c>
      <c r="H66" s="156">
        <f>+H64+H65</f>
        <v/>
      </c>
      <c r="I66" s="156">
        <f>+I64+I65</f>
        <v/>
      </c>
      <c r="J66" s="156">
        <f>+J64+J65</f>
        <v/>
      </c>
      <c r="K66" s="156">
        <f>+K64+K65</f>
        <v/>
      </c>
      <c r="L66" s="172">
        <f>+L64+L65</f>
        <v/>
      </c>
      <c r="M66" s="172">
        <f>+M64+M65</f>
        <v/>
      </c>
      <c r="N66" s="172">
        <f>+N64+N65</f>
        <v/>
      </c>
      <c r="O66" s="172">
        <f>+O64+O65</f>
        <v/>
      </c>
      <c r="P66" s="172">
        <f>+P64+P65</f>
        <v/>
      </c>
      <c r="Q66" s="172">
        <f>+Q64+Q65</f>
        <v/>
      </c>
      <c r="R66" s="172">
        <f>+R64+R65</f>
        <v/>
      </c>
      <c r="S66" s="172">
        <f>+S64+S65</f>
        <v/>
      </c>
      <c r="T66" s="172">
        <f>+T64+T65</f>
        <v/>
      </c>
      <c r="U66" s="88" t="n"/>
      <c r="V66" s="156">
        <f>+V64+V65</f>
        <v/>
      </c>
    </row>
    <row r="67">
      <c r="A67" s="240" t="inlineStr">
        <is>
          <t>Total de patrimonio y pasivos</t>
        </is>
      </c>
      <c r="B67" s="122" t="n"/>
      <c r="C67" s="162">
        <f>+C56+C66</f>
        <v/>
      </c>
      <c r="D67" s="162">
        <f>+D56+D66</f>
        <v/>
      </c>
      <c r="E67" s="162">
        <f>+E56+E66</f>
        <v/>
      </c>
      <c r="F67" s="162">
        <f>+F56+F66</f>
        <v/>
      </c>
      <c r="G67" s="162">
        <f>+G56+G66</f>
        <v/>
      </c>
      <c r="H67" s="162">
        <f>+H56+H66</f>
        <v/>
      </c>
      <c r="I67" s="162">
        <f>+I56+I66</f>
        <v/>
      </c>
      <c r="J67" s="162">
        <f>+J56+J66</f>
        <v/>
      </c>
      <c r="K67" s="88" t="n"/>
      <c r="L67" s="162">
        <f>+L56+L66</f>
        <v/>
      </c>
      <c r="M67" s="162">
        <f>+M56+M66</f>
        <v/>
      </c>
      <c r="N67" s="162">
        <f>+N56+N66</f>
        <v/>
      </c>
      <c r="O67" s="162">
        <f>+O56+O66</f>
        <v/>
      </c>
      <c r="P67" s="162">
        <f>+P56+P66</f>
        <v/>
      </c>
      <c r="Q67" s="162">
        <f>+Q56+Q66</f>
        <v/>
      </c>
      <c r="R67" s="162">
        <f>+R56+R66</f>
        <v/>
      </c>
      <c r="S67" s="162">
        <f>+S56+S66</f>
        <v/>
      </c>
      <c r="T67" s="162">
        <f>+T56+T66</f>
        <v/>
      </c>
      <c r="U67" s="88" t="n"/>
      <c r="V67" s="162">
        <f>+V56+V66</f>
        <v/>
      </c>
    </row>
    <row r="68">
      <c r="A68" s="241" t="n"/>
      <c r="B68" s="122" t="n"/>
      <c r="C68" s="242">
        <f>+C32-C67</f>
        <v/>
      </c>
      <c r="D68" s="242">
        <f>+D32-D67</f>
        <v/>
      </c>
      <c r="E68" s="242">
        <f>+E32-E67</f>
        <v/>
      </c>
      <c r="F68" s="242">
        <f>+F32-F67</f>
        <v/>
      </c>
      <c r="G68" s="242">
        <f>+G32-G67</f>
        <v/>
      </c>
      <c r="H68" s="242">
        <f>+H32-H67</f>
        <v/>
      </c>
      <c r="I68" s="242">
        <f>+I32-I67</f>
        <v/>
      </c>
      <c r="J68" s="242">
        <f>+J32-J67</f>
        <v/>
      </c>
      <c r="K68" s="88" t="n"/>
      <c r="L68" s="242">
        <f>+L32-L67</f>
        <v/>
      </c>
      <c r="M68" s="242">
        <f>+M32-M67</f>
        <v/>
      </c>
      <c r="N68" s="242">
        <f>+N32-N67</f>
        <v/>
      </c>
      <c r="O68" s="242">
        <f>+O32-O67</f>
        <v/>
      </c>
      <c r="P68" s="242">
        <f>+P32-P67</f>
        <v/>
      </c>
      <c r="Q68" s="242">
        <f>+Q32-Q67</f>
        <v/>
      </c>
      <c r="R68" s="242">
        <f>+R32-R67</f>
        <v/>
      </c>
      <c r="S68" s="242">
        <f>+S32-S67</f>
        <v/>
      </c>
      <c r="T68" s="242">
        <f>+T32-T67</f>
        <v/>
      </c>
      <c r="U68" s="88" t="n"/>
      <c r="V68" s="242">
        <f>+V32-V67</f>
        <v/>
      </c>
    </row>
    <row r="69">
      <c r="A69" s="243" t="inlineStr">
        <is>
          <t>Porcentaje de Participacion</t>
        </is>
      </c>
      <c r="B69" s="122" t="n"/>
      <c r="C69" s="242" t="n"/>
      <c r="D69" s="242" t="n"/>
      <c r="E69" s="242" t="n"/>
      <c r="F69" s="242" t="n"/>
      <c r="G69" s="242" t="n"/>
      <c r="H69" s="242" t="n"/>
      <c r="I69" s="242" t="n"/>
      <c r="J69" s="242" t="n"/>
      <c r="K69" s="88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88" t="n"/>
      <c r="V69" s="242" t="n"/>
    </row>
    <row r="70">
      <c r="A70" s="128" t="inlineStr">
        <is>
          <t>Porcentaje de Participacion propietarios de la controladora</t>
        </is>
      </c>
      <c r="B70" s="122" t="n"/>
      <c r="C70" s="244" t="n"/>
      <c r="D70" s="338" t="n">
        <v>0.9954499999999999</v>
      </c>
      <c r="E70" s="338" t="n">
        <v>1</v>
      </c>
      <c r="F70" s="338" t="n">
        <v>0.8687</v>
      </c>
      <c r="G70" s="338" t="n">
        <v>0.89997</v>
      </c>
      <c r="H70" s="338" t="n">
        <v>0.999</v>
      </c>
      <c r="I70" s="338" t="n">
        <v>0.99</v>
      </c>
      <c r="J70" s="338" t="n">
        <v>1</v>
      </c>
      <c r="K70" s="88" t="n"/>
      <c r="U70" s="88" t="n"/>
      <c r="V70" s="334" t="n"/>
    </row>
    <row r="71">
      <c r="A71" s="128" t="inlineStr">
        <is>
          <t>Porcentaje de Participacion no controladora</t>
        </is>
      </c>
      <c r="B71" s="122" t="n"/>
      <c r="C71" s="244" t="n"/>
      <c r="D71" s="338" t="n">
        <v>0.00455</v>
      </c>
      <c r="E71" s="338" t="n">
        <v>0</v>
      </c>
      <c r="F71" s="338" t="n">
        <v>0.1313</v>
      </c>
      <c r="G71" s="338" t="n">
        <v>0.10003</v>
      </c>
      <c r="H71" s="338" t="n">
        <v>0.001</v>
      </c>
      <c r="I71" s="338" t="n">
        <v>0.01</v>
      </c>
      <c r="J71" s="338" t="n">
        <v>0</v>
      </c>
      <c r="K71" s="88" t="n"/>
      <c r="U71" s="88" t="n"/>
      <c r="V71" s="334" t="n"/>
    </row>
    <row r="72">
      <c r="A72" s="157" t="inlineStr">
        <is>
          <t>TOTAL</t>
        </is>
      </c>
      <c r="B72" s="122" t="n"/>
      <c r="C72" s="245" t="n"/>
      <c r="D72" s="339">
        <f>+D70+D71</f>
        <v/>
      </c>
      <c r="E72" s="339">
        <f>+E70+E71</f>
        <v/>
      </c>
      <c r="F72" s="339">
        <f>+F70+F71</f>
        <v/>
      </c>
      <c r="G72" s="339">
        <f>+G70+G71</f>
        <v/>
      </c>
      <c r="H72" s="339">
        <f>+H70+H71</f>
        <v/>
      </c>
      <c r="I72" s="339">
        <f>+I70+I71</f>
        <v/>
      </c>
      <c r="J72" s="339">
        <f>+J70+J71</f>
        <v/>
      </c>
      <c r="K72" s="88" t="n"/>
      <c r="L72" s="262">
        <f>+L66</f>
        <v/>
      </c>
      <c r="M72" s="262">
        <f>+M66</f>
        <v/>
      </c>
      <c r="N72" s="262">
        <f>+N66</f>
        <v/>
      </c>
      <c r="O72" s="262">
        <f>+O66</f>
        <v/>
      </c>
      <c r="P72" s="262">
        <f>+P66</f>
        <v/>
      </c>
      <c r="Q72" s="262">
        <f>+Q66</f>
        <v/>
      </c>
      <c r="R72" s="262">
        <f>+R66</f>
        <v/>
      </c>
      <c r="S72" s="262">
        <f>+S66</f>
        <v/>
      </c>
      <c r="T72" s="269" t="n"/>
      <c r="U72" s="88" t="n"/>
      <c r="V72" s="270">
        <f>SUM(M72:S72)</f>
        <v/>
      </c>
    </row>
    <row r="73">
      <c r="A73" s="243" t="inlineStr">
        <is>
          <t>Valores de Participacion</t>
        </is>
      </c>
      <c r="B73" s="122" t="n"/>
      <c r="K73" s="88" t="n"/>
      <c r="L73" s="263">
        <f>+L24</f>
        <v/>
      </c>
      <c r="M73" s="242">
        <f>+M24</f>
        <v/>
      </c>
      <c r="N73" s="242">
        <f>+N24</f>
        <v/>
      </c>
      <c r="O73" s="242">
        <f>+O24</f>
        <v/>
      </c>
      <c r="P73" s="242">
        <f>+P24</f>
        <v/>
      </c>
      <c r="Q73" s="242">
        <f>+Q24</f>
        <v/>
      </c>
      <c r="R73" s="242">
        <f>+R24</f>
        <v/>
      </c>
      <c r="S73" s="242">
        <f>+S24</f>
        <v/>
      </c>
      <c r="U73" s="88" t="n"/>
      <c r="V73" s="271">
        <f>SUM(L73:U73)</f>
        <v/>
      </c>
    </row>
    <row r="74">
      <c r="A74" s="247" t="inlineStr">
        <is>
          <t>Valores de Participacion propietarios de la controladora</t>
        </is>
      </c>
      <c r="B74" s="122" t="n"/>
      <c r="C74" s="248" t="n"/>
      <c r="D74" s="249">
        <f>+ROUND(D64*D70,0)+2</f>
        <v/>
      </c>
      <c r="E74" s="249">
        <f>+ROUND(E64*E70,0)</f>
        <v/>
      </c>
      <c r="F74" s="249">
        <f>+ROUND(F64*F70,0)+1</f>
        <v/>
      </c>
      <c r="G74" s="340">
        <f>+ROUND(G64*G70,0)+1</f>
        <v/>
      </c>
      <c r="H74" s="249">
        <f>+ROUND(H64*H70,0)-2</f>
        <v/>
      </c>
      <c r="I74" s="249">
        <f>+ROUND(I64*I70,0)</f>
        <v/>
      </c>
      <c r="J74" s="249">
        <f>+ROUND(J64*J70,0)</f>
        <v/>
      </c>
      <c r="K74" s="88" t="n"/>
      <c r="L74" s="341">
        <f>+L72-L73</f>
        <v/>
      </c>
      <c r="M74" s="342">
        <f>+M72-M73</f>
        <v/>
      </c>
      <c r="N74" s="343">
        <f>+N72-N73</f>
        <v/>
      </c>
      <c r="O74" s="342">
        <f>+O72-O73</f>
        <v/>
      </c>
      <c r="P74" s="343">
        <f>+P72-P73</f>
        <v/>
      </c>
      <c r="Q74" s="342">
        <f>+Q72-Q73</f>
        <v/>
      </c>
      <c r="R74" s="342">
        <f>+R72-R73</f>
        <v/>
      </c>
      <c r="S74" s="343">
        <f>+S72-S73</f>
        <v/>
      </c>
      <c r="T74" s="272" t="n"/>
      <c r="U74" s="273" t="n"/>
      <c r="V74" s="274">
        <f>+V72-V73</f>
        <v/>
      </c>
      <c r="W74" s="120" t="inlineStr">
        <is>
          <t>Diferencia VP</t>
        </is>
      </c>
    </row>
    <row r="75">
      <c r="A75" s="251" t="inlineStr">
        <is>
          <t>Valores de Participacion no controladora</t>
        </is>
      </c>
      <c r="B75" s="122" t="n"/>
      <c r="C75" s="252" t="n"/>
      <c r="D75" s="252">
        <f>+D64-D74</f>
        <v/>
      </c>
      <c r="E75" s="252">
        <f>+E64-E74</f>
        <v/>
      </c>
      <c r="F75" s="252">
        <f>+F64-F74</f>
        <v/>
      </c>
      <c r="G75" s="252">
        <f>+G64-G74</f>
        <v/>
      </c>
      <c r="H75" s="252">
        <f>+H64-H74</f>
        <v/>
      </c>
      <c r="I75" s="252">
        <f>+I64-I74</f>
        <v/>
      </c>
      <c r="J75" s="252">
        <f>+J64-J74</f>
        <v/>
      </c>
      <c r="K75" s="252">
        <f>+K64-K74</f>
        <v/>
      </c>
      <c r="L75" s="255" t="n"/>
      <c r="M75" s="255" t="n"/>
      <c r="N75" s="255">
        <f>+'[18]Inversione  (Acumuladas Consol)'!$D$39</f>
        <v/>
      </c>
      <c r="U75" s="275" t="n"/>
    </row>
    <row r="76">
      <c r="A76" s="253" t="inlineStr">
        <is>
          <t>TOTAL</t>
        </is>
      </c>
      <c r="B76" s="122" t="n"/>
      <c r="C76" s="254" t="n"/>
      <c r="D76" s="254">
        <f>+D74+D75</f>
        <v/>
      </c>
      <c r="E76" s="254">
        <f>+E74+E75</f>
        <v/>
      </c>
      <c r="F76" s="254">
        <f>+F74+F75</f>
        <v/>
      </c>
      <c r="G76" s="254">
        <f>+G74+G75</f>
        <v/>
      </c>
      <c r="H76" s="254">
        <f>+H74+H75</f>
        <v/>
      </c>
      <c r="I76" s="254">
        <f>+I74+I75</f>
        <v/>
      </c>
      <c r="J76" s="254">
        <f>+J74+J75</f>
        <v/>
      </c>
      <c r="K76" s="88" t="n"/>
      <c r="L76" s="255" t="n"/>
      <c r="M76" s="255" t="n"/>
      <c r="N76" s="255">
        <f>+N73+N75</f>
        <v/>
      </c>
      <c r="U76" s="88" t="n"/>
      <c r="V76" s="119" t="n"/>
    </row>
    <row r="77">
      <c r="B77" s="122" t="n"/>
      <c r="D77" s="242" t="n"/>
      <c r="E77" s="242" t="n"/>
      <c r="F77" s="242" t="n"/>
      <c r="G77" s="242" t="n"/>
      <c r="H77" s="242" t="n"/>
      <c r="I77" s="242" t="n"/>
      <c r="J77" s="242" t="n"/>
      <c r="K77" s="88" t="n"/>
      <c r="L77" s="255" t="n"/>
      <c r="M77" s="255" t="n"/>
      <c r="N77" s="255" t="n"/>
      <c r="U77" s="88" t="n"/>
    </row>
    <row r="78">
      <c r="A78" s="68" t="inlineStr">
        <is>
          <t>Valores de Participacion segun contabilidad</t>
        </is>
      </c>
      <c r="B78" s="122" t="n"/>
      <c r="D78" s="254">
        <f>+[6]Ctas!$D$238</f>
        <v/>
      </c>
      <c r="E78" s="254">
        <f>+[6]Ctas!$D$239</f>
        <v/>
      </c>
      <c r="F78" s="254">
        <f>+[6]Ctas!$D$245</f>
        <v/>
      </c>
      <c r="G78" s="254">
        <f>+[6]Ctas!$D$242</f>
        <v/>
      </c>
      <c r="H78" s="254">
        <f>+[6]Ctas!$D$247</f>
        <v/>
      </c>
      <c r="I78" s="254">
        <f>+[6]Ctas!$D$253</f>
        <v/>
      </c>
      <c r="J78" s="254">
        <f>+[6]Ctas!$D$246</f>
        <v/>
      </c>
      <c r="K78" s="88" t="n"/>
      <c r="L78" s="255">
        <f>SUM(D78:J78)</f>
        <v/>
      </c>
      <c r="M78" s="255">
        <f>+C24</f>
        <v/>
      </c>
      <c r="N78" s="344">
        <f>+L78-M78</f>
        <v/>
      </c>
      <c r="U78" s="88" t="n"/>
    </row>
    <row r="79">
      <c r="B79" s="122" t="n"/>
      <c r="D79" s="255" t="n"/>
      <c r="E79" s="255" t="n"/>
      <c r="F79" s="255" t="n"/>
      <c r="G79" s="255" t="n"/>
      <c r="H79" s="255" t="n"/>
      <c r="I79" s="255" t="n"/>
      <c r="J79" s="255" t="n"/>
      <c r="K79" s="88" t="n"/>
      <c r="L79" s="255" t="n"/>
      <c r="M79" s="255" t="n"/>
      <c r="N79" s="344" t="n">
        <v>4528747665</v>
      </c>
      <c r="U79" s="88" t="n"/>
    </row>
    <row r="80">
      <c r="A80" s="68" t="inlineStr">
        <is>
          <t>Diferencias de Participacion segun contabilidad</t>
        </is>
      </c>
      <c r="B80" s="122" t="n"/>
      <c r="D80" s="345">
        <f>+D78-D74</f>
        <v/>
      </c>
      <c r="E80" s="257">
        <f>+E78-E74</f>
        <v/>
      </c>
      <c r="F80" s="257">
        <f>+F78-F74</f>
        <v/>
      </c>
      <c r="G80" s="254">
        <f>+G78-G74</f>
        <v/>
      </c>
      <c r="H80" s="258">
        <f>+H78-H74</f>
        <v/>
      </c>
      <c r="I80" s="257">
        <f>+I78-I74</f>
        <v/>
      </c>
      <c r="J80" s="257">
        <f>+J78-J74</f>
        <v/>
      </c>
      <c r="K80" s="88" t="n"/>
      <c r="L80" s="255">
        <f>SUM(D80:J80)</f>
        <v/>
      </c>
      <c r="M80" s="255" t="n"/>
      <c r="N80" s="344">
        <f>-(+N78+N79)</f>
        <v/>
      </c>
      <c r="U80" s="88" t="n"/>
    </row>
    <row r="81">
      <c r="B81" s="122" t="n"/>
      <c r="D81" s="255" t="n"/>
      <c r="E81" s="255" t="n"/>
      <c r="F81" s="255" t="n"/>
      <c r="G81" s="255" t="n"/>
      <c r="H81" s="255" t="n"/>
      <c r="I81" s="255" t="n"/>
      <c r="J81" s="255" t="n"/>
      <c r="K81" s="88" t="n"/>
      <c r="L81" s="255" t="n"/>
      <c r="M81" s="255" t="n"/>
      <c r="N81" s="255" t="n"/>
      <c r="U81" s="88" t="n"/>
    </row>
    <row r="82">
      <c r="A82" s="68" t="inlineStr">
        <is>
          <t>Valores Participacion no controladoras contabilidad</t>
        </is>
      </c>
      <c r="B82" s="122" t="n"/>
      <c r="D82" s="255" t="n"/>
      <c r="E82" s="255" t="n"/>
      <c r="F82" s="255" t="n"/>
      <c r="G82" s="255" t="n"/>
      <c r="H82" s="255" t="n"/>
      <c r="I82" s="255" t="n"/>
      <c r="J82" s="255" t="n"/>
      <c r="K82" s="88" t="n"/>
      <c r="L82" s="255" t="n"/>
      <c r="M82" s="255" t="n"/>
      <c r="N82" s="255" t="n"/>
      <c r="U82" s="88" t="n"/>
    </row>
    <row r="83">
      <c r="A83" s="68" t="inlineStr">
        <is>
          <t>Valores Participacion no controladoras contabilidad</t>
        </is>
      </c>
      <c r="B83" s="122" t="n"/>
      <c r="D83" s="242">
        <f>+[8]Ctas!$D$209</f>
        <v/>
      </c>
      <c r="E83" s="242" t="n">
        <v>0</v>
      </c>
      <c r="F83" s="242">
        <f>+[8]Ctas!$D$216</f>
        <v/>
      </c>
      <c r="G83" s="242">
        <f>+G87+G88+G89</f>
        <v/>
      </c>
      <c r="H83" s="242">
        <f>+[8]Ctas!$D$218</f>
        <v/>
      </c>
      <c r="I83" s="242">
        <f>+[8]Ctas!$D$223</f>
        <v/>
      </c>
      <c r="J83" s="255" t="n"/>
      <c r="K83" s="88" t="n"/>
      <c r="L83" s="255" t="n"/>
      <c r="M83" s="255" t="n"/>
      <c r="N83" s="255" t="n"/>
      <c r="U83" s="88" t="n"/>
    </row>
    <row r="84">
      <c r="A84" s="68" t="inlineStr">
        <is>
          <t>Diferencias de Participacion segun contabilidad</t>
        </is>
      </c>
      <c r="B84" s="122" t="n"/>
      <c r="D84" s="255">
        <f>+D75-D83</f>
        <v/>
      </c>
      <c r="E84" s="255" t="n"/>
      <c r="F84" s="255">
        <f>+F75-F83</f>
        <v/>
      </c>
      <c r="G84" s="255">
        <f>+G75-G83</f>
        <v/>
      </c>
      <c r="H84" s="255">
        <f>+H75-H83</f>
        <v/>
      </c>
      <c r="I84" s="255">
        <f>+I75-I83</f>
        <v/>
      </c>
      <c r="J84" s="255" t="n"/>
      <c r="K84" s="88" t="n"/>
      <c r="L84" s="255" t="n"/>
      <c r="M84" s="255" t="n"/>
      <c r="N84" s="255" t="n"/>
      <c r="U84" s="88" t="n"/>
    </row>
    <row r="85">
      <c r="A85" s="68" t="inlineStr">
        <is>
          <t>Diferencias de Participacion segun contabilidad</t>
        </is>
      </c>
      <c r="B85" s="122" t="n"/>
      <c r="D85" s="255" t="n"/>
      <c r="E85" s="255" t="n"/>
      <c r="F85" s="255" t="n"/>
      <c r="G85" s="255" t="n"/>
      <c r="H85" s="255" t="n"/>
      <c r="I85" s="255" t="n"/>
      <c r="J85" s="255" t="n"/>
      <c r="K85" s="255" t="n"/>
      <c r="L85" s="255" t="n"/>
      <c r="M85" s="255" t="n"/>
      <c r="N85" s="255" t="n"/>
      <c r="U85" s="88" t="n"/>
    </row>
    <row r="86"/>
    <row r="87">
      <c r="F87" s="34" t="inlineStr">
        <is>
          <t>Cine y color Internc, Mex.</t>
        </is>
      </c>
      <c r="G87" s="346">
        <f>+G64*9.504%</f>
        <v/>
      </c>
      <c r="H87" s="242" t="n"/>
    </row>
    <row r="88">
      <c r="F88" s="34" t="inlineStr">
        <is>
          <t>Aud. Colomb</t>
        </is>
      </c>
      <c r="G88" s="346">
        <f>+G64*0.496%</f>
        <v/>
      </c>
    </row>
    <row r="89">
      <c r="F89" s="34" t="inlineStr">
        <is>
          <t>Conate</t>
        </is>
      </c>
      <c r="G89" s="346">
        <f>+G64*0.003%</f>
        <v/>
      </c>
    </row>
    <row r="90">
      <c r="F90" s="34" t="inlineStr">
        <is>
          <t>Chilefilms</t>
        </is>
      </c>
      <c r="G90" s="347">
        <f>+G64*G70</f>
        <v/>
      </c>
    </row>
    <row r="91">
      <c r="G91" s="348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hidden="1" width="14" customWidth="1" style="34" min="6" max="6"/>
    <col width="14" customWidth="1" style="34" min="7" max="7"/>
    <col width="15.4571428571429" customWidth="1" style="34" min="8" max="8"/>
    <col width="14" customWidth="1" style="34" min="9" max="9"/>
    <col hidden="1" width="14.8190476190476" customWidth="1" style="34" min="10" max="10"/>
    <col width="11.5428571428571" customWidth="1" style="34" min="11" max="11"/>
    <col hidden="1" width="15.8190476190476" customWidth="1" style="34" min="12" max="12"/>
    <col width="15.8190476190476" customWidth="1" style="34" min="13" max="13"/>
    <col width="1" customWidth="1" style="34" min="14" max="14"/>
    <col width="14.4571428571429" customWidth="1" style="34" min="15" max="15"/>
    <col width="12.4571428571429" customWidth="1" style="34" min="16" max="16"/>
    <col width="13.5428571428571" customWidth="1" style="34" min="17" max="17"/>
    <col hidden="1" width="12.5428571428571" customWidth="1" style="34" min="18" max="18"/>
    <col width="15" customWidth="1" style="34" min="19" max="20"/>
    <col width="16.5428571428571" customWidth="1" style="34" min="21" max="21"/>
    <col width="12.4571428571429" customWidth="1" style="34" min="22" max="22"/>
    <col width="13.5428571428571" customWidth="1" style="34" min="23" max="23"/>
    <col width="1.18095238095238" customWidth="1" style="34" min="24" max="24"/>
    <col width="16.4571428571429" customWidth="1" style="35" min="25" max="25"/>
    <col width="12" customWidth="1" style="36" min="26" max="26"/>
    <col width="11.8190476190476" customWidth="1" style="36" min="27" max="27"/>
    <col width="13.4571428571429" customWidth="1" style="36" min="28" max="28"/>
    <col width="12.5428571428571" customWidth="1" style="36" min="29" max="29"/>
    <col width="13.5428571428571" customWidth="1" style="36" min="30" max="30"/>
    <col width="12.4571428571429" customWidth="1" style="36" min="31" max="31"/>
    <col width="14.5428571428571" customWidth="1" style="36" min="32" max="32"/>
    <col width="14.4571428571429" customWidth="1" style="36" min="33" max="33"/>
    <col width="14.1809523809524" customWidth="1" style="36" min="34" max="34"/>
    <col width="12.4571428571429" customWidth="1" style="36" min="35" max="35"/>
    <col width="11.4571428571429" customWidth="1" style="36" min="36" max="36"/>
    <col width="12.4571428571429" customWidth="1" style="36" min="37" max="37"/>
    <col width="11.4571428571429" customWidth="1" style="36" min="38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Andes Films</t>
        </is>
      </c>
      <c r="G1" s="39" t="inlineStr">
        <is>
          <t>CineColor Films</t>
        </is>
      </c>
      <c r="H1" s="39" t="inlineStr">
        <is>
          <t>Sonus</t>
        </is>
      </c>
      <c r="I1" s="86" t="inlineStr">
        <is>
          <t>Servicios Integrales</t>
        </is>
      </c>
      <c r="J1" s="39" t="n"/>
      <c r="K1" s="39" t="inlineStr">
        <is>
          <t>Serviart</t>
        </is>
      </c>
      <c r="L1" s="39" t="n"/>
      <c r="M1" s="87" t="inlineStr">
        <is>
          <t>CHF Inversiones</t>
        </is>
      </c>
      <c r="N1" s="88" t="n"/>
      <c r="O1" s="89">
        <f>+C1</f>
        <v/>
      </c>
      <c r="P1" s="89">
        <f>+D1</f>
        <v/>
      </c>
      <c r="Q1" s="89">
        <f>+E1</f>
        <v/>
      </c>
      <c r="R1" s="89">
        <f>+F1</f>
        <v/>
      </c>
      <c r="S1" s="89">
        <f>+G1</f>
        <v/>
      </c>
      <c r="T1" s="89">
        <f>+H1</f>
        <v/>
      </c>
      <c r="U1" s="89">
        <f>+I1</f>
        <v/>
      </c>
      <c r="V1" s="89">
        <f>+K1</f>
        <v/>
      </c>
      <c r="W1" s="89" t="inlineStr">
        <is>
          <t>CHF Inversiones</t>
        </is>
      </c>
      <c r="X1" s="88" t="n"/>
      <c r="Y1" s="39" t="inlineStr">
        <is>
          <t>TOTAL</t>
        </is>
      </c>
      <c r="Z1" s="89">
        <f>+O1</f>
        <v/>
      </c>
      <c r="AA1" s="89">
        <f>+P1</f>
        <v/>
      </c>
      <c r="AB1" s="89">
        <f>+Q1</f>
        <v/>
      </c>
      <c r="AC1" s="89" t="n"/>
      <c r="AD1" s="89">
        <f>+S1</f>
        <v/>
      </c>
      <c r="AE1" s="89">
        <f>+T1</f>
        <v/>
      </c>
      <c r="AF1" s="102">
        <f>+U1</f>
        <v/>
      </c>
      <c r="AG1" s="89">
        <f>+V1</f>
        <v/>
      </c>
      <c r="AH1" s="89">
        <f>+W1</f>
        <v/>
      </c>
      <c r="AI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0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inlineStr">
        <is>
          <t>Consolidado</t>
        </is>
      </c>
      <c r="G2" s="41" t="n"/>
      <c r="H2" s="41" t="inlineStr">
        <is>
          <t>Consolidado</t>
        </is>
      </c>
      <c r="I2" s="41" t="inlineStr">
        <is>
          <t>Individual</t>
        </is>
      </c>
      <c r="J2" s="41" t="n"/>
      <c r="K2" s="41" t="inlineStr">
        <is>
          <t>Individual</t>
        </is>
      </c>
      <c r="L2" s="41" t="n"/>
      <c r="M2" s="90" t="inlineStr">
        <is>
          <t>Consolidado</t>
        </is>
      </c>
      <c r="N2" s="91" t="n"/>
      <c r="O2" s="92">
        <f>+C2</f>
        <v/>
      </c>
      <c r="P2" s="92">
        <f>+D2</f>
        <v/>
      </c>
      <c r="Q2" s="92">
        <f>+E2</f>
        <v/>
      </c>
      <c r="R2" s="92">
        <f>+F2</f>
        <v/>
      </c>
      <c r="S2" s="92" t="n"/>
      <c r="T2" s="92">
        <f>+H2</f>
        <v/>
      </c>
      <c r="U2" s="92">
        <f>+I2</f>
        <v/>
      </c>
      <c r="V2" s="92">
        <f>+K2</f>
        <v/>
      </c>
      <c r="W2" s="92" t="inlineStr">
        <is>
          <t>Consolidado</t>
        </is>
      </c>
      <c r="X2" s="91" t="n"/>
      <c r="Y2" s="41" t="inlineStr">
        <is>
          <t>Consolidado</t>
        </is>
      </c>
      <c r="Z2" s="92">
        <f>+O2</f>
        <v/>
      </c>
      <c r="AA2" s="92">
        <f>+P2</f>
        <v/>
      </c>
      <c r="AB2" s="92">
        <f>+Q2</f>
        <v/>
      </c>
      <c r="AC2" s="92" t="n"/>
      <c r="AD2" s="92">
        <f>+S2</f>
        <v/>
      </c>
      <c r="AE2" s="92">
        <f>+T2</f>
        <v/>
      </c>
      <c r="AF2" s="92">
        <f>+U2</f>
        <v/>
      </c>
      <c r="AG2" s="92">
        <f>+AF2</f>
        <v/>
      </c>
      <c r="AH2" s="92">
        <f>+W2</f>
        <v/>
      </c>
      <c r="AI2" s="92" t="n"/>
    </row>
    <row r="3">
      <c r="A3" s="42" t="n"/>
      <c r="B3" s="43" t="n"/>
      <c r="C3" s="44" t="inlineStr">
        <is>
          <t>Matriz</t>
        </is>
      </c>
      <c r="D3" s="44" t="inlineStr">
        <is>
          <t>Filiales</t>
        </is>
      </c>
      <c r="E3" s="44" t="inlineStr">
        <is>
          <t>Filiales</t>
        </is>
      </c>
      <c r="F3" s="44" t="inlineStr">
        <is>
          <t>Filiales</t>
        </is>
      </c>
      <c r="G3" s="44" t="inlineStr">
        <is>
          <t>Filiales</t>
        </is>
      </c>
      <c r="H3" s="44" t="inlineStr">
        <is>
          <t>Filiales</t>
        </is>
      </c>
      <c r="I3" s="44" t="inlineStr">
        <is>
          <t>Filiales</t>
        </is>
      </c>
      <c r="J3" s="44" t="inlineStr">
        <is>
          <t>Filiales</t>
        </is>
      </c>
      <c r="K3" s="44" t="inlineStr">
        <is>
          <t>Filiales</t>
        </is>
      </c>
      <c r="L3" s="44" t="inlineStr">
        <is>
          <t>Filiales</t>
        </is>
      </c>
      <c r="M3" s="44" t="n"/>
      <c r="N3" s="93" t="n"/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94" t="inlineStr">
        <is>
          <t>Ajuste</t>
        </is>
      </c>
      <c r="V3" s="94" t="inlineStr">
        <is>
          <t>Ajuste</t>
        </is>
      </c>
      <c r="W3" s="94" t="inlineStr">
        <is>
          <t>Ajuste</t>
        </is>
      </c>
      <c r="X3" s="101" t="n"/>
      <c r="Y3" s="44" t="n"/>
    </row>
    <row r="4">
      <c r="A4" s="45" t="inlineStr">
        <is>
          <t>Ganancia (perdida)</t>
        </is>
      </c>
      <c r="B4" s="46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95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95" t="n"/>
      <c r="Y4" s="47" t="n"/>
    </row>
    <row r="5">
      <c r="A5" s="48" t="inlineStr">
        <is>
          <t>Ingresos de actividaes ordinarias</t>
        </is>
      </c>
      <c r="B5" s="49" t="n"/>
      <c r="C5" s="50">
        <f>+[6]Resultado!C9</f>
        <v/>
      </c>
      <c r="D5" s="50">
        <f>+[7]Resultado!C5</f>
        <v/>
      </c>
      <c r="E5" s="50">
        <f>+[15]Resultado!Y5</f>
        <v/>
      </c>
      <c r="F5" s="50" t="n">
        <v>0</v>
      </c>
      <c r="G5" s="50">
        <f>+[9]Resultado!$C$5</f>
        <v/>
      </c>
      <c r="H5" s="50">
        <f>+[10]Resultado!$Y$5</f>
        <v/>
      </c>
      <c r="I5" s="50">
        <f>+[11]Resultado!C5</f>
        <v/>
      </c>
      <c r="J5" s="50" t="n">
        <v>0</v>
      </c>
      <c r="K5" s="50">
        <f>+[12]Resultado!C5</f>
        <v/>
      </c>
      <c r="L5" s="50" t="n">
        <v>0</v>
      </c>
      <c r="M5" s="50">
        <f>+'[14]Resultado$'!$AC$5</f>
        <v/>
      </c>
      <c r="N5" s="96" t="n"/>
      <c r="O5" s="58">
        <f>-ccfilm2022!G199</f>
        <v/>
      </c>
      <c r="P5" s="50">
        <f>-D5</f>
        <v/>
      </c>
      <c r="Q5" s="58">
        <f>-[15]Resultado!$C$5</f>
        <v/>
      </c>
      <c r="R5" s="50" t="n">
        <v>0</v>
      </c>
      <c r="T5" s="50">
        <f>-'[21]Bce Matriz'!$D$511</f>
        <v/>
      </c>
      <c r="U5" s="50">
        <f>-I5</f>
        <v/>
      </c>
      <c r="V5" s="50">
        <f>-K5</f>
        <v/>
      </c>
      <c r="W5" s="50" t="n">
        <v>0</v>
      </c>
      <c r="X5" s="96" t="n"/>
      <c r="Y5" s="50">
        <f>SUM(C5:W5)</f>
        <v/>
      </c>
      <c r="Z5" s="35">
        <f>+C5+#REF!</f>
        <v/>
      </c>
      <c r="AA5" s="35">
        <f>+D5+P5</f>
        <v/>
      </c>
      <c r="AB5" s="35">
        <f>+E5+Q5</f>
        <v/>
      </c>
      <c r="AC5" s="35">
        <f>+F5+R5</f>
        <v/>
      </c>
      <c r="AD5" s="35">
        <f>+G5+O5</f>
        <v/>
      </c>
      <c r="AE5" s="35">
        <f>+H5+T5</f>
        <v/>
      </c>
      <c r="AF5" s="35">
        <f>+I5+U5</f>
        <v/>
      </c>
      <c r="AG5" s="35">
        <f>+K5+V5</f>
        <v/>
      </c>
      <c r="AH5" s="35">
        <f>+M5+W5</f>
        <v/>
      </c>
      <c r="AI5" s="35">
        <f>SUM(Z5:AH5)</f>
        <v/>
      </c>
    </row>
    <row r="6">
      <c r="A6" s="48" t="n"/>
      <c r="B6" s="49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96" t="n"/>
      <c r="O6" s="50" t="n"/>
      <c r="P6" s="50" t="n"/>
      <c r="Q6" s="50" t="n"/>
      <c r="R6" s="50" t="n"/>
      <c r="S6" s="50" t="n"/>
      <c r="T6" s="50" t="n"/>
      <c r="U6" s="50" t="n"/>
      <c r="V6" s="50" t="n"/>
      <c r="W6" s="50" t="n"/>
      <c r="X6" s="96" t="n"/>
      <c r="Y6" s="50" t="n"/>
    </row>
    <row r="7">
      <c r="A7" s="48" t="inlineStr">
        <is>
          <t>Costos de ventas</t>
        </is>
      </c>
      <c r="B7" s="49" t="n"/>
      <c r="C7" s="50">
        <f>+[6]Resultado!C11</f>
        <v/>
      </c>
      <c r="D7" s="50">
        <f>+[7]Resultado!C7</f>
        <v/>
      </c>
      <c r="E7" s="50">
        <f>+[15]Resultado!Y7</f>
        <v/>
      </c>
      <c r="F7" s="50" t="n">
        <v>0</v>
      </c>
      <c r="G7" s="50">
        <f>+[9]Resultado!$C$7</f>
        <v/>
      </c>
      <c r="H7" s="50">
        <f>+[10]Resultado!$Y$7</f>
        <v/>
      </c>
      <c r="I7" s="50">
        <f>+[11]Resultado!C7</f>
        <v/>
      </c>
      <c r="J7" s="50" t="n">
        <v>0</v>
      </c>
      <c r="K7" s="50">
        <f>+[12]Resultado!C7</f>
        <v/>
      </c>
      <c r="L7" s="50" t="n">
        <v>0</v>
      </c>
      <c r="M7" s="50">
        <f>+'[14]Resultado$'!$AC$7</f>
        <v/>
      </c>
      <c r="N7" s="96" t="n"/>
      <c r="P7" s="50">
        <f>+P5</f>
        <v/>
      </c>
      <c r="Q7" s="58">
        <f>+Q5</f>
        <v/>
      </c>
      <c r="R7" s="50">
        <f>+R5</f>
        <v/>
      </c>
      <c r="S7" s="58">
        <f>O5</f>
        <v/>
      </c>
      <c r="T7" s="50">
        <f>+T5</f>
        <v/>
      </c>
      <c r="U7" s="50">
        <f>+U5</f>
        <v/>
      </c>
      <c r="V7" s="50">
        <f>+V5</f>
        <v/>
      </c>
      <c r="W7" s="50">
        <f>+W5</f>
        <v/>
      </c>
      <c r="X7" s="96" t="n"/>
      <c r="Y7" s="50">
        <f>SUM(C7:W7)</f>
        <v/>
      </c>
      <c r="Z7" s="35">
        <f>+C7+O7</f>
        <v/>
      </c>
      <c r="AA7" s="35">
        <f>+D7+P7</f>
        <v/>
      </c>
      <c r="AB7" s="35">
        <f>+E7+Q7</f>
        <v/>
      </c>
      <c r="AC7" s="35">
        <f>+F7+R7</f>
        <v/>
      </c>
      <c r="AD7" s="35">
        <f>+G7+S7</f>
        <v/>
      </c>
      <c r="AE7" s="35">
        <f>+H7+T7</f>
        <v/>
      </c>
      <c r="AF7" s="35">
        <f>+I7+U7</f>
        <v/>
      </c>
      <c r="AG7" s="35">
        <f>+K7+V7</f>
        <v/>
      </c>
      <c r="AH7" s="35">
        <f>+M7+W7</f>
        <v/>
      </c>
      <c r="AI7" s="35">
        <f>SUM(Z7:AH7)</f>
        <v/>
      </c>
      <c r="AJ7" s="35">
        <f>+Y7-AI7</f>
        <v/>
      </c>
    </row>
    <row r="8">
      <c r="A8" s="51" t="n"/>
      <c r="B8" s="52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96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96" t="n"/>
      <c r="Y8" s="50" t="n"/>
    </row>
    <row r="9">
      <c r="A9" s="53" t="inlineStr">
        <is>
          <t>Ganancia bruta</t>
        </is>
      </c>
      <c r="B9" s="54" t="n"/>
      <c r="C9" s="55">
        <f>+C5-C7</f>
        <v/>
      </c>
      <c r="D9" s="55">
        <f>+D5-D7</f>
        <v/>
      </c>
      <c r="E9" s="55">
        <f>+E5-E7</f>
        <v/>
      </c>
      <c r="F9" s="55">
        <f>+F5-F7</f>
        <v/>
      </c>
      <c r="G9" s="55">
        <f>+G5-G7</f>
        <v/>
      </c>
      <c r="H9" s="55">
        <f>+H5-H7</f>
        <v/>
      </c>
      <c r="I9" s="55">
        <f>+I5-I7</f>
        <v/>
      </c>
      <c r="J9" s="55">
        <f>+J5-J7</f>
        <v/>
      </c>
      <c r="K9" s="55">
        <f>+K5-K7</f>
        <v/>
      </c>
      <c r="L9" s="55">
        <f>+L5-L7</f>
        <v/>
      </c>
      <c r="M9" s="55">
        <f>+M5-M7</f>
        <v/>
      </c>
      <c r="N9" s="97" t="n"/>
      <c r="O9" s="55">
        <f>+O5-O7</f>
        <v/>
      </c>
      <c r="P9" s="55">
        <f>+P5-P7</f>
        <v/>
      </c>
      <c r="Q9" s="55">
        <f>+Q5-Q7</f>
        <v/>
      </c>
      <c r="R9" s="55">
        <f>+R5-R7</f>
        <v/>
      </c>
      <c r="S9" s="55">
        <f>+O5-S7</f>
        <v/>
      </c>
      <c r="T9" s="55">
        <f>+T5-T7</f>
        <v/>
      </c>
      <c r="U9" s="55">
        <f>+U5-U7</f>
        <v/>
      </c>
      <c r="V9" s="55">
        <f>+V5-V7</f>
        <v/>
      </c>
      <c r="W9" s="55">
        <f>+W5-W7</f>
        <v/>
      </c>
      <c r="X9" s="97" t="n"/>
      <c r="Y9" s="55">
        <f>+Y5-Y7</f>
        <v/>
      </c>
      <c r="Z9" s="55">
        <f>+Z5-Z7</f>
        <v/>
      </c>
      <c r="AA9" s="55">
        <f>+AA5-AA7</f>
        <v/>
      </c>
      <c r="AB9" s="55">
        <f>+AB5-AB7</f>
        <v/>
      </c>
      <c r="AC9" s="55">
        <f>+AC5-AC7</f>
        <v/>
      </c>
      <c r="AD9" s="55">
        <f>+AD5-AD7</f>
        <v/>
      </c>
      <c r="AE9" s="55">
        <f>+AE5-AE7</f>
        <v/>
      </c>
      <c r="AF9" s="55">
        <f>+AF5-AF7</f>
        <v/>
      </c>
      <c r="AG9" s="55">
        <f>+AG5-AG7</f>
        <v/>
      </c>
      <c r="AH9" s="55">
        <f>+AH5-AH7</f>
        <v/>
      </c>
      <c r="AI9" s="55">
        <f>+AI5-AI7</f>
        <v/>
      </c>
      <c r="AJ9" s="35">
        <f>+AI9-Y9</f>
        <v/>
      </c>
    </row>
    <row r="10">
      <c r="A10" s="51" t="n"/>
      <c r="B10" s="52" t="n"/>
      <c r="C10" s="50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96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96" t="n"/>
      <c r="Y10" s="50" t="n"/>
    </row>
    <row r="11">
      <c r="A11" s="48" t="inlineStr">
        <is>
          <t>Gastos de administracion</t>
        </is>
      </c>
      <c r="B11" s="49" t="n"/>
      <c r="C11" s="50">
        <f>-[6]Resultado!C15</f>
        <v/>
      </c>
      <c r="D11" s="50">
        <f>-[7]Resultado!C11</f>
        <v/>
      </c>
      <c r="E11" s="50">
        <f>+[15]Resultado!Y11</f>
        <v/>
      </c>
      <c r="F11" s="50" t="n">
        <v>0</v>
      </c>
      <c r="G11" s="50">
        <f>+[9]Resultado!$C$11</f>
        <v/>
      </c>
      <c r="H11" s="50">
        <f>+[10]Resultado!$Y$11</f>
        <v/>
      </c>
      <c r="I11" s="50">
        <f>-[11]Resultado!C11</f>
        <v/>
      </c>
      <c r="J11" s="50" t="n">
        <v>0</v>
      </c>
      <c r="K11" s="50">
        <f>+[12]Resultado!C11</f>
        <v/>
      </c>
      <c r="L11" s="50" t="n">
        <v>0</v>
      </c>
      <c r="M11" s="50">
        <f>+'[14]Resultado$'!$AC$11</f>
        <v/>
      </c>
      <c r="N11" s="96" t="n"/>
      <c r="O11" s="50" t="n">
        <v>0</v>
      </c>
      <c r="P11" s="50" t="n">
        <v>0</v>
      </c>
      <c r="Q11" s="50" t="n">
        <v>0</v>
      </c>
      <c r="R11" s="50" t="n">
        <v>0</v>
      </c>
      <c r="S11" s="50" t="n">
        <v>0</v>
      </c>
      <c r="T11" s="50" t="n">
        <v>0</v>
      </c>
      <c r="U11" s="66" t="n"/>
      <c r="V11" s="50" t="n">
        <v>0</v>
      </c>
      <c r="W11" s="50" t="n">
        <v>0</v>
      </c>
      <c r="X11" s="96" t="n"/>
      <c r="Y11" s="50">
        <f>SUM(C11:W11)</f>
        <v/>
      </c>
      <c r="Z11" s="35">
        <f>+C11+O11</f>
        <v/>
      </c>
      <c r="AA11" s="35">
        <f>+D11+P11</f>
        <v/>
      </c>
      <c r="AB11" s="35">
        <f>+E11+Q11</f>
        <v/>
      </c>
      <c r="AC11" s="35">
        <f>+F11+R11</f>
        <v/>
      </c>
      <c r="AD11" s="35">
        <f>+G11+S11</f>
        <v/>
      </c>
      <c r="AE11" s="35">
        <f>+H11+T11</f>
        <v/>
      </c>
      <c r="AF11" s="35">
        <f>+I11+U11</f>
        <v/>
      </c>
      <c r="AG11" s="35">
        <f>+K11+V11</f>
        <v/>
      </c>
      <c r="AH11" s="35">
        <f>+M11+W11</f>
        <v/>
      </c>
      <c r="AI11" s="35">
        <f>SUM(Z11:AH11)</f>
        <v/>
      </c>
    </row>
    <row r="12">
      <c r="A12" s="56" t="inlineStr">
        <is>
          <t>Depreciación y/o Amortización del Ejercicio</t>
        </is>
      </c>
      <c r="B12" s="52" t="n"/>
      <c r="C12" s="50">
        <f>-[6]Resultado!$C$19</f>
        <v/>
      </c>
      <c r="D12" s="50">
        <f>+[7]Resultado!C12</f>
        <v/>
      </c>
      <c r="E12" s="50">
        <f>+[15]Resultado!Y12</f>
        <v/>
      </c>
      <c r="F12" s="50" t="n">
        <v>0</v>
      </c>
      <c r="G12" s="50">
        <f>+[9]Resultado!$C$12</f>
        <v/>
      </c>
      <c r="H12" s="50">
        <f>+[10]Resultado!$Y$12</f>
        <v/>
      </c>
      <c r="I12" s="50">
        <f>+[11]Resultado!C12</f>
        <v/>
      </c>
      <c r="J12" s="50" t="n">
        <v>0</v>
      </c>
      <c r="K12" s="50">
        <f>+[12]Resultado!C12</f>
        <v/>
      </c>
      <c r="L12" s="50" t="n"/>
      <c r="M12" s="50">
        <f>+'[14]Resultado$'!$AC$12</f>
        <v/>
      </c>
      <c r="N12" s="96" t="n"/>
      <c r="O12" s="50" t="n">
        <v>0</v>
      </c>
      <c r="P12" s="50" t="n">
        <v>0</v>
      </c>
      <c r="Q12" s="50" t="n">
        <v>0</v>
      </c>
      <c r="R12" s="50" t="n">
        <v>0</v>
      </c>
      <c r="S12" s="50" t="n">
        <v>0</v>
      </c>
      <c r="T12" s="50" t="n">
        <v>0</v>
      </c>
      <c r="U12" s="50" t="n">
        <v>0</v>
      </c>
      <c r="V12" s="50" t="n">
        <v>0</v>
      </c>
      <c r="W12" s="50" t="n"/>
      <c r="X12" s="96" t="n"/>
      <c r="Y12" s="50">
        <f>SUM(C12:W12)</f>
        <v/>
      </c>
      <c r="Z12" s="35">
        <f>+C12+O12</f>
        <v/>
      </c>
      <c r="AA12" s="35">
        <f>+D12+P12</f>
        <v/>
      </c>
      <c r="AB12" s="35">
        <f>+E12+Q12</f>
        <v/>
      </c>
      <c r="AC12" s="35">
        <f>+F12+R12</f>
        <v/>
      </c>
      <c r="AD12" s="35">
        <f>+G12+S12</f>
        <v/>
      </c>
      <c r="AE12" s="35">
        <f>+H12+T12</f>
        <v/>
      </c>
      <c r="AF12" s="35">
        <f>+I12+U12</f>
        <v/>
      </c>
      <c r="AG12" s="35">
        <f>+K12+V12</f>
        <v/>
      </c>
      <c r="AH12" s="35">
        <f>+M12+W12</f>
        <v/>
      </c>
      <c r="AI12" s="35">
        <f>SUM(Z12:AH12)</f>
        <v/>
      </c>
    </row>
    <row r="13">
      <c r="A13" s="53" t="inlineStr">
        <is>
          <t xml:space="preserve">Ganancia (perdida) de actividades operacionales </t>
        </is>
      </c>
      <c r="B13" s="54" t="n"/>
      <c r="C13" s="55">
        <f>+C9-C11-C12</f>
        <v/>
      </c>
      <c r="D13" s="55">
        <f>+D9-D11-D12</f>
        <v/>
      </c>
      <c r="E13" s="55">
        <f>+E9-E11-E12</f>
        <v/>
      </c>
      <c r="F13" s="55">
        <f>+F9-F11-F12</f>
        <v/>
      </c>
      <c r="G13" s="55">
        <f>+G9-G11-G12</f>
        <v/>
      </c>
      <c r="H13" s="55">
        <f>+H9-H11-H12</f>
        <v/>
      </c>
      <c r="I13" s="55">
        <f>+I9-I11-I12</f>
        <v/>
      </c>
      <c r="J13" s="55">
        <f>+J9-J11-J12</f>
        <v/>
      </c>
      <c r="K13" s="55">
        <f>+K9-K11-K12</f>
        <v/>
      </c>
      <c r="L13" s="55">
        <f>+L9-L11-L12</f>
        <v/>
      </c>
      <c r="M13" s="55">
        <f>+M9-M11-M12</f>
        <v/>
      </c>
      <c r="N13" s="97" t="n"/>
      <c r="O13" s="55">
        <f>+O9-O11-O12</f>
        <v/>
      </c>
      <c r="P13" s="55">
        <f>+P9-P11-P12</f>
        <v/>
      </c>
      <c r="Q13" s="55">
        <f>+Q9-Q11-Q12</f>
        <v/>
      </c>
      <c r="R13" s="55">
        <f>+R9-R11-R12</f>
        <v/>
      </c>
      <c r="S13" s="55">
        <f>+S9-S11-S12</f>
        <v/>
      </c>
      <c r="T13" s="55">
        <f>+T9-T11-T12</f>
        <v/>
      </c>
      <c r="U13" s="55">
        <f>+U9-U11-U12</f>
        <v/>
      </c>
      <c r="V13" s="55">
        <f>+V9-V11-V12</f>
        <v/>
      </c>
      <c r="W13" s="55">
        <f>+W9-W11</f>
        <v/>
      </c>
      <c r="X13" s="97" t="n"/>
      <c r="Y13" s="55">
        <f>+Y9-Y11-Y12</f>
        <v/>
      </c>
      <c r="Z13" s="55">
        <f>+Z9-Z11-Z12</f>
        <v/>
      </c>
      <c r="AA13" s="55">
        <f>+AA9-AA11-AA12</f>
        <v/>
      </c>
      <c r="AB13" s="55">
        <f>+AB9-AB11-AB12</f>
        <v/>
      </c>
      <c r="AC13" s="55">
        <f>+AC9-AC11-AC12</f>
        <v/>
      </c>
      <c r="AD13" s="55">
        <f>+AD9-AD11-AD12</f>
        <v/>
      </c>
      <c r="AE13" s="55">
        <f>+AE9-AE11-AE12</f>
        <v/>
      </c>
      <c r="AF13" s="55">
        <f>+AF9-AF11-AF12</f>
        <v/>
      </c>
      <c r="AG13" s="55">
        <f>+AG9-AG11-AG12</f>
        <v/>
      </c>
      <c r="AH13" s="55">
        <f>+AH9-AH11-AH12</f>
        <v/>
      </c>
      <c r="AI13" s="55">
        <f>+AI9-AI11-AI12</f>
        <v/>
      </c>
    </row>
    <row r="14">
      <c r="A14" s="51" t="n"/>
      <c r="B14" s="52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96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96" t="n"/>
      <c r="Y14" s="50" t="n"/>
    </row>
    <row r="15">
      <c r="A15" s="48" t="inlineStr">
        <is>
          <t>Ingresos financieros</t>
        </is>
      </c>
      <c r="B15" s="49" t="n"/>
      <c r="C15" s="50">
        <f>+[6]Resultado!$C$23</f>
        <v/>
      </c>
      <c r="D15" s="50">
        <f>+[7]Resultado!C15</f>
        <v/>
      </c>
      <c r="E15" s="50">
        <f>+[15]Resultado!Y15</f>
        <v/>
      </c>
      <c r="F15" s="50" t="n">
        <v>0</v>
      </c>
      <c r="G15" s="50">
        <f>+[9]Resultado!$C$15</f>
        <v/>
      </c>
      <c r="H15" s="50">
        <f>+[10]Resultado!$Y$15</f>
        <v/>
      </c>
      <c r="I15" s="50">
        <f>+[11]Resultado!C15</f>
        <v/>
      </c>
      <c r="J15" s="50" t="n">
        <v>0</v>
      </c>
      <c r="K15" s="50">
        <f>+[12]Resultado!C15</f>
        <v/>
      </c>
      <c r="L15" s="50" t="n">
        <v>0</v>
      </c>
      <c r="M15" s="50">
        <f>+'[14]Resultado$'!$AC$15</f>
        <v/>
      </c>
      <c r="N15" s="96" t="n"/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96" t="n"/>
      <c r="Y15" s="50">
        <f>SUM(C15:W15)</f>
        <v/>
      </c>
    </row>
    <row r="16">
      <c r="A16" s="48" t="n"/>
      <c r="B16" s="49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96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96" t="n"/>
      <c r="Y16" s="50" t="n"/>
    </row>
    <row r="17" ht="15" customHeight="1">
      <c r="A17" s="48" t="inlineStr">
        <is>
          <t>Costos financieros</t>
        </is>
      </c>
      <c r="B17" s="49" t="n"/>
      <c r="C17" s="50">
        <f>+[6]Resultado!$C$25</f>
        <v/>
      </c>
      <c r="D17" s="50">
        <f>+[7]Resultado!C17</f>
        <v/>
      </c>
      <c r="E17" s="50">
        <f>+[15]Resultado!Y17</f>
        <v/>
      </c>
      <c r="F17" s="50" t="n">
        <v>0</v>
      </c>
      <c r="G17" s="50">
        <f>+[9]Resultado!$C$17</f>
        <v/>
      </c>
      <c r="H17" s="50">
        <f>+[10]Resultado!$Y$17</f>
        <v/>
      </c>
      <c r="I17" s="50">
        <f>+[11]Resultado!C17</f>
        <v/>
      </c>
      <c r="J17" s="50" t="n">
        <v>0</v>
      </c>
      <c r="K17" s="50">
        <f>+[12]Resultado!C17</f>
        <v/>
      </c>
      <c r="L17" s="50" t="n">
        <v>0</v>
      </c>
      <c r="M17" s="50">
        <f>+'[14]Resultado$'!$AC$17</f>
        <v/>
      </c>
      <c r="N17" s="96" t="n"/>
      <c r="O17" s="50" t="n">
        <v>0</v>
      </c>
      <c r="P17" s="50" t="n">
        <v>0</v>
      </c>
      <c r="Q17" s="50" t="n">
        <v>0</v>
      </c>
      <c r="R17" s="50" t="n">
        <v>0</v>
      </c>
      <c r="S17" s="50" t="n">
        <v>0</v>
      </c>
      <c r="T17" s="50" t="n">
        <v>0</v>
      </c>
      <c r="U17" s="50" t="n">
        <v>0</v>
      </c>
      <c r="V17" s="50" t="n">
        <v>0</v>
      </c>
      <c r="W17" s="50" t="n">
        <v>0</v>
      </c>
      <c r="X17" s="96" t="n"/>
      <c r="Y17" s="50">
        <f>SUM(C17:W17)</f>
        <v/>
      </c>
      <c r="Z17" s="103">
        <f>+'[4]Resultado$'!$AD$18</f>
        <v/>
      </c>
      <c r="AA17" s="103">
        <f>+'[4]Resultado$'!$AE$18</f>
        <v/>
      </c>
      <c r="AB17" s="103">
        <f>+'[4]Resultado$'!$AF$18</f>
        <v/>
      </c>
      <c r="AC17" s="103" t="n"/>
      <c r="AD17" s="104" t="inlineStr">
        <is>
          <t>Andes Films S A</t>
        </is>
      </c>
      <c r="AE17" s="104" t="inlineStr">
        <is>
          <t>Media Pro</t>
        </is>
      </c>
      <c r="AF17" s="104" t="inlineStr">
        <is>
          <t>Inmob. Escandinavia</t>
        </is>
      </c>
      <c r="AG17" s="104" t="n"/>
      <c r="AH17" s="104" t="n"/>
      <c r="AI17" s="104" t="inlineStr">
        <is>
          <t>TOTAL</t>
        </is>
      </c>
    </row>
    <row r="18">
      <c r="A18" s="48" t="n"/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96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96" t="n"/>
      <c r="Y18" s="50" t="n"/>
      <c r="Z18" s="105" t="n"/>
      <c r="AA18" s="105" t="n"/>
    </row>
    <row r="19">
      <c r="A19" s="57" t="inlineStr">
        <is>
          <t>Participacion en las ganancias (perdidas) de asociadas y negocios conjunto</t>
        </is>
      </c>
      <c r="B19" s="49" t="n"/>
      <c r="C19" s="58">
        <f>+[6]Resultado!$C$27</f>
        <v/>
      </c>
      <c r="D19" s="58">
        <f>+[7]Resultado!C19</f>
        <v/>
      </c>
      <c r="E19" s="58">
        <f>+[15]Resultado!Y19</f>
        <v/>
      </c>
      <c r="F19" s="58" t="n">
        <v>0</v>
      </c>
      <c r="G19" s="58">
        <f>+[9]Resultado!$C$19</f>
        <v/>
      </c>
      <c r="H19" s="58">
        <f>+[10]Resultado!$Y$19</f>
        <v/>
      </c>
      <c r="I19" s="58">
        <f>+[11]Resultado!C19</f>
        <v/>
      </c>
      <c r="J19" s="58" t="n">
        <v>0</v>
      </c>
      <c r="K19" s="58">
        <f>+[12]Resultado!C19</f>
        <v/>
      </c>
      <c r="L19" s="58" t="n">
        <v>0</v>
      </c>
      <c r="M19" s="58">
        <f>+'[14]Resultado$'!$AC$19</f>
        <v/>
      </c>
      <c r="N19" s="96" t="n"/>
      <c r="O19" s="58">
        <f>-O50</f>
        <v/>
      </c>
      <c r="P19" s="58" t="n">
        <v>0</v>
      </c>
      <c r="Q19" s="58">
        <f>-[15]Resultado!$AI$20</f>
        <v/>
      </c>
      <c r="R19" s="58" t="n">
        <v>0</v>
      </c>
      <c r="S19" s="58" t="n">
        <v>0</v>
      </c>
      <c r="T19" s="58">
        <f>-H19</f>
        <v/>
      </c>
      <c r="U19" s="58" t="n">
        <v>0</v>
      </c>
      <c r="V19" s="58" t="n">
        <v>0</v>
      </c>
      <c r="W19" s="58" t="n">
        <v>1712</v>
      </c>
      <c r="X19" s="96" t="n"/>
      <c r="Y19" s="58">
        <f>SUM(C19:W19)</f>
        <v/>
      </c>
      <c r="Z19" s="106">
        <f>+'[14]Resultado$'!$AD$19</f>
        <v/>
      </c>
      <c r="AA19" s="106">
        <f>+'[14]Resultado$'!$AE$19</f>
        <v/>
      </c>
      <c r="AB19" s="106">
        <f>+'[14]Resultado$'!$AF$19</f>
        <v/>
      </c>
      <c r="AC19" s="106" t="n"/>
      <c r="AD19" s="107">
        <f>+'[19]6220001 Utilidades empresas rel'!$N$17</f>
        <v/>
      </c>
      <c r="AE19" s="107">
        <f>+'[19]6220001 Utilidades empresas rel'!$N$16</f>
        <v/>
      </c>
      <c r="AF19" s="35">
        <f>-'[20]5220001 Perdidas empresas relac'!$M$15</f>
        <v/>
      </c>
      <c r="AI19" s="35">
        <f>SUM(Z19:AH19)</f>
        <v/>
      </c>
      <c r="AJ19" s="35">
        <f>+Y19-AI19</f>
        <v/>
      </c>
      <c r="AK19" s="35" t="n"/>
    </row>
    <row r="20">
      <c r="A20" s="59" t="n"/>
      <c r="B20" s="6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96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96" t="n"/>
      <c r="Y20" s="50" t="n"/>
    </row>
    <row r="21">
      <c r="A21" s="48" t="inlineStr">
        <is>
          <t>Otros ingresos</t>
        </is>
      </c>
      <c r="B21" s="49" t="n"/>
      <c r="C21" s="50">
        <f>+[6]Resultado!$C$29</f>
        <v/>
      </c>
      <c r="D21" s="50">
        <f>+[7]Resultado!C21</f>
        <v/>
      </c>
      <c r="E21" s="50">
        <f>+[15]Resultado!Y21</f>
        <v/>
      </c>
      <c r="F21" s="50" t="n">
        <v>0</v>
      </c>
      <c r="G21" s="50">
        <f>+[9]Resultado!$C$21</f>
        <v/>
      </c>
      <c r="H21" s="50">
        <f>+[10]Resultado!$Y$21</f>
        <v/>
      </c>
      <c r="I21" s="50">
        <f>+[11]Resultado!C21</f>
        <v/>
      </c>
      <c r="J21" s="50" t="n">
        <v>0</v>
      </c>
      <c r="K21" s="50">
        <f>+[12]Resultado!C21</f>
        <v/>
      </c>
      <c r="L21" s="50" t="n">
        <v>0</v>
      </c>
      <c r="M21" s="50">
        <f>+'[14]Resultado$'!$AC$21</f>
        <v/>
      </c>
      <c r="N21" s="96" t="n"/>
      <c r="O21" s="50" t="n">
        <v>0</v>
      </c>
      <c r="P21" s="50" t="n">
        <v>0</v>
      </c>
      <c r="Q21" s="50" t="n">
        <v>0</v>
      </c>
      <c r="R21" s="50" t="n">
        <v>0</v>
      </c>
      <c r="S21" s="50" t="n">
        <v>0</v>
      </c>
      <c r="T21" s="50" t="n">
        <v>0</v>
      </c>
      <c r="U21" s="50" t="n"/>
      <c r="V21" s="50" t="n">
        <v>0</v>
      </c>
      <c r="W21" s="50" t="n">
        <v>0</v>
      </c>
      <c r="X21" s="96" t="n"/>
      <c r="Y21" s="50">
        <f>SUM(C21:W21)</f>
        <v/>
      </c>
    </row>
    <row r="22">
      <c r="A22" s="48" t="n"/>
      <c r="B22" s="49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96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96" t="n"/>
      <c r="Y22" s="50" t="n"/>
    </row>
    <row r="23">
      <c r="A23" s="48" t="inlineStr">
        <is>
          <t>Otros egresos</t>
        </is>
      </c>
      <c r="B23" s="49" t="n"/>
      <c r="C23" s="50">
        <f>+[6]Resultado!$C$31</f>
        <v/>
      </c>
      <c r="D23" s="50">
        <f>+[7]Resultado!C23</f>
        <v/>
      </c>
      <c r="E23" s="50">
        <f>+[15]Resultado!Y23</f>
        <v/>
      </c>
      <c r="F23" s="50" t="n">
        <v>0</v>
      </c>
      <c r="G23" s="50">
        <f>+[9]Resultado!$C$23</f>
        <v/>
      </c>
      <c r="H23" s="50">
        <f>+[10]Resultado!$Y$23</f>
        <v/>
      </c>
      <c r="I23" s="50">
        <f>+[11]Resultado!C23</f>
        <v/>
      </c>
      <c r="J23" s="50" t="n">
        <v>0</v>
      </c>
      <c r="K23" s="50">
        <f>+[12]Resultado!C23</f>
        <v/>
      </c>
      <c r="L23" s="50" t="n">
        <v>0</v>
      </c>
      <c r="M23" s="50">
        <f>+'[14]Resultado$'!$AC$23</f>
        <v/>
      </c>
      <c r="N23" s="96" t="n"/>
      <c r="P23" s="50" t="n">
        <v>0</v>
      </c>
      <c r="R23" s="50" t="n">
        <v>0</v>
      </c>
      <c r="S23" s="50" t="n">
        <v>0</v>
      </c>
      <c r="T23" s="50" t="n">
        <v>0</v>
      </c>
      <c r="U23" s="66" t="n"/>
      <c r="V23" s="50" t="n">
        <v>0</v>
      </c>
      <c r="W23" s="50" t="n">
        <v>0</v>
      </c>
      <c r="X23" s="96" t="n"/>
      <c r="Y23" s="50">
        <f>SUM(C23:W23)</f>
        <v/>
      </c>
    </row>
    <row r="24">
      <c r="A24" s="48" t="n"/>
      <c r="B24" s="49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96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96" t="n"/>
      <c r="Y24" s="50" t="n"/>
    </row>
    <row r="25">
      <c r="A25" s="48" t="inlineStr">
        <is>
          <t>Diferencias de cambio</t>
        </is>
      </c>
      <c r="B25" s="49" t="n"/>
      <c r="C25" s="50">
        <f>+[6]Resultado!$C$33</f>
        <v/>
      </c>
      <c r="D25" s="50">
        <f>+[7]Resultado!C25</f>
        <v/>
      </c>
      <c r="E25" s="50">
        <f>+[15]Resultado!Y25</f>
        <v/>
      </c>
      <c r="F25" s="50" t="n">
        <v>0</v>
      </c>
      <c r="G25" s="50">
        <f>+[9]Resultado!$C$25</f>
        <v/>
      </c>
      <c r="H25" s="50">
        <f>+[10]Resultado!$Y$25</f>
        <v/>
      </c>
      <c r="I25" s="50">
        <f>+[11]Resultado!C25</f>
        <v/>
      </c>
      <c r="J25" s="50" t="n">
        <v>0</v>
      </c>
      <c r="K25" s="50">
        <f>+[12]Resultado!C25</f>
        <v/>
      </c>
      <c r="L25" s="50" t="n">
        <v>0</v>
      </c>
      <c r="M25" s="50">
        <f>+'[14]Resultado$'!$AC$25</f>
        <v/>
      </c>
      <c r="N25" s="96" t="n"/>
      <c r="O25" s="58">
        <f>+O52-6774287</f>
        <v/>
      </c>
      <c r="P25" s="50" t="n">
        <v>0</v>
      </c>
      <c r="Q25" s="66" t="n"/>
      <c r="R25" s="50" t="n">
        <v>0</v>
      </c>
      <c r="S25" s="66" t="n">
        <v>0</v>
      </c>
      <c r="T25" s="50" t="n">
        <v>0</v>
      </c>
      <c r="U25" s="50" t="n">
        <v>0</v>
      </c>
      <c r="V25" s="50" t="n">
        <v>0</v>
      </c>
      <c r="W25" s="50" t="n">
        <v>0</v>
      </c>
      <c r="X25" s="96" t="n"/>
      <c r="Y25" s="50">
        <f>SUM(C25:W25)</f>
        <v/>
      </c>
    </row>
    <row r="26">
      <c r="A26" s="48" t="n"/>
      <c r="B26" s="49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96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96" t="n"/>
      <c r="Y26" s="50" t="n"/>
    </row>
    <row r="27">
      <c r="A27" s="48" t="inlineStr">
        <is>
          <t>Resultado por unidades de reajuste</t>
        </is>
      </c>
      <c r="B27" s="49" t="n"/>
      <c r="C27" s="50">
        <f>+[6]Resultado!$C$35</f>
        <v/>
      </c>
      <c r="D27" s="50">
        <f>+[7]Resultado!C27</f>
        <v/>
      </c>
      <c r="E27" s="50">
        <f>+[15]Resultado!Y27</f>
        <v/>
      </c>
      <c r="F27" s="50" t="n">
        <v>0</v>
      </c>
      <c r="G27" s="50">
        <f>+[9]Resultado!$C$27</f>
        <v/>
      </c>
      <c r="H27" s="50">
        <f>+[10]Resultado!$Y$27</f>
        <v/>
      </c>
      <c r="I27" s="50">
        <f>+[11]Resultado!C27</f>
        <v/>
      </c>
      <c r="J27" s="50" t="n">
        <v>0</v>
      </c>
      <c r="K27" s="50">
        <f>+[12]Resultado!C27</f>
        <v/>
      </c>
      <c r="L27" s="50" t="n">
        <v>0</v>
      </c>
      <c r="M27" s="50">
        <f>+'[14]Resultado$'!$AC$27</f>
        <v/>
      </c>
      <c r="N27" s="96" t="n"/>
      <c r="O27" s="50" t="n">
        <v>0</v>
      </c>
      <c r="P27" s="50" t="n">
        <v>0</v>
      </c>
      <c r="Q27" s="50" t="n">
        <v>0</v>
      </c>
      <c r="R27" s="50" t="n">
        <v>0</v>
      </c>
      <c r="S27" s="50" t="n">
        <v>0</v>
      </c>
      <c r="T27" s="50" t="n">
        <v>0</v>
      </c>
      <c r="U27" s="50" t="n">
        <v>0</v>
      </c>
      <c r="V27" s="50" t="n">
        <v>0</v>
      </c>
      <c r="W27" s="50" t="n">
        <v>0</v>
      </c>
      <c r="X27" s="96" t="n"/>
      <c r="Y27" s="50">
        <f>SUM(C27:W27)</f>
        <v/>
      </c>
    </row>
    <row r="28">
      <c r="A28" s="61" t="n"/>
      <c r="B28" s="62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96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96" t="n"/>
      <c r="Y28" s="50" t="n"/>
    </row>
    <row r="29">
      <c r="A29" s="53" t="inlineStr">
        <is>
          <t>Ganancia (perdida) antes de impuestos</t>
        </is>
      </c>
      <c r="B29" s="54" t="n"/>
      <c r="C29" s="55">
        <f>SUM(C13:C28)</f>
        <v/>
      </c>
      <c r="D29" s="55">
        <f>SUM(D13:D28)</f>
        <v/>
      </c>
      <c r="E29" s="55">
        <f>SUM(E13:E28)</f>
        <v/>
      </c>
      <c r="F29" s="55">
        <f>SUM(F13:F28)</f>
        <v/>
      </c>
      <c r="G29" s="55">
        <f>SUM(G13:G28)</f>
        <v/>
      </c>
      <c r="H29" s="55">
        <f>SUM(H13:H28)</f>
        <v/>
      </c>
      <c r="I29" s="55">
        <f>SUM(I13:I28)</f>
        <v/>
      </c>
      <c r="J29" s="55">
        <f>SUM(J13:J28)</f>
        <v/>
      </c>
      <c r="K29" s="55">
        <f>SUM(K13:K28)</f>
        <v/>
      </c>
      <c r="L29" s="55">
        <f>SUM(L13:L28)</f>
        <v/>
      </c>
      <c r="M29" s="55">
        <f>SUM(M13:M28)</f>
        <v/>
      </c>
      <c r="N29" s="97" t="n"/>
      <c r="O29" s="55">
        <f>SUM(O13:O28)</f>
        <v/>
      </c>
      <c r="P29" s="55">
        <f>SUM(P13:P28)</f>
        <v/>
      </c>
      <c r="Q29" s="55">
        <f>SUM(Q13:Q28)</f>
        <v/>
      </c>
      <c r="R29" s="55">
        <f>SUM(R13:R28)</f>
        <v/>
      </c>
      <c r="S29" s="55">
        <f>SUM(S13:S28)</f>
        <v/>
      </c>
      <c r="T29" s="55">
        <f>SUM(T13:T28)</f>
        <v/>
      </c>
      <c r="U29" s="55">
        <f>SUM(U13:U28)</f>
        <v/>
      </c>
      <c r="V29" s="55">
        <f>SUM(V13:V28)</f>
        <v/>
      </c>
      <c r="W29" s="55">
        <f>SUM(W13:W28)</f>
        <v/>
      </c>
      <c r="X29" s="97" t="n"/>
      <c r="Y29" s="55">
        <f>SUM(Y13:Y28)</f>
        <v/>
      </c>
    </row>
    <row r="30">
      <c r="A30" s="61" t="n"/>
      <c r="B30" s="62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96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96" t="n"/>
      <c r="Y30" s="50" t="n"/>
    </row>
    <row r="31">
      <c r="A31" s="48" t="inlineStr">
        <is>
          <t>Gasto por impuestos a las ganancias</t>
        </is>
      </c>
      <c r="B31" s="49" t="n"/>
      <c r="C31" s="50">
        <f>+[6]Resultado!$C$39</f>
        <v/>
      </c>
      <c r="D31" s="50">
        <f>+[7]Resultado!C31</f>
        <v/>
      </c>
      <c r="E31" s="50">
        <f>+[15]Resultado!Y31</f>
        <v/>
      </c>
      <c r="F31" s="50" t="n">
        <v>0</v>
      </c>
      <c r="G31" s="50">
        <f>+[9]Resultado!$C$31</f>
        <v/>
      </c>
      <c r="H31" s="50">
        <f>+[10]Resultado!$Y$31</f>
        <v/>
      </c>
      <c r="I31" s="50">
        <f>+[11]Resultado!C31</f>
        <v/>
      </c>
      <c r="J31" s="50" t="n">
        <v>0</v>
      </c>
      <c r="K31" s="50">
        <f>+[12]Resultado!C31</f>
        <v/>
      </c>
      <c r="L31" s="50" t="n">
        <v>0</v>
      </c>
      <c r="M31" s="50">
        <f>+'[14]Resultado$'!$AC$31</f>
        <v/>
      </c>
      <c r="N31" s="96" t="n"/>
      <c r="O31" s="50" t="n">
        <v>0</v>
      </c>
      <c r="P31" s="50" t="n">
        <v>0</v>
      </c>
      <c r="Q31" s="50" t="n">
        <v>0</v>
      </c>
      <c r="R31" s="50" t="n">
        <v>0</v>
      </c>
      <c r="S31" s="50" t="n">
        <v>0</v>
      </c>
      <c r="T31" s="50" t="n">
        <v>0</v>
      </c>
      <c r="U31" s="50" t="n">
        <v>0</v>
      </c>
      <c r="V31" s="50" t="n">
        <v>0</v>
      </c>
      <c r="W31" s="50" t="n">
        <v>0</v>
      </c>
      <c r="X31" s="96" t="n"/>
      <c r="Y31" s="50">
        <f>SUM(C31:W31)</f>
        <v/>
      </c>
    </row>
    <row r="32">
      <c r="A32" s="51" t="n"/>
      <c r="B32" s="52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96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96" t="n"/>
      <c r="Y32" s="50" t="n"/>
    </row>
    <row r="33">
      <c r="A33" s="53" t="inlineStr">
        <is>
          <t>Ganancia (perdida)</t>
        </is>
      </c>
      <c r="B33" s="54" t="n"/>
      <c r="C33" s="55">
        <f>+C29+C31</f>
        <v/>
      </c>
      <c r="D33" s="55">
        <f>+D29+D31</f>
        <v/>
      </c>
      <c r="E33" s="55">
        <f>+E29+E31</f>
        <v/>
      </c>
      <c r="F33" s="55">
        <f>+F29+F31</f>
        <v/>
      </c>
      <c r="G33" s="55">
        <f>+G29+G31</f>
        <v/>
      </c>
      <c r="H33" s="55">
        <f>+H29+H31</f>
        <v/>
      </c>
      <c r="I33" s="55">
        <f>+I29+I31</f>
        <v/>
      </c>
      <c r="J33" s="55">
        <f>+J29+J31</f>
        <v/>
      </c>
      <c r="K33" s="55">
        <f>+K29+K31</f>
        <v/>
      </c>
      <c r="L33" s="55">
        <f>+L29+L31</f>
        <v/>
      </c>
      <c r="M33" s="55">
        <f>+M29+M31</f>
        <v/>
      </c>
      <c r="N33" s="55" t="n"/>
      <c r="O33" s="55">
        <f>+O29+O31</f>
        <v/>
      </c>
      <c r="P33" s="55">
        <f>+P29+P31</f>
        <v/>
      </c>
      <c r="Q33" s="55">
        <f>+Q29+Q31</f>
        <v/>
      </c>
      <c r="R33" s="55">
        <f>+R29+R31</f>
        <v/>
      </c>
      <c r="S33" s="55">
        <f>+S29+S31</f>
        <v/>
      </c>
      <c r="T33" s="55">
        <f>+T29+T31</f>
        <v/>
      </c>
      <c r="U33" s="55">
        <f>+U29+U31</f>
        <v/>
      </c>
      <c r="V33" s="55">
        <f>+V29+V31</f>
        <v/>
      </c>
      <c r="W33" s="55">
        <f>+W29+W31</f>
        <v/>
      </c>
      <c r="X33" s="55" t="n"/>
      <c r="Y33" s="55">
        <f>+Y29+Y31</f>
        <v/>
      </c>
    </row>
    <row r="34">
      <c r="A34" s="63" t="n"/>
      <c r="B34" s="54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98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98" t="n"/>
      <c r="Y34" s="64" t="n"/>
    </row>
    <row r="35">
      <c r="A35" s="65" t="inlineStr">
        <is>
          <t>Ganancia (perdida) atribuible a los propietarios de la controladora</t>
        </is>
      </c>
      <c r="B35" s="54" t="n"/>
      <c r="C35" s="66">
        <f>+C33</f>
        <v/>
      </c>
      <c r="D35" s="50">
        <f>+D33</f>
        <v/>
      </c>
      <c r="E35" s="50">
        <f>+[15]Resultado!Y35</f>
        <v/>
      </c>
      <c r="F35" s="50" t="n">
        <v>0</v>
      </c>
      <c r="G35" s="50">
        <f>+[9]Resultado!$C$33</f>
        <v/>
      </c>
      <c r="H35" s="50">
        <f>+[10]Resultado!$Y$35</f>
        <v/>
      </c>
      <c r="I35" s="50">
        <f>+I33</f>
        <v/>
      </c>
      <c r="J35" s="50" t="n">
        <v>0</v>
      </c>
      <c r="K35" s="50">
        <f>+K33</f>
        <v/>
      </c>
      <c r="L35" s="50" t="n">
        <v>0</v>
      </c>
      <c r="M35" s="50">
        <f>+'[14]Resultado$'!$AC$35</f>
        <v/>
      </c>
      <c r="N35" s="99" t="n"/>
      <c r="O35" s="50" t="n">
        <v>0</v>
      </c>
      <c r="P35" s="50">
        <f>-D35</f>
        <v/>
      </c>
      <c r="Q35" s="50">
        <f>-E35</f>
        <v/>
      </c>
      <c r="R35" s="50">
        <f>-F35</f>
        <v/>
      </c>
      <c r="S35" s="50">
        <f>-G35</f>
        <v/>
      </c>
      <c r="T35" s="50">
        <f>-H35</f>
        <v/>
      </c>
      <c r="U35" s="50">
        <f>-I35</f>
        <v/>
      </c>
      <c r="V35" s="50">
        <f>-K35</f>
        <v/>
      </c>
      <c r="W35" s="50">
        <f>-M35</f>
        <v/>
      </c>
      <c r="X35" s="99" t="n"/>
      <c r="Y35" s="50">
        <f>SUM(C35:W35)</f>
        <v/>
      </c>
      <c r="AB35" s="36">
        <f>+[5]Resultado!$AG$35</f>
        <v/>
      </c>
    </row>
    <row r="36" ht="15" customHeight="1">
      <c r="A36" s="63" t="n"/>
      <c r="B36" s="54" t="n"/>
      <c r="C36" s="64" t="n"/>
      <c r="D36" s="64" t="n"/>
      <c r="E36" s="64" t="n"/>
      <c r="F36" s="64" t="n"/>
      <c r="G36" s="64" t="n"/>
      <c r="H36" s="64" t="n">
        <v>0</v>
      </c>
      <c r="I36" s="64" t="n"/>
      <c r="J36" s="64" t="n">
        <v>0</v>
      </c>
      <c r="K36" s="64" t="n"/>
      <c r="L36" s="64" t="n">
        <v>0</v>
      </c>
      <c r="M36" s="64" t="n"/>
      <c r="N36" s="98" t="n"/>
      <c r="O36" s="47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98" t="n"/>
      <c r="Y36" s="64" t="n"/>
      <c r="Z36" s="108" t="inlineStr">
        <is>
          <t>Cine y color Internacional</t>
        </is>
      </c>
      <c r="AA36" s="109" t="n"/>
      <c r="AB36" s="110">
        <f>+[5]Resultado!$AG$36</f>
        <v/>
      </c>
      <c r="AC36" s="103" t="inlineStr">
        <is>
          <t>Labocine Prod</t>
        </is>
      </c>
      <c r="AD36" s="109">
        <f>+'[4]Resultado$'!$AD$36</f>
        <v/>
      </c>
      <c r="AE36" s="109" t="n"/>
      <c r="AF36" s="109" t="n"/>
      <c r="AG36" s="110" t="n"/>
      <c r="AH36" s="103" t="n"/>
      <c r="AI36" s="103" t="n"/>
      <c r="AJ36" s="103" t="n"/>
      <c r="AK36" s="103" t="inlineStr">
        <is>
          <t>TOTAL</t>
        </is>
      </c>
    </row>
    <row r="37">
      <c r="A37" s="65" t="inlineStr">
        <is>
          <t>Ganancia (perdida) atribuible a participaciones no controladoras</t>
        </is>
      </c>
      <c r="B37" s="54" t="n"/>
      <c r="C37" s="50" t="n">
        <v>0</v>
      </c>
      <c r="D37" s="50" t="n">
        <v>0</v>
      </c>
      <c r="E37" s="50">
        <f>+[15]Resultado!Y37</f>
        <v/>
      </c>
      <c r="F37" s="50" t="n">
        <v>0</v>
      </c>
      <c r="G37" s="50">
        <f>+[2]Resultado!Y37</f>
        <v/>
      </c>
      <c r="H37" s="50">
        <f>+[10]Resultado!$Y$37</f>
        <v/>
      </c>
      <c r="I37" s="50" t="n">
        <v>0</v>
      </c>
      <c r="J37" s="50" t="n">
        <v>0</v>
      </c>
      <c r="K37" s="50" t="n">
        <v>0</v>
      </c>
      <c r="L37" s="50" t="n">
        <v>0</v>
      </c>
      <c r="M37" s="50">
        <f>+'[14]Resultado$'!$AC$37</f>
        <v/>
      </c>
      <c r="N37" s="98" t="n"/>
      <c r="O37" s="50" t="n">
        <v>0</v>
      </c>
      <c r="P37" s="58" t="n"/>
      <c r="Q37" s="58">
        <f>-[15]Resultado!$AH$37</f>
        <v/>
      </c>
      <c r="R37" s="58" t="n"/>
      <c r="S37" s="58" t="n"/>
      <c r="T37" s="58">
        <f>-H37+H58</f>
        <v/>
      </c>
      <c r="U37" s="58" t="n"/>
      <c r="V37" s="58" t="n"/>
      <c r="W37" s="58">
        <f>-M37+'[14]Resultado$'!$AD$37</f>
        <v/>
      </c>
      <c r="X37" s="98" t="n"/>
      <c r="Y37" s="50">
        <f>SUM(C37:W37)</f>
        <v/>
      </c>
      <c r="Z37" s="111">
        <f>+H58</f>
        <v/>
      </c>
      <c r="AA37" s="112" t="n"/>
      <c r="AB37" s="113">
        <f>+[15]Resultado!$AG$37</f>
        <v/>
      </c>
      <c r="AC37" s="113">
        <f>+[5]Resultado!$AD$37</f>
        <v/>
      </c>
      <c r="AD37" s="113">
        <f>+'[13]Resultado$'!$AD$37</f>
        <v/>
      </c>
      <c r="AE37" s="112" t="n"/>
      <c r="AF37" s="112" t="n"/>
      <c r="AG37" s="112" t="n"/>
      <c r="AH37" s="111" t="n"/>
      <c r="AI37" s="111" t="n"/>
      <c r="AJ37" s="111" t="n"/>
      <c r="AK37" s="349">
        <f>SUM(Z37:AJ37)</f>
        <v/>
      </c>
      <c r="AL37" s="115">
        <f>+Y37-AK37</f>
        <v/>
      </c>
    </row>
    <row r="38">
      <c r="A38" s="63" t="n"/>
      <c r="B38" s="54" t="n"/>
      <c r="C38" s="64" t="n"/>
      <c r="D38" s="64" t="n"/>
      <c r="E38" s="64" t="n"/>
      <c r="F38" s="64" t="n"/>
      <c r="G38" s="64" t="inlineStr">
        <is>
          <t>}</t>
        </is>
      </c>
      <c r="H38" s="64" t="n"/>
      <c r="I38" s="64" t="n"/>
      <c r="J38" s="64" t="n"/>
      <c r="K38" s="64" t="n"/>
      <c r="L38" s="64" t="n"/>
      <c r="M38" s="64" t="n"/>
      <c r="N38" s="98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98" t="n"/>
      <c r="Y38" s="64" t="n"/>
    </row>
    <row r="39">
      <c r="A39" s="53" t="inlineStr">
        <is>
          <t>Ganancia (perdida)</t>
        </is>
      </c>
      <c r="B39" s="54" t="n"/>
      <c r="C39" s="67">
        <f>+C35+C37</f>
        <v/>
      </c>
      <c r="D39" s="67">
        <f>+D35+D37</f>
        <v/>
      </c>
      <c r="E39" s="67">
        <f>+E35+E37</f>
        <v/>
      </c>
      <c r="F39" s="67">
        <f>+F35+F37</f>
        <v/>
      </c>
      <c r="G39" s="67">
        <f>+G35+G37</f>
        <v/>
      </c>
      <c r="H39" s="67">
        <f>+H35+H37</f>
        <v/>
      </c>
      <c r="I39" s="67">
        <f>+I35+I37</f>
        <v/>
      </c>
      <c r="J39" s="67">
        <f>+J35+J37</f>
        <v/>
      </c>
      <c r="K39" s="67">
        <f>+K35+K37</f>
        <v/>
      </c>
      <c r="L39" s="67">
        <f>+L35+L37</f>
        <v/>
      </c>
      <c r="M39" s="67">
        <f>+M35+M37</f>
        <v/>
      </c>
      <c r="N39" s="67">
        <f>+N35+N37</f>
        <v/>
      </c>
      <c r="O39" s="67">
        <f>+O35+O37</f>
        <v/>
      </c>
      <c r="P39" s="67">
        <f>+P35+P37</f>
        <v/>
      </c>
      <c r="Q39" s="67">
        <f>+Q35+Q37</f>
        <v/>
      </c>
      <c r="R39" s="67">
        <f>+R35+R37</f>
        <v/>
      </c>
      <c r="S39" s="67">
        <f>+S35+S37</f>
        <v/>
      </c>
      <c r="T39" s="67">
        <f>+T35+T37</f>
        <v/>
      </c>
      <c r="U39" s="67">
        <f>+U35+U37</f>
        <v/>
      </c>
      <c r="V39" s="67">
        <f>+V35+V37</f>
        <v/>
      </c>
      <c r="W39" s="67">
        <f>+W35+W37</f>
        <v/>
      </c>
      <c r="X39" s="98" t="n"/>
      <c r="Y39" s="67">
        <f>+Y35+Y37</f>
        <v/>
      </c>
    </row>
    <row r="40">
      <c r="A40" s="63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</row>
    <row r="41">
      <c r="A41" s="68" t="inlineStr">
        <is>
          <t>Porcentaje de Participacion</t>
        </is>
      </c>
      <c r="B41" s="69" t="n"/>
      <c r="C41" s="47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35">
        <f>+Y33-Y39</f>
        <v/>
      </c>
    </row>
    <row r="42" ht="12" customHeight="1">
      <c r="A42" s="70" t="inlineStr">
        <is>
          <t>Porcentaje de Participacion propietarios de la controladora</t>
        </is>
      </c>
      <c r="C42" s="71" t="n"/>
      <c r="D42" s="350" t="n">
        <v>0.9954499999999999</v>
      </c>
      <c r="E42" s="350" t="n">
        <v>1</v>
      </c>
      <c r="F42" s="350" t="n">
        <v>0</v>
      </c>
      <c r="G42" s="350" t="n">
        <v>0.8687</v>
      </c>
      <c r="H42" s="350" t="n">
        <v>0.89997</v>
      </c>
      <c r="I42" s="338" t="n">
        <v>0.999</v>
      </c>
      <c r="J42" s="338" t="n">
        <v>0</v>
      </c>
      <c r="K42" s="338" t="n">
        <v>0.99</v>
      </c>
      <c r="L42" s="338" t="n">
        <v>0.99</v>
      </c>
      <c r="M42" s="338" t="n">
        <v>1</v>
      </c>
      <c r="N42" s="338" t="n">
        <v>0.99</v>
      </c>
    </row>
    <row r="43" ht="12" customHeight="1">
      <c r="A43" s="70" t="inlineStr">
        <is>
          <t>Porcentaje de Participacion no controladora</t>
        </is>
      </c>
      <c r="C43" s="71" t="n"/>
      <c r="D43" s="350" t="n">
        <v>0.00455</v>
      </c>
      <c r="E43" s="350" t="n">
        <v>0</v>
      </c>
      <c r="F43" s="350" t="n">
        <v>0</v>
      </c>
      <c r="G43" s="350" t="n">
        <v>0.1313</v>
      </c>
      <c r="H43" s="350" t="n">
        <v>0.10003</v>
      </c>
      <c r="I43" s="338" t="n">
        <v>0.001</v>
      </c>
      <c r="J43" s="338" t="n">
        <v>0</v>
      </c>
      <c r="K43" s="338" t="n">
        <v>0.01</v>
      </c>
      <c r="L43" s="338" t="n">
        <v>0.01</v>
      </c>
      <c r="M43" s="338" t="n">
        <v>0</v>
      </c>
      <c r="N43" s="338" t="n">
        <v>0.01</v>
      </c>
    </row>
    <row r="44">
      <c r="A44" s="51" t="inlineStr">
        <is>
          <t>TOTAL</t>
        </is>
      </c>
      <c r="B44" s="73" t="n"/>
      <c r="C44" s="351" t="n"/>
      <c r="D44" s="351">
        <f>+D42+D43</f>
        <v/>
      </c>
      <c r="E44" s="351">
        <f>+E42+E43</f>
        <v/>
      </c>
      <c r="F44" s="351">
        <f>+F42+F43</f>
        <v/>
      </c>
      <c r="G44" s="351">
        <f>+G42+G43</f>
        <v/>
      </c>
      <c r="H44" s="351">
        <f>+H42+H43</f>
        <v/>
      </c>
      <c r="I44" s="351">
        <f>+I42+I43</f>
        <v/>
      </c>
      <c r="J44" s="351">
        <f>+J42+J43</f>
        <v/>
      </c>
      <c r="K44" s="351">
        <f>+K42+K43</f>
        <v/>
      </c>
      <c r="L44" s="351">
        <f>+L42+L43</f>
        <v/>
      </c>
      <c r="M44" s="351">
        <f>+M42+M43</f>
        <v/>
      </c>
      <c r="N44" s="351">
        <f>+N42+N43</f>
        <v/>
      </c>
    </row>
    <row r="45">
      <c r="A45" s="68" t="inlineStr">
        <is>
          <t>Valores de Participacion</t>
        </is>
      </c>
    </row>
    <row r="46">
      <c r="A46" s="68" t="inlineStr">
        <is>
          <t>Valores de Participacion propietarios de la controladora</t>
        </is>
      </c>
      <c r="B46" s="75" t="n"/>
      <c r="C46" s="76" t="n"/>
      <c r="D46" s="77">
        <f>+ROUND(D35*D42,0)</f>
        <v/>
      </c>
      <c r="E46" s="77">
        <f>+ROUND(E35*E42,0)</f>
        <v/>
      </c>
      <c r="F46" s="77">
        <f>+ROUND(F35*F42,0)</f>
        <v/>
      </c>
      <c r="G46" s="77">
        <f>+ROUND(G35*G42,0)</f>
        <v/>
      </c>
      <c r="H46" s="77">
        <f>+ROUND(H35*H42,0)</f>
        <v/>
      </c>
      <c r="I46" s="77">
        <f>+ROUND(I35*I42,0)</f>
        <v/>
      </c>
      <c r="J46" s="77">
        <f>+ROUND(J35*J42,0)</f>
        <v/>
      </c>
      <c r="K46" s="77">
        <f>+ROUND(K35*K42,0)</f>
        <v/>
      </c>
      <c r="L46" s="77">
        <f>+ROUND(L35*L42,0)</f>
        <v/>
      </c>
      <c r="M46" s="77">
        <f>+ROUND(M35*M42,0)</f>
        <v/>
      </c>
      <c r="O46" s="47">
        <f>SUM(D46:M46)</f>
        <v/>
      </c>
      <c r="P46" s="47">
        <f>+C19</f>
        <v/>
      </c>
      <c r="Q46" s="47">
        <f>+O46-P46</f>
        <v/>
      </c>
      <c r="Y46" s="47" t="n"/>
    </row>
    <row r="47">
      <c r="A47" s="68" t="inlineStr">
        <is>
          <t>Valores de Participacion no controladora</t>
        </is>
      </c>
      <c r="B47" s="75" t="n"/>
      <c r="C47" s="78" t="n"/>
      <c r="D47" s="78">
        <f>+D35-D46</f>
        <v/>
      </c>
      <c r="E47" s="78">
        <f>+E35-E46</f>
        <v/>
      </c>
      <c r="F47" s="79">
        <f>+F35-F46</f>
        <v/>
      </c>
      <c r="G47" s="78">
        <f>+G35-G46</f>
        <v/>
      </c>
      <c r="H47" s="78">
        <f>+H35-H46</f>
        <v/>
      </c>
      <c r="I47" s="78">
        <f>+I35-I46</f>
        <v/>
      </c>
      <c r="J47" s="78">
        <f>+J35-J46</f>
        <v/>
      </c>
      <c r="K47" s="78">
        <f>+K35-K46</f>
        <v/>
      </c>
      <c r="L47" s="78">
        <f>+L35-L46</f>
        <v/>
      </c>
      <c r="M47" s="78">
        <f>+M35-M46</f>
        <v/>
      </c>
      <c r="O47" s="47">
        <f>SUM(D47:M47)</f>
        <v/>
      </c>
      <c r="P47" s="47">
        <f>+O54</f>
        <v/>
      </c>
      <c r="Y47" s="47" t="n"/>
    </row>
    <row r="48">
      <c r="A48" s="48" t="inlineStr">
        <is>
          <t>TOTAL</t>
        </is>
      </c>
      <c r="B48" s="80" t="n"/>
      <c r="C48" s="81" t="n"/>
      <c r="D48" s="82">
        <f>+D46+D47</f>
        <v/>
      </c>
      <c r="E48" s="82">
        <f>+E46+E47</f>
        <v/>
      </c>
      <c r="F48" s="82">
        <f>+F46+F47</f>
        <v/>
      </c>
      <c r="G48" s="82">
        <f>+G46+G47</f>
        <v/>
      </c>
      <c r="H48" s="82">
        <f>+H46+H47</f>
        <v/>
      </c>
      <c r="I48" s="82">
        <f>+I46+I47</f>
        <v/>
      </c>
      <c r="J48" s="82">
        <f>+J46+J47</f>
        <v/>
      </c>
      <c r="K48" s="82">
        <f>+K46+K47</f>
        <v/>
      </c>
      <c r="L48" s="82">
        <f>+L46+L47</f>
        <v/>
      </c>
      <c r="M48" s="82">
        <f>+M46+M47</f>
        <v/>
      </c>
      <c r="N48" s="82">
        <f>+N46+N47</f>
        <v/>
      </c>
      <c r="O48" s="81">
        <f>+O46+O47</f>
        <v/>
      </c>
      <c r="P48" s="47">
        <f>+O19</f>
        <v/>
      </c>
      <c r="Q48" s="47" t="n"/>
    </row>
    <row r="49"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</row>
    <row r="50">
      <c r="A50" s="68" t="inlineStr">
        <is>
          <t>Valores de Participacion segun contabilidad</t>
        </is>
      </c>
      <c r="D50" s="82">
        <f>+'[19]6220001 Utilidades empresas rel'!$N$13</f>
        <v/>
      </c>
      <c r="E50" s="82">
        <f>-'[20]5220001 Perdidas empresas relac'!$M$13</f>
        <v/>
      </c>
      <c r="F50" s="82" t="n">
        <v>0</v>
      </c>
      <c r="G50" s="82">
        <f>+'[19]6220001 Utilidades empresas rel'!$N$14</f>
        <v/>
      </c>
      <c r="H50" s="82">
        <f>+'[19]6220001 Utilidades empresas rel'!$N$15</f>
        <v/>
      </c>
      <c r="I50" s="82">
        <f>-'[20]5220001 Perdidas empresas relac'!$M$12</f>
        <v/>
      </c>
      <c r="J50" s="82" t="n">
        <v>0</v>
      </c>
      <c r="K50" s="82">
        <f>+'[19]6220001 Utilidades empresas rel'!$N$12</f>
        <v/>
      </c>
      <c r="L50" s="82" t="n">
        <v>0</v>
      </c>
      <c r="M50" s="82">
        <f>-'[20]5220001 Perdidas empresas relac'!$M$14</f>
        <v/>
      </c>
      <c r="O50" s="47">
        <f>SUM(D50:M50)</f>
        <v/>
      </c>
      <c r="P50" s="47">
        <f>+C19</f>
        <v/>
      </c>
      <c r="Q50" s="47">
        <f>+P50-O50</f>
        <v/>
      </c>
      <c r="S50" s="347" t="n"/>
      <c r="T50" s="47" t="n"/>
    </row>
    <row r="51"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</row>
    <row r="52">
      <c r="A52" s="68" t="inlineStr">
        <is>
          <t>Diferencias de Participacion segun contabilidad</t>
        </is>
      </c>
      <c r="D52" s="82">
        <f>+D50-D46</f>
        <v/>
      </c>
      <c r="E52" s="82">
        <f>+E50-E46</f>
        <v/>
      </c>
      <c r="F52" s="82">
        <f>+F50-F46</f>
        <v/>
      </c>
      <c r="G52" s="82">
        <f>+G50-G46</f>
        <v/>
      </c>
      <c r="H52" s="82">
        <f>+H50-H46</f>
        <v/>
      </c>
      <c r="I52" s="82">
        <f>+I50-I46</f>
        <v/>
      </c>
      <c r="J52" s="82">
        <f>+J50-J46</f>
        <v/>
      </c>
      <c r="K52" s="82">
        <f>+K50-K46</f>
        <v/>
      </c>
      <c r="L52" s="82">
        <f>+L50-L46</f>
        <v/>
      </c>
      <c r="M52" s="82">
        <f>+M50-M46</f>
        <v/>
      </c>
      <c r="O52" s="47">
        <f>SUM(D52:M52)</f>
        <v/>
      </c>
      <c r="Q52" s="47">
        <f>+Q46+Q50</f>
        <v/>
      </c>
      <c r="R52" s="47" t="n"/>
    </row>
    <row r="54">
      <c r="D54" s="47">
        <f>+[15]Resultado!$AG$20</f>
        <v/>
      </c>
      <c r="G54" s="47">
        <f>+[15]Resultado!$Z$20</f>
        <v/>
      </c>
      <c r="H54" s="34" t="n">
        <v>0</v>
      </c>
      <c r="I54" s="47">
        <f>+[15]Resultado!$AD$20</f>
        <v/>
      </c>
      <c r="K54" s="47">
        <f>+[15]Resultado!$AE$20</f>
        <v/>
      </c>
      <c r="O54" s="47">
        <f>SUM(D54:L54)</f>
        <v/>
      </c>
      <c r="P54" s="47" t="n"/>
      <c r="Q54" s="47" t="n"/>
    </row>
    <row r="55">
      <c r="O55" s="47" t="n"/>
    </row>
    <row r="56">
      <c r="D56" s="47">
        <f>+D47-D54</f>
        <v/>
      </c>
      <c r="E56" s="47">
        <f>+E47-E54</f>
        <v/>
      </c>
      <c r="F56" s="47">
        <f>+F47-F54</f>
        <v/>
      </c>
      <c r="G56" s="47">
        <f>+G47-G54</f>
        <v/>
      </c>
      <c r="H56" s="47" t="n">
        <v>0</v>
      </c>
      <c r="I56" s="47">
        <f>+I47-I54</f>
        <v/>
      </c>
      <c r="J56" s="47">
        <f>+J47-J54</f>
        <v/>
      </c>
      <c r="K56" s="47">
        <f>+K47-K54</f>
        <v/>
      </c>
      <c r="O56" s="47">
        <f>SUM(D56:N56)</f>
        <v/>
      </c>
      <c r="Q56" s="47" t="n"/>
    </row>
    <row r="57">
      <c r="O57" s="47" t="n"/>
      <c r="Q57" s="47" t="n"/>
    </row>
    <row r="58">
      <c r="G58" s="34" t="inlineStr">
        <is>
          <t>Cine y color Internc, Mex.</t>
        </is>
      </c>
      <c r="H58" s="346">
        <f>+H35*9.504%</f>
        <v/>
      </c>
    </row>
    <row r="59">
      <c r="G59" s="34" t="inlineStr">
        <is>
          <t>Aud. Colomb</t>
        </is>
      </c>
      <c r="H59" s="346">
        <f>+H35*0.496%</f>
        <v/>
      </c>
    </row>
    <row r="60">
      <c r="G60" s="34" t="inlineStr">
        <is>
          <t>Conate</t>
        </is>
      </c>
      <c r="H60" s="346">
        <f>+H35*0.003%</f>
        <v/>
      </c>
    </row>
    <row r="61">
      <c r="G61" s="34" t="inlineStr">
        <is>
          <t>Chilefilms</t>
        </is>
      </c>
      <c r="H61" s="347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2" min="7" max="7"/>
    <col width="10.7238095238095" customWidth="1" style="352" min="8" max="8"/>
    <col width="14.6285714285714" customWidth="1" style="352" min="9" max="9"/>
    <col width="10.7238095238095" customWidth="1" style="352" min="10" max="10"/>
    <col width="16.9047619047619" customWidth="1" style="352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3" t="inlineStr">
        <is>
          <t>Monto Afecto</t>
        </is>
      </c>
      <c r="H1" s="353" t="inlineStr">
        <is>
          <t>Monto Exento</t>
        </is>
      </c>
      <c r="I1" s="353" t="inlineStr">
        <is>
          <t>Impuesto (IVA)</t>
        </is>
      </c>
      <c r="J1" s="353" t="inlineStr">
        <is>
          <t>Otros Impuestos</t>
        </is>
      </c>
      <c r="K1" s="353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2" t="n">
        <v>40000</v>
      </c>
      <c r="H2" s="352" t="n">
        <v>0</v>
      </c>
      <c r="I2" s="352" t="n">
        <v>7600</v>
      </c>
      <c r="J2" s="352" t="n">
        <v>0</v>
      </c>
      <c r="K2" s="352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2" t="n">
        <v>125832</v>
      </c>
      <c r="H3" s="352" t="n">
        <v>0</v>
      </c>
      <c r="I3" s="352" t="n">
        <v>23908</v>
      </c>
      <c r="J3" s="352" t="n">
        <v>0</v>
      </c>
      <c r="K3" s="352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2" t="n">
        <v>127278</v>
      </c>
      <c r="H4" s="352" t="n">
        <v>0</v>
      </c>
      <c r="I4" s="352" t="n">
        <v>24183</v>
      </c>
      <c r="J4" s="352" t="n">
        <v>0</v>
      </c>
      <c r="K4" s="352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2" t="n">
        <v>3186188</v>
      </c>
      <c r="H5" s="352" t="n">
        <v>0</v>
      </c>
      <c r="I5" s="352" t="n">
        <v>605376</v>
      </c>
      <c r="J5" s="352" t="n">
        <v>0</v>
      </c>
      <c r="K5" s="352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2" t="n">
        <v>7137060</v>
      </c>
      <c r="H6" s="352" t="n">
        <v>0</v>
      </c>
      <c r="I6" s="352" t="n">
        <v>1356041</v>
      </c>
      <c r="J6" s="352" t="n">
        <v>0</v>
      </c>
      <c r="K6" s="352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3186188</v>
      </c>
      <c r="H7" s="352" t="n">
        <v>0</v>
      </c>
      <c r="I7" s="352" t="n">
        <v>605376</v>
      </c>
      <c r="J7" s="352" t="n">
        <v>0</v>
      </c>
      <c r="K7" s="352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7137060</v>
      </c>
      <c r="H8" s="352" t="n">
        <v>0</v>
      </c>
      <c r="I8" s="352" t="n">
        <v>1356041</v>
      </c>
      <c r="J8" s="352" t="n">
        <v>0</v>
      </c>
      <c r="K8" s="352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859069</v>
      </c>
      <c r="H9" s="352" t="n">
        <v>0</v>
      </c>
      <c r="I9" s="352" t="n">
        <v>163223</v>
      </c>
      <c r="J9" s="352" t="n">
        <v>0</v>
      </c>
      <c r="K9" s="352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756898</v>
      </c>
      <c r="H10" s="352" t="n">
        <v>0</v>
      </c>
      <c r="I10" s="352" t="n">
        <v>143811</v>
      </c>
      <c r="J10" s="352" t="n">
        <v>0</v>
      </c>
      <c r="K10" s="352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102171</v>
      </c>
      <c r="H11" s="352" t="n">
        <v>0</v>
      </c>
      <c r="I11" s="352" t="n">
        <v>19412</v>
      </c>
      <c r="J11" s="352" t="n">
        <v>0</v>
      </c>
      <c r="K11" s="352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2339144</v>
      </c>
      <c r="H12" s="352" t="n">
        <v>0</v>
      </c>
      <c r="I12" s="352" t="n">
        <v>444437</v>
      </c>
      <c r="J12" s="352" t="n">
        <v>0</v>
      </c>
      <c r="K12" s="352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2" t="n">
        <v>350000</v>
      </c>
      <c r="H13" s="352" t="n">
        <v>0</v>
      </c>
      <c r="I13" s="352" t="n">
        <v>66500</v>
      </c>
      <c r="J13" s="352" t="n">
        <v>0</v>
      </c>
      <c r="K13" s="352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2" t="n">
        <v>-859069</v>
      </c>
      <c r="H14" s="352" t="n">
        <v>0</v>
      </c>
      <c r="I14" s="352" t="n">
        <v>-163223</v>
      </c>
      <c r="J14" s="352" t="n">
        <v>0</v>
      </c>
      <c r="K14" s="352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275000</v>
      </c>
      <c r="H16" s="352" t="n">
        <v>0</v>
      </c>
      <c r="I16" s="352" t="n">
        <v>52250</v>
      </c>
      <c r="J16" s="352" t="n">
        <v>0</v>
      </c>
      <c r="K16" s="352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2" t="n">
        <v>3057713</v>
      </c>
      <c r="H17" s="352" t="n">
        <v>0</v>
      </c>
      <c r="I17" s="352" t="n">
        <v>580965</v>
      </c>
      <c r="J17" s="352" t="n">
        <v>0</v>
      </c>
      <c r="K17" s="352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120909</v>
      </c>
      <c r="H18" s="352" t="n">
        <v>0</v>
      </c>
      <c r="I18" s="352" t="n">
        <v>22973</v>
      </c>
      <c r="J18" s="352" t="n">
        <v>0</v>
      </c>
      <c r="K18" s="352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3143634</v>
      </c>
      <c r="H19" s="352" t="n">
        <v>0</v>
      </c>
      <c r="I19" s="352" t="n">
        <v>597290</v>
      </c>
      <c r="J19" s="352" t="n">
        <v>0</v>
      </c>
      <c r="K19" s="352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121518</v>
      </c>
      <c r="H20" s="352" t="n">
        <v>0</v>
      </c>
      <c r="I20" s="352" t="n">
        <v>23088</v>
      </c>
      <c r="J20" s="352" t="n">
        <v>0</v>
      </c>
      <c r="K20" s="352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2" t="n">
        <v>3057713</v>
      </c>
      <c r="H21" s="352" t="n">
        <v>0</v>
      </c>
      <c r="I21" s="352" t="n">
        <v>580965</v>
      </c>
      <c r="J21" s="352" t="n">
        <v>0</v>
      </c>
      <c r="K21" s="352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2901816</v>
      </c>
      <c r="H22" s="352" t="n">
        <v>0</v>
      </c>
      <c r="I22" s="352" t="n">
        <v>551345</v>
      </c>
      <c r="J22" s="352" t="n">
        <v>0</v>
      </c>
      <c r="K22" s="352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2" t="n">
        <v>122309</v>
      </c>
      <c r="H23" s="352" t="n">
        <v>0</v>
      </c>
      <c r="I23" s="352" t="n">
        <v>23239</v>
      </c>
      <c r="J23" s="352" t="n">
        <v>0</v>
      </c>
      <c r="K23" s="352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348471</v>
      </c>
      <c r="H24" s="352" t="n">
        <v>0</v>
      </c>
      <c r="I24" s="352" t="n">
        <v>66209</v>
      </c>
      <c r="J24" s="352" t="n">
        <v>0</v>
      </c>
      <c r="K24" s="352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2365440</v>
      </c>
      <c r="H26" s="352" t="n">
        <v>0</v>
      </c>
      <c r="I26" s="352" t="n">
        <v>449434</v>
      </c>
      <c r="J26" s="352" t="n">
        <v>0</v>
      </c>
      <c r="K26" s="352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2376363</v>
      </c>
      <c r="H27" s="352" t="n">
        <v>0</v>
      </c>
      <c r="I27" s="352" t="n">
        <v>451509</v>
      </c>
      <c r="J27" s="352" t="n">
        <v>0</v>
      </c>
      <c r="K27" s="352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121262</v>
      </c>
      <c r="H28" s="352" t="n">
        <v>0</v>
      </c>
      <c r="I28" s="352" t="n">
        <v>23040</v>
      </c>
      <c r="J28" s="352" t="n">
        <v>0</v>
      </c>
      <c r="K28" s="352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849030</v>
      </c>
      <c r="H29" s="352" t="n">
        <v>0</v>
      </c>
      <c r="I29" s="352" t="n">
        <v>161316</v>
      </c>
      <c r="J29" s="352" t="n">
        <v>0</v>
      </c>
      <c r="K29" s="352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1212900</v>
      </c>
      <c r="H30" s="352" t="n">
        <v>0</v>
      </c>
      <c r="I30" s="352" t="n">
        <v>230451</v>
      </c>
      <c r="J30" s="352" t="n">
        <v>0</v>
      </c>
      <c r="K30" s="352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123837</v>
      </c>
      <c r="H31" s="352" t="n">
        <v>0</v>
      </c>
      <c r="I31" s="352" t="n">
        <v>23529</v>
      </c>
      <c r="J31" s="352" t="n">
        <v>0</v>
      </c>
      <c r="K31" s="352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122255</v>
      </c>
      <c r="H32" s="352" t="n">
        <v>0</v>
      </c>
      <c r="I32" s="352" t="n">
        <v>23228</v>
      </c>
      <c r="J32" s="352" t="n">
        <v>0</v>
      </c>
      <c r="K32" s="352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308801</v>
      </c>
      <c r="H33" s="352" t="n">
        <v>0</v>
      </c>
      <c r="I33" s="352" t="n">
        <v>58672</v>
      </c>
      <c r="J33" s="352" t="n">
        <v>0</v>
      </c>
      <c r="K33" s="352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308801</v>
      </c>
      <c r="H34" s="352" t="n">
        <v>0</v>
      </c>
      <c r="I34" s="352" t="n">
        <v>58672</v>
      </c>
      <c r="J34" s="352" t="n">
        <v>0</v>
      </c>
      <c r="K34" s="352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299151</v>
      </c>
      <c r="H35" s="352" t="n">
        <v>0</v>
      </c>
      <c r="I35" s="352" t="n">
        <v>56839</v>
      </c>
      <c r="J35" s="352" t="n">
        <v>0</v>
      </c>
      <c r="K35" s="352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2" t="n">
        <v>118058</v>
      </c>
      <c r="H36" s="352" t="n">
        <v>0</v>
      </c>
      <c r="I36" s="352" t="n">
        <v>22431</v>
      </c>
      <c r="J36" s="352" t="n">
        <v>0</v>
      </c>
      <c r="K36" s="352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175000</v>
      </c>
      <c r="H37" s="352" t="n">
        <v>0</v>
      </c>
      <c r="I37" s="352" t="n">
        <v>33250</v>
      </c>
      <c r="J37" s="352" t="n">
        <v>0</v>
      </c>
      <c r="K37" s="352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2396640</v>
      </c>
      <c r="H39" s="352" t="n">
        <v>0</v>
      </c>
      <c r="I39" s="352" t="n">
        <v>455362</v>
      </c>
      <c r="J39" s="352" t="n">
        <v>0</v>
      </c>
      <c r="K39" s="352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2" t="n">
        <v>2419301</v>
      </c>
      <c r="H41" s="352" t="n">
        <v>0</v>
      </c>
      <c r="I41" s="352" t="n">
        <v>459667</v>
      </c>
      <c r="J41" s="352" t="n">
        <v>0</v>
      </c>
      <c r="K41" s="352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2" t="n">
        <v>122678</v>
      </c>
      <c r="H42" s="352" t="n">
        <v>0</v>
      </c>
      <c r="I42" s="352" t="n">
        <v>23309</v>
      </c>
      <c r="J42" s="352" t="n">
        <v>0</v>
      </c>
      <c r="K42" s="352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2" t="n">
        <v>1005956</v>
      </c>
      <c r="H43" s="352" t="n">
        <v>0</v>
      </c>
      <c r="I43" s="352" t="n">
        <v>191132</v>
      </c>
      <c r="J43" s="352" t="n">
        <v>0</v>
      </c>
      <c r="K43" s="352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2" t="n">
        <v>122678</v>
      </c>
      <c r="H44" s="352" t="n">
        <v>0</v>
      </c>
      <c r="I44" s="352" t="n">
        <v>23309</v>
      </c>
      <c r="J44" s="352" t="n">
        <v>0</v>
      </c>
      <c r="K44" s="352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2" t="n">
        <v>122678</v>
      </c>
      <c r="H45" s="352" t="n">
        <v>0</v>
      </c>
      <c r="I45" s="352" t="n">
        <v>23309</v>
      </c>
      <c r="J45" s="352" t="n">
        <v>0</v>
      </c>
      <c r="K45" s="352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2" t="n">
        <v>5029778</v>
      </c>
      <c r="H46" s="352" t="n">
        <v>0</v>
      </c>
      <c r="I46" s="352" t="n">
        <v>955658</v>
      </c>
      <c r="J46" s="352" t="n">
        <v>0</v>
      </c>
      <c r="K46" s="352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2" t="n">
        <v>245355</v>
      </c>
      <c r="H47" s="352" t="n">
        <v>0</v>
      </c>
      <c r="I47" s="352" t="n">
        <v>46617</v>
      </c>
      <c r="J47" s="352" t="n">
        <v>0</v>
      </c>
      <c r="K47" s="352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2" t="n">
        <v>981420</v>
      </c>
      <c r="H48" s="352" t="n">
        <v>0</v>
      </c>
      <c r="I48" s="352" t="n">
        <v>186470</v>
      </c>
      <c r="J48" s="352" t="n">
        <v>0</v>
      </c>
      <c r="K48" s="352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2" t="n">
        <v>122678</v>
      </c>
      <c r="H49" s="352" t="n">
        <v>0</v>
      </c>
      <c r="I49" s="352" t="n">
        <v>23309</v>
      </c>
      <c r="J49" s="352" t="n">
        <v>0</v>
      </c>
      <c r="K49" s="352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2" t="n">
        <v>3434970</v>
      </c>
      <c r="H50" s="352" t="n">
        <v>0</v>
      </c>
      <c r="I50" s="352" t="n">
        <v>652644</v>
      </c>
      <c r="J50" s="352" t="n">
        <v>0</v>
      </c>
      <c r="K50" s="352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2" t="n">
        <v>1005956</v>
      </c>
      <c r="H51" s="352" t="n">
        <v>0</v>
      </c>
      <c r="I51" s="352" t="n">
        <v>191132</v>
      </c>
      <c r="J51" s="352" t="n">
        <v>0</v>
      </c>
      <c r="K51" s="352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2" t="n">
        <v>1005956</v>
      </c>
      <c r="H52" s="352" t="n">
        <v>0</v>
      </c>
      <c r="I52" s="352" t="n">
        <v>191132</v>
      </c>
      <c r="J52" s="352" t="n">
        <v>0</v>
      </c>
      <c r="K52" s="352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2" t="n">
        <v>834207</v>
      </c>
      <c r="H53" s="352" t="n">
        <v>0</v>
      </c>
      <c r="I53" s="352" t="n">
        <v>158499</v>
      </c>
      <c r="J53" s="352" t="n">
        <v>0</v>
      </c>
      <c r="K53" s="352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2" t="n">
        <v>834207</v>
      </c>
      <c r="H54" s="352" t="n">
        <v>0</v>
      </c>
      <c r="I54" s="352" t="n">
        <v>158499</v>
      </c>
      <c r="J54" s="352" t="n">
        <v>0</v>
      </c>
      <c r="K54" s="352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2" t="n">
        <v>834207</v>
      </c>
      <c r="H55" s="352" t="n">
        <v>0</v>
      </c>
      <c r="I55" s="352" t="n">
        <v>158499</v>
      </c>
      <c r="J55" s="352" t="n">
        <v>0</v>
      </c>
      <c r="K55" s="352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2" t="n">
        <v>245355</v>
      </c>
      <c r="H56" s="352" t="n">
        <v>0</v>
      </c>
      <c r="I56" s="352" t="n">
        <v>46617</v>
      </c>
      <c r="J56" s="352" t="n">
        <v>0</v>
      </c>
      <c r="K56" s="352" t="n">
        <v>291972</v>
      </c>
      <c r="L56" s="354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2" t="n">
        <v>785136</v>
      </c>
      <c r="H57" s="352" t="n">
        <v>0</v>
      </c>
      <c r="I57" s="352" t="n">
        <v>149176</v>
      </c>
      <c r="J57" s="352" t="n">
        <v>0</v>
      </c>
      <c r="K57" s="352" t="n">
        <v>934312</v>
      </c>
      <c r="L57" s="354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2" t="n">
        <v>40000</v>
      </c>
      <c r="H58" s="352" t="n">
        <v>0</v>
      </c>
      <c r="I58" s="352" t="n">
        <v>7600</v>
      </c>
      <c r="J58" s="352" t="n">
        <v>0</v>
      </c>
      <c r="K58" s="352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2" t="n">
        <v>50000</v>
      </c>
      <c r="H59" s="352" t="n">
        <v>0</v>
      </c>
      <c r="I59" s="352" t="n">
        <v>9500</v>
      </c>
      <c r="J59" s="352" t="n">
        <v>0</v>
      </c>
      <c r="K59" s="352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2" t="n">
        <v>127116</v>
      </c>
      <c r="H60" s="352" t="n">
        <v>0</v>
      </c>
      <c r="I60" s="352" t="n">
        <v>24152</v>
      </c>
      <c r="J60" s="352" t="n">
        <v>0</v>
      </c>
      <c r="K60" s="352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2" t="n">
        <v>4295957</v>
      </c>
      <c r="H61" s="352" t="n">
        <v>0</v>
      </c>
      <c r="I61" s="352" t="n">
        <v>816232</v>
      </c>
      <c r="J61" s="352" t="n">
        <v>0</v>
      </c>
      <c r="K61" s="352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2" t="n">
        <v>12000000</v>
      </c>
      <c r="H62" s="352" t="n">
        <v>0</v>
      </c>
      <c r="I62" s="352" t="n">
        <v>2280000</v>
      </c>
      <c r="J62" s="352" t="n">
        <v>0</v>
      </c>
      <c r="K62" s="352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2" t="n">
        <v>125000</v>
      </c>
      <c r="H63" s="352" t="n">
        <v>0</v>
      </c>
      <c r="I63" s="352" t="n">
        <v>23750</v>
      </c>
      <c r="J63" s="352" t="n">
        <v>0</v>
      </c>
      <c r="K63" s="352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2" t="n">
        <v>7200000</v>
      </c>
      <c r="H64" s="352" t="n">
        <v>0</v>
      </c>
      <c r="I64" s="352" t="n">
        <v>1368000</v>
      </c>
      <c r="J64" s="352" t="n">
        <v>0</v>
      </c>
      <c r="K64" s="352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2" t="n">
        <v>-12000000</v>
      </c>
      <c r="H65" s="352" t="n">
        <v>0</v>
      </c>
      <c r="I65" s="352" t="n">
        <v>-2280000</v>
      </c>
      <c r="J65" s="352" t="n">
        <v>0</v>
      </c>
      <c r="K65" s="352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2" t="n">
        <v>2460878</v>
      </c>
      <c r="H67" s="352" t="n">
        <v>0</v>
      </c>
      <c r="I67" s="352" t="n">
        <v>467567</v>
      </c>
      <c r="J67" s="352" t="n">
        <v>0</v>
      </c>
      <c r="K67" s="352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2" t="n">
        <v>1382320</v>
      </c>
      <c r="H68" s="352" t="n">
        <v>0</v>
      </c>
      <c r="I68" s="352" t="n">
        <v>262641</v>
      </c>
      <c r="J68" s="352" t="n">
        <v>0</v>
      </c>
      <c r="K68" s="352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2" t="n">
        <v>7200000</v>
      </c>
      <c r="H69" s="352" t="n">
        <v>0</v>
      </c>
      <c r="I69" s="352" t="n">
        <v>1368000</v>
      </c>
      <c r="J69" s="352" t="n">
        <v>0</v>
      </c>
      <c r="K69" s="352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2" t="n">
        <v>125037</v>
      </c>
      <c r="H71" s="352" t="n">
        <v>0</v>
      </c>
      <c r="I71" s="352" t="n">
        <v>23757</v>
      </c>
      <c r="J71" s="352" t="n">
        <v>0</v>
      </c>
      <c r="K71" s="352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2" t="n">
        <v>5030639</v>
      </c>
      <c r="H72" s="352" t="n">
        <v>0</v>
      </c>
      <c r="I72" s="352" t="n">
        <v>955821</v>
      </c>
      <c r="J72" s="352" t="n">
        <v>0</v>
      </c>
      <c r="K72" s="352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2" t="n">
        <v>124349</v>
      </c>
      <c r="H73" s="352" t="n">
        <v>0</v>
      </c>
      <c r="I73" s="352" t="n">
        <v>23626</v>
      </c>
      <c r="J73" s="352" t="n">
        <v>0</v>
      </c>
      <c r="K73" s="352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2" t="n">
        <v>132123</v>
      </c>
      <c r="H74" s="352" t="n">
        <v>0</v>
      </c>
      <c r="I74" s="352" t="n">
        <v>25103</v>
      </c>
      <c r="J74" s="352" t="n">
        <v>0</v>
      </c>
      <c r="K74" s="352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2" t="n">
        <v>1000296</v>
      </c>
      <c r="H75" s="352" t="n">
        <v>0</v>
      </c>
      <c r="I75" s="352" t="n">
        <v>190056</v>
      </c>
      <c r="J75" s="352" t="n">
        <v>0</v>
      </c>
      <c r="K75" s="352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2" t="n">
        <v>130019</v>
      </c>
      <c r="H76" s="352" t="n">
        <v>0</v>
      </c>
      <c r="I76" s="352" t="n">
        <v>24704</v>
      </c>
      <c r="J76" s="352" t="n">
        <v>0</v>
      </c>
      <c r="K76" s="352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2" t="n">
        <v>131348</v>
      </c>
      <c r="H77" s="352" t="n">
        <v>0</v>
      </c>
      <c r="I77" s="352" t="n">
        <v>24956</v>
      </c>
      <c r="J77" s="352" t="n">
        <v>0</v>
      </c>
      <c r="K77" s="352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2" t="n">
        <v>130019</v>
      </c>
      <c r="H78" s="352" t="n">
        <v>0</v>
      </c>
      <c r="I78" s="352" t="n">
        <v>24704</v>
      </c>
      <c r="J78" s="352" t="n">
        <v>0</v>
      </c>
      <c r="K78" s="352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2" t="n">
        <v>4436964</v>
      </c>
      <c r="H79" s="352" t="n">
        <v>0</v>
      </c>
      <c r="I79" s="352" t="n">
        <v>843023</v>
      </c>
      <c r="J79" s="352" t="n">
        <v>0</v>
      </c>
      <c r="K79" s="352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2" t="n">
        <v>250000</v>
      </c>
      <c r="H80" s="352" t="n">
        <v>0</v>
      </c>
      <c r="I80" s="352" t="n">
        <v>47500</v>
      </c>
      <c r="J80" s="352" t="n">
        <v>0</v>
      </c>
      <c r="K80" s="352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2" t="n">
        <v>7200000</v>
      </c>
      <c r="H82" s="352" t="n">
        <v>0</v>
      </c>
      <c r="I82" s="352" t="n">
        <v>1368000</v>
      </c>
      <c r="J82" s="352" t="n">
        <v>0</v>
      </c>
      <c r="K82" s="352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2" t="n">
        <v>2496896</v>
      </c>
      <c r="H83" s="352" t="n">
        <v>0</v>
      </c>
      <c r="I83" s="352" t="n">
        <v>474410</v>
      </c>
      <c r="J83" s="352" t="n">
        <v>0</v>
      </c>
      <c r="K83" s="352" t="n">
        <v>2971306</v>
      </c>
      <c r="L83" s="354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2" t="n">
        <v>40000</v>
      </c>
      <c r="H84" s="352" t="n">
        <v>0</v>
      </c>
      <c r="I84" s="352" t="n">
        <v>7600</v>
      </c>
      <c r="J84" s="352" t="n">
        <v>0</v>
      </c>
      <c r="K84" s="352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2" t="n">
        <v>5567718</v>
      </c>
      <c r="H86" s="352" t="n">
        <v>0</v>
      </c>
      <c r="I86" s="352" t="n">
        <v>1057866</v>
      </c>
      <c r="J86" s="352" t="n">
        <v>0</v>
      </c>
      <c r="K86" s="352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2" t="n">
        <v>137996</v>
      </c>
      <c r="H87" s="352" t="n">
        <v>0</v>
      </c>
      <c r="I87" s="352" t="n">
        <v>26219</v>
      </c>
      <c r="J87" s="352" t="n">
        <v>0</v>
      </c>
      <c r="K87" s="352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2" t="n">
        <v>139812</v>
      </c>
      <c r="H88" s="352" t="n">
        <v>0</v>
      </c>
      <c r="I88" s="352" t="n">
        <v>26564</v>
      </c>
      <c r="J88" s="352" t="n">
        <v>0</v>
      </c>
      <c r="K88" s="352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2" t="n">
        <v>560724</v>
      </c>
      <c r="H89" s="352" t="n">
        <v>0</v>
      </c>
      <c r="I89" s="352" t="n">
        <v>106538</v>
      </c>
      <c r="J89" s="352" t="n">
        <v>0</v>
      </c>
      <c r="K89" s="352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2" t="n">
        <v>135798</v>
      </c>
      <c r="H90" s="352" t="n">
        <v>0</v>
      </c>
      <c r="I90" s="352" t="n">
        <v>25802</v>
      </c>
      <c r="J90" s="352" t="n">
        <v>0</v>
      </c>
      <c r="K90" s="352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2" t="n">
        <v>141155</v>
      </c>
      <c r="H91" s="352" t="n">
        <v>0</v>
      </c>
      <c r="I91" s="352" t="n">
        <v>26819</v>
      </c>
      <c r="J91" s="352" t="n">
        <v>0</v>
      </c>
      <c r="K91" s="352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2" t="n">
        <v>148233</v>
      </c>
      <c r="H92" s="352" t="n">
        <v>0</v>
      </c>
      <c r="I92" s="352" t="n">
        <v>28164</v>
      </c>
      <c r="J92" s="352" t="n">
        <v>0</v>
      </c>
      <c r="K92" s="352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2" t="n">
        <v>4277861</v>
      </c>
      <c r="H93" s="352" t="n">
        <v>0</v>
      </c>
      <c r="I93" s="352" t="n">
        <v>812794</v>
      </c>
      <c r="J93" s="352" t="n">
        <v>0</v>
      </c>
      <c r="K93" s="352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2" t="n">
        <v>406576</v>
      </c>
      <c r="H94" s="352" t="n">
        <v>0</v>
      </c>
      <c r="I94" s="352" t="n">
        <v>77249</v>
      </c>
      <c r="J94" s="352" t="n">
        <v>0</v>
      </c>
      <c r="K94" s="352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2" t="n">
        <v>525615</v>
      </c>
      <c r="H95" s="352" t="n">
        <v>0</v>
      </c>
      <c r="I95" s="352" t="n">
        <v>99867</v>
      </c>
      <c r="J95" s="352" t="n">
        <v>0</v>
      </c>
      <c r="K95" s="352" t="n">
        <v>625482</v>
      </c>
      <c r="L95" s="354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2" t="n">
        <v>868265</v>
      </c>
      <c r="H96" s="352" t="n">
        <v>0</v>
      </c>
      <c r="I96" s="352" t="n">
        <v>164970</v>
      </c>
      <c r="J96" s="352" t="n">
        <v>0</v>
      </c>
      <c r="K96" s="352" t="n">
        <v>1033235</v>
      </c>
      <c r="L96" s="354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2" t="n">
        <v>148233</v>
      </c>
      <c r="H97" s="352" t="n">
        <v>0</v>
      </c>
      <c r="I97" s="352" t="n">
        <v>28164</v>
      </c>
      <c r="J97" s="352" t="n">
        <v>0</v>
      </c>
      <c r="K97" s="352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2" t="n">
        <v>2528650</v>
      </c>
      <c r="H98" s="352" t="n">
        <v>0</v>
      </c>
      <c r="I98" s="352" t="n">
        <v>480444</v>
      </c>
      <c r="J98" s="352" t="n">
        <v>0</v>
      </c>
      <c r="K98" s="352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2" t="n">
        <v>700000</v>
      </c>
      <c r="H99" s="352" t="n">
        <v>0</v>
      </c>
      <c r="I99" s="352" t="n">
        <v>133000</v>
      </c>
      <c r="J99" s="352" t="n">
        <v>0</v>
      </c>
      <c r="K99" s="352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2" t="n">
        <v>134583</v>
      </c>
      <c r="H100" s="352" t="n">
        <v>0</v>
      </c>
      <c r="I100" s="352" t="n">
        <v>25571</v>
      </c>
      <c r="J100" s="352" t="n">
        <v>0</v>
      </c>
      <c r="K100" s="352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2" t="n">
        <v>2700660</v>
      </c>
      <c r="H101" s="352" t="n">
        <v>0</v>
      </c>
      <c r="I101" s="352" t="n">
        <v>513125</v>
      </c>
      <c r="J101" s="352" t="n">
        <v>0</v>
      </c>
      <c r="K101" s="352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2" t="n">
        <v>2004525</v>
      </c>
      <c r="H102" s="352" t="n">
        <v>0</v>
      </c>
      <c r="I102" s="352" t="n">
        <v>380860</v>
      </c>
      <c r="J102" s="352" t="n">
        <v>0</v>
      </c>
      <c r="K102" s="352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2" t="n">
        <v>140181</v>
      </c>
      <c r="H103" s="352" t="n">
        <v>0</v>
      </c>
      <c r="I103" s="352" t="n">
        <v>26634</v>
      </c>
      <c r="J103" s="352" t="n">
        <v>0</v>
      </c>
      <c r="K103" s="352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2" t="n">
        <v>137996</v>
      </c>
      <c r="H104" s="352" t="n">
        <v>0</v>
      </c>
      <c r="I104" s="352" t="n">
        <v>26219</v>
      </c>
      <c r="J104" s="352" t="n">
        <v>0</v>
      </c>
      <c r="K104" s="352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2" t="n">
        <v>4366445</v>
      </c>
      <c r="H105" s="352" t="n">
        <v>0</v>
      </c>
      <c r="I105" s="352" t="n">
        <v>829625</v>
      </c>
      <c r="J105" s="352" t="n">
        <v>0</v>
      </c>
      <c r="K105" s="352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2" t="n">
        <v>-148233</v>
      </c>
      <c r="H106" s="352" t="n">
        <v>0</v>
      </c>
      <c r="I106" s="352" t="n">
        <v>-28164</v>
      </c>
      <c r="J106" s="352" t="n">
        <v>0</v>
      </c>
      <c r="K106" s="352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2" t="n">
        <v>2554088</v>
      </c>
      <c r="H108" s="352" t="n">
        <v>0</v>
      </c>
      <c r="I108" s="352" t="n">
        <v>485277</v>
      </c>
      <c r="J108" s="352" t="n">
        <v>0</v>
      </c>
      <c r="K108" s="352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2" t="n">
        <v>40000</v>
      </c>
      <c r="H109" s="352" t="n">
        <v>0</v>
      </c>
      <c r="I109" s="352" t="n">
        <v>7600</v>
      </c>
      <c r="J109" s="352" t="n">
        <v>0</v>
      </c>
      <c r="K109" s="352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2" t="n">
        <v>269472</v>
      </c>
      <c r="H110" s="352" t="n">
        <v>0</v>
      </c>
      <c r="I110" s="352" t="n">
        <v>51200</v>
      </c>
      <c r="J110" s="352" t="n">
        <v>0</v>
      </c>
      <c r="K110" s="352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2" t="n">
        <v>1999148</v>
      </c>
      <c r="H111" s="352" t="n">
        <v>0</v>
      </c>
      <c r="I111" s="352" t="n">
        <v>379838</v>
      </c>
      <c r="J111" s="352" t="n">
        <v>0</v>
      </c>
      <c r="K111" s="352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2" t="n">
        <v>139238</v>
      </c>
      <c r="H112" s="352" t="n">
        <v>0</v>
      </c>
      <c r="I112" s="352" t="n">
        <v>26455</v>
      </c>
      <c r="J112" s="352" t="n">
        <v>0</v>
      </c>
      <c r="K112" s="352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2" t="n">
        <v>5640227</v>
      </c>
      <c r="H113" s="352" t="n">
        <v>0</v>
      </c>
      <c r="I113" s="352" t="n">
        <v>1071643</v>
      </c>
      <c r="J113" s="352" t="n">
        <v>0</v>
      </c>
      <c r="K113" s="352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2" t="n">
        <v>276780</v>
      </c>
      <c r="H114" s="352" t="n">
        <v>0</v>
      </c>
      <c r="I114" s="352" t="n">
        <v>52588</v>
      </c>
      <c r="J114" s="352" t="n">
        <v>0</v>
      </c>
      <c r="K114" s="352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2" t="n">
        <v>5640227</v>
      </c>
      <c r="H115" s="352" t="n">
        <v>0</v>
      </c>
      <c r="I115" s="352" t="n">
        <v>1071643</v>
      </c>
      <c r="J115" s="352" t="n">
        <v>0</v>
      </c>
      <c r="K115" s="352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2" t="n">
        <v>138390</v>
      </c>
      <c r="H116" s="352" t="n">
        <v>0</v>
      </c>
      <c r="I116" s="352" t="n">
        <v>26294</v>
      </c>
      <c r="J116" s="352" t="n">
        <v>0</v>
      </c>
      <c r="K116" s="352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2" t="n">
        <v>275133</v>
      </c>
      <c r="H117" s="352" t="n">
        <v>0</v>
      </c>
      <c r="I117" s="352" t="n">
        <v>52275</v>
      </c>
      <c r="J117" s="352" t="n">
        <v>0</v>
      </c>
      <c r="K117" s="352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2" t="n">
        <v>282921</v>
      </c>
      <c r="H118" s="352" t="n">
        <v>0</v>
      </c>
      <c r="I118" s="352" t="n">
        <v>53755</v>
      </c>
      <c r="J118" s="352" t="n">
        <v>0</v>
      </c>
      <c r="K118" s="352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2" t="n">
        <v>6642720</v>
      </c>
      <c r="H119" s="352" t="n">
        <v>0</v>
      </c>
      <c r="I119" s="352" t="n">
        <v>1262117</v>
      </c>
      <c r="J119" s="352" t="n">
        <v>0</v>
      </c>
      <c r="K119" s="352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2" t="n">
        <v>134706</v>
      </c>
      <c r="H120" s="352" t="n">
        <v>0</v>
      </c>
      <c r="I120" s="352" t="n">
        <v>25594</v>
      </c>
      <c r="J120" s="352" t="n">
        <v>0</v>
      </c>
      <c r="K120" s="352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2" t="n">
        <v>133277</v>
      </c>
      <c r="H121" s="352" t="n">
        <v>0</v>
      </c>
      <c r="I121" s="352" t="n">
        <v>25323</v>
      </c>
      <c r="J121" s="352" t="n">
        <v>0</v>
      </c>
      <c r="K121" s="352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2" t="n">
        <v>4402128</v>
      </c>
      <c r="H122" s="352" t="n">
        <v>0</v>
      </c>
      <c r="I122" s="352" t="n">
        <v>836404</v>
      </c>
      <c r="J122" s="352" t="n">
        <v>0</v>
      </c>
      <c r="K122" s="352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2" t="n">
        <v>137567</v>
      </c>
      <c r="H123" s="352" t="n">
        <v>0</v>
      </c>
      <c r="I123" s="352" t="n">
        <v>26138</v>
      </c>
      <c r="J123" s="352" t="n">
        <v>0</v>
      </c>
      <c r="K123" s="352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2" t="n">
        <v>4264562</v>
      </c>
      <c r="H124" s="352" t="n">
        <v>0</v>
      </c>
      <c r="I124" s="352" t="n">
        <v>810267</v>
      </c>
      <c r="J124" s="352" t="n">
        <v>0</v>
      </c>
      <c r="K124" s="352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2" t="n">
        <v>137567</v>
      </c>
      <c r="H125" s="352" t="n">
        <v>0</v>
      </c>
      <c r="I125" s="352" t="n">
        <v>26138</v>
      </c>
      <c r="J125" s="352" t="n">
        <v>0</v>
      </c>
      <c r="K125" s="352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2" t="n">
        <v>904067</v>
      </c>
      <c r="H126" s="352" t="n">
        <v>0</v>
      </c>
      <c r="I126" s="352" t="n">
        <v>171773</v>
      </c>
      <c r="J126" s="352" t="n">
        <v>0</v>
      </c>
      <c r="K126" s="352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2" t="n">
        <v>904067</v>
      </c>
      <c r="H127" s="352" t="n">
        <v>0</v>
      </c>
      <c r="I127" s="352" t="n">
        <v>171773</v>
      </c>
      <c r="J127" s="352" t="n">
        <v>0</v>
      </c>
      <c r="K127" s="352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2" t="n">
        <v>904067</v>
      </c>
      <c r="H128" s="352" t="n">
        <v>0</v>
      </c>
      <c r="I128" s="352" t="n">
        <v>171773</v>
      </c>
      <c r="J128" s="352" t="n">
        <v>0</v>
      </c>
      <c r="K128" s="352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2" t="n">
        <v>904067</v>
      </c>
      <c r="H129" s="352" t="n">
        <v>0</v>
      </c>
      <c r="I129" s="352" t="n">
        <v>171773</v>
      </c>
      <c r="J129" s="352" t="n">
        <v>0</v>
      </c>
      <c r="K129" s="352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2" t="n">
        <v>904067</v>
      </c>
      <c r="H130" s="352" t="n">
        <v>0</v>
      </c>
      <c r="I130" s="352" t="n">
        <v>171773</v>
      </c>
      <c r="J130" s="352" t="n">
        <v>0</v>
      </c>
      <c r="K130" s="352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2" t="n">
        <v>904067</v>
      </c>
      <c r="H131" s="352" t="n">
        <v>0</v>
      </c>
      <c r="I131" s="352" t="n">
        <v>171773</v>
      </c>
      <c r="J131" s="352" t="n">
        <v>0</v>
      </c>
      <c r="K131" s="352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2" t="n">
        <v>904067</v>
      </c>
      <c r="H132" s="352" t="n">
        <v>0</v>
      </c>
      <c r="I132" s="352" t="n">
        <v>171773</v>
      </c>
      <c r="J132" s="352" t="n">
        <v>0</v>
      </c>
      <c r="K132" s="352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2" t="n">
        <v>904067</v>
      </c>
      <c r="H134" s="352" t="n">
        <v>0</v>
      </c>
      <c r="I134" s="352" t="n">
        <v>171773</v>
      </c>
      <c r="J134" s="352" t="n">
        <v>0</v>
      </c>
      <c r="K134" s="352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2" t="n">
        <v>904067</v>
      </c>
      <c r="H135" s="352" t="n">
        <v>0</v>
      </c>
      <c r="I135" s="352" t="n">
        <v>171773</v>
      </c>
      <c r="J135" s="352" t="n">
        <v>0</v>
      </c>
      <c r="K135" s="352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2" t="n">
        <v>6409524</v>
      </c>
      <c r="H136" s="352" t="n">
        <v>0</v>
      </c>
      <c r="I136" s="352" t="n">
        <v>1217810</v>
      </c>
      <c r="J136" s="352" t="n">
        <v>0</v>
      </c>
      <c r="K136" s="352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2" t="n">
        <v>291342</v>
      </c>
      <c r="H137" s="352" t="n">
        <v>0</v>
      </c>
      <c r="I137" s="352" t="n">
        <v>55355</v>
      </c>
      <c r="J137" s="352" t="n">
        <v>0</v>
      </c>
      <c r="K137" s="352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2" t="n">
        <v>2801640</v>
      </c>
      <c r="H138" s="352" t="n">
        <v>0</v>
      </c>
      <c r="I138" s="352" t="n">
        <v>532312</v>
      </c>
      <c r="J138" s="352" t="n">
        <v>0</v>
      </c>
      <c r="K138" s="352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2" t="n">
        <v>142608</v>
      </c>
      <c r="H139" s="352" t="n">
        <v>0</v>
      </c>
      <c r="I139" s="352" t="n">
        <v>27096</v>
      </c>
      <c r="J139" s="352" t="n">
        <v>0</v>
      </c>
      <c r="K139" s="352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2" t="n">
        <v>140082</v>
      </c>
      <c r="H140" s="352" t="n">
        <v>0</v>
      </c>
      <c r="I140" s="352" t="n">
        <v>26616</v>
      </c>
      <c r="J140" s="352" t="n">
        <v>0</v>
      </c>
      <c r="K140" s="352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2" t="n">
        <v>143313</v>
      </c>
      <c r="H141" s="352" t="n">
        <v>0</v>
      </c>
      <c r="I141" s="352" t="n">
        <v>27229</v>
      </c>
      <c r="J141" s="352" t="n">
        <v>0</v>
      </c>
      <c r="K141" s="352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2" t="n">
        <v>145671</v>
      </c>
      <c r="H142" s="352" t="n">
        <v>0</v>
      </c>
      <c r="I142" s="352" t="n">
        <v>27677</v>
      </c>
      <c r="J142" s="352" t="n">
        <v>0</v>
      </c>
      <c r="K142" s="352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2" t="n">
        <v>3439512</v>
      </c>
      <c r="H143" s="352" t="n">
        <v>0</v>
      </c>
      <c r="I143" s="352" t="n">
        <v>653507</v>
      </c>
      <c r="J143" s="352" t="n">
        <v>0</v>
      </c>
      <c r="K143" s="352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2" t="n">
        <v>284574</v>
      </c>
      <c r="H144" s="352" t="n">
        <v>0</v>
      </c>
      <c r="I144" s="352" t="n">
        <v>54069</v>
      </c>
      <c r="J144" s="352" t="n">
        <v>0</v>
      </c>
      <c r="K144" s="352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2" t="n">
        <v>230050</v>
      </c>
      <c r="H145" s="352" t="n">
        <v>0</v>
      </c>
      <c r="I145" s="352" t="n">
        <v>43710</v>
      </c>
      <c r="J145" s="352" t="n">
        <v>0</v>
      </c>
      <c r="K145" s="352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2" t="n">
        <v>2595026</v>
      </c>
      <c r="H146" s="352" t="n">
        <v>0</v>
      </c>
      <c r="I146" s="352" t="n">
        <v>493055</v>
      </c>
      <c r="J146" s="352" t="n">
        <v>0</v>
      </c>
      <c r="K146" s="352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2" t="n">
        <v>904067</v>
      </c>
      <c r="H147" s="352" t="n">
        <v>0</v>
      </c>
      <c r="I147" s="352" t="n">
        <v>171773</v>
      </c>
      <c r="J147" s="352" t="n">
        <v>0</v>
      </c>
      <c r="K147" s="352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2" t="n">
        <v>500000</v>
      </c>
      <c r="H148" s="352" t="n">
        <v>0</v>
      </c>
      <c r="I148" s="352" t="n">
        <v>95000</v>
      </c>
      <c r="J148" s="352" t="n">
        <v>0</v>
      </c>
      <c r="K148" s="352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2" t="n">
        <v>40000</v>
      </c>
      <c r="H149" s="352" t="n">
        <v>0</v>
      </c>
      <c r="I149" s="352" t="n">
        <v>7600</v>
      </c>
      <c r="J149" s="352" t="n">
        <v>0</v>
      </c>
      <c r="K149" s="352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2" t="n">
        <v>-904067</v>
      </c>
      <c r="H150" s="352" t="n">
        <v>0</v>
      </c>
      <c r="I150" s="352" t="n">
        <v>-171773</v>
      </c>
      <c r="J150" s="352" t="n">
        <v>0</v>
      </c>
      <c r="K150" s="352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2" t="n">
        <v>1105032</v>
      </c>
      <c r="H152" s="352" t="n">
        <v>0</v>
      </c>
      <c r="I152" s="352" t="n">
        <v>209956</v>
      </c>
      <c r="J152" s="352" t="n">
        <v>0</v>
      </c>
      <c r="K152" s="352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2" t="n">
        <v>40000</v>
      </c>
      <c r="H153" s="352" t="n">
        <v>0</v>
      </c>
      <c r="I153" s="352" t="n">
        <v>7600</v>
      </c>
      <c r="J153" s="352" t="n">
        <v>0</v>
      </c>
      <c r="K153" s="352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2" t="n">
        <v>7200000</v>
      </c>
      <c r="H154" s="352" t="n">
        <v>0</v>
      </c>
      <c r="I154" s="352" t="n">
        <v>1368000</v>
      </c>
      <c r="J154" s="352" t="n">
        <v>0</v>
      </c>
      <c r="K154" s="352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2" t="n">
        <v>2610885</v>
      </c>
      <c r="H155" s="352" t="n">
        <v>0</v>
      </c>
      <c r="I155" s="352" t="n">
        <v>496068</v>
      </c>
      <c r="J155" s="352" t="n">
        <v>0</v>
      </c>
      <c r="K155" s="352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2" t="n">
        <v>850779</v>
      </c>
      <c r="H156" s="352" t="n">
        <v>0</v>
      </c>
      <c r="I156" s="352" t="n">
        <v>161648</v>
      </c>
      <c r="J156" s="352" t="n">
        <v>0</v>
      </c>
      <c r="K156" s="352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2" t="n">
        <v>137937</v>
      </c>
      <c r="H157" s="352" t="n">
        <v>0</v>
      </c>
      <c r="I157" s="352" t="n">
        <v>26208</v>
      </c>
      <c r="J157" s="352" t="n">
        <v>0</v>
      </c>
      <c r="K157" s="352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2" t="n">
        <v>5734953</v>
      </c>
      <c r="H158" s="352" t="n">
        <v>0</v>
      </c>
      <c r="I158" s="352" t="n">
        <v>1089641</v>
      </c>
      <c r="J158" s="352" t="n">
        <v>0</v>
      </c>
      <c r="K158" s="352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2" t="n">
        <v>142950</v>
      </c>
      <c r="H159" s="352" t="n">
        <v>0</v>
      </c>
      <c r="I159" s="352" t="n">
        <v>27161</v>
      </c>
      <c r="J159" s="352" t="n">
        <v>0</v>
      </c>
      <c r="K159" s="352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2" t="n">
        <v>6119373</v>
      </c>
      <c r="H160" s="352" t="n">
        <v>0</v>
      </c>
      <c r="I160" s="352" t="n">
        <v>1162681</v>
      </c>
      <c r="J160" s="352" t="n">
        <v>0</v>
      </c>
      <c r="K160" s="352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2" t="n">
        <v>284622</v>
      </c>
      <c r="H161" s="352" t="n">
        <v>0</v>
      </c>
      <c r="I161" s="352" t="n">
        <v>54078</v>
      </c>
      <c r="J161" s="352" t="n">
        <v>0</v>
      </c>
      <c r="K161" s="352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2" t="n">
        <v>3206085</v>
      </c>
      <c r="H162" s="352" t="n">
        <v>0</v>
      </c>
      <c r="I162" s="352" t="n">
        <v>609156</v>
      </c>
      <c r="J162" s="352" t="n">
        <v>0</v>
      </c>
      <c r="K162" s="352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2" t="n">
        <v>138695</v>
      </c>
      <c r="H163" s="352" t="n">
        <v>0</v>
      </c>
      <c r="I163" s="352" t="n">
        <v>26352</v>
      </c>
      <c r="J163" s="352" t="n">
        <v>0</v>
      </c>
      <c r="K163" s="352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2" t="n">
        <v>134352</v>
      </c>
      <c r="H164" s="352" t="n">
        <v>0</v>
      </c>
      <c r="I164" s="352" t="n">
        <v>25527</v>
      </c>
      <c r="J164" s="352" t="n">
        <v>0</v>
      </c>
      <c r="K164" s="352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2" t="n">
        <v>4600035</v>
      </c>
      <c r="H165" s="352" t="n">
        <v>0</v>
      </c>
      <c r="I165" s="352" t="n">
        <v>874007</v>
      </c>
      <c r="J165" s="352" t="n">
        <v>0</v>
      </c>
      <c r="K165" s="352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2" t="n">
        <v>4894943</v>
      </c>
      <c r="H166" s="352" t="n">
        <v>0</v>
      </c>
      <c r="I166" s="352" t="n">
        <v>930039</v>
      </c>
      <c r="J166" s="352" t="n">
        <v>0</v>
      </c>
      <c r="K166" s="352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2" t="n">
        <v>138695</v>
      </c>
      <c r="H167" s="352" t="n">
        <v>0</v>
      </c>
      <c r="I167" s="352" t="n">
        <v>26352</v>
      </c>
      <c r="J167" s="352" t="n">
        <v>0</v>
      </c>
      <c r="K167" s="352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2" t="n">
        <v>139395</v>
      </c>
      <c r="H168" s="352" t="n">
        <v>0</v>
      </c>
      <c r="I168" s="352" t="n">
        <v>26485</v>
      </c>
      <c r="J168" s="352" t="n">
        <v>0</v>
      </c>
      <c r="K168" s="352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2" t="n">
        <v>139856</v>
      </c>
      <c r="H169" s="352" t="n">
        <v>0</v>
      </c>
      <c r="I169" s="352" t="n">
        <v>26573</v>
      </c>
      <c r="J169" s="352" t="n">
        <v>0</v>
      </c>
      <c r="K169" s="352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2" t="n">
        <v>134352</v>
      </c>
      <c r="H170" s="352" t="n">
        <v>0</v>
      </c>
      <c r="I170" s="352" t="n">
        <v>25527</v>
      </c>
      <c r="J170" s="352" t="n">
        <v>0</v>
      </c>
      <c r="K170" s="352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2" t="n">
        <v>40000</v>
      </c>
      <c r="H172" s="352" t="n">
        <v>0</v>
      </c>
      <c r="I172" s="352" t="n">
        <v>7600</v>
      </c>
      <c r="J172" s="352" t="n">
        <v>0</v>
      </c>
      <c r="K172" s="352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2" t="n">
        <v>200000</v>
      </c>
      <c r="H173" s="352" t="n">
        <v>0</v>
      </c>
      <c r="I173" s="352" t="n">
        <v>38000</v>
      </c>
      <c r="J173" s="352" t="n">
        <v>0</v>
      </c>
      <c r="K173" s="352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2" t="n">
        <v>7200000</v>
      </c>
      <c r="H174" s="352" t="n">
        <v>0</v>
      </c>
      <c r="I174" s="352" t="n">
        <v>1368000</v>
      </c>
      <c r="J174" s="352" t="n">
        <v>0</v>
      </c>
      <c r="K174" s="352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2" t="n">
        <v>137372</v>
      </c>
      <c r="H175" s="352" t="n">
        <v>0</v>
      </c>
      <c r="I175" s="352" t="n">
        <v>26101</v>
      </c>
      <c r="J175" s="352" t="n">
        <v>0</v>
      </c>
      <c r="K175" s="352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2" t="n">
        <v>274908</v>
      </c>
      <c r="H176" s="352" t="n">
        <v>0</v>
      </c>
      <c r="I176" s="352" t="n">
        <v>52233</v>
      </c>
      <c r="J176" s="352" t="n">
        <v>0</v>
      </c>
      <c r="K176" s="352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2" t="n">
        <v>134223</v>
      </c>
      <c r="H177" s="352" t="n">
        <v>0</v>
      </c>
      <c r="I177" s="352" t="n">
        <v>25502</v>
      </c>
      <c r="J177" s="352" t="n">
        <v>0</v>
      </c>
      <c r="K177" s="352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2" t="n">
        <v>2196851</v>
      </c>
      <c r="H178" s="352" t="n">
        <v>0</v>
      </c>
      <c r="I178" s="352" t="n">
        <v>417402</v>
      </c>
      <c r="J178" s="352" t="n">
        <v>0</v>
      </c>
      <c r="K178" s="352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2" t="n">
        <v>6502839</v>
      </c>
      <c r="H179" s="352" t="n">
        <v>0</v>
      </c>
      <c r="I179" s="352" t="n">
        <v>1235539</v>
      </c>
      <c r="J179" s="352" t="n">
        <v>0</v>
      </c>
      <c r="K179" s="352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2" t="n">
        <v>258453</v>
      </c>
      <c r="H180" s="352" t="n">
        <v>0</v>
      </c>
      <c r="I180" s="352" t="n">
        <v>49106</v>
      </c>
      <c r="J180" s="352" t="n">
        <v>0</v>
      </c>
      <c r="K180" s="352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2" t="n">
        <v>6900972</v>
      </c>
      <c r="H181" s="352" t="n">
        <v>0</v>
      </c>
      <c r="I181" s="352" t="n">
        <v>1311185</v>
      </c>
      <c r="J181" s="352" t="n">
        <v>0</v>
      </c>
      <c r="K181" s="352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2" t="n">
        <v>6900972</v>
      </c>
      <c r="H182" s="352" t="n">
        <v>0</v>
      </c>
      <c r="I182" s="352" t="n">
        <v>1311185</v>
      </c>
      <c r="J182" s="352" t="n">
        <v>0</v>
      </c>
      <c r="K182" s="352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2" t="n">
        <v>128711</v>
      </c>
      <c r="H183" s="352" t="n">
        <v>0</v>
      </c>
      <c r="I183" s="352" t="n">
        <v>24455</v>
      </c>
      <c r="J183" s="352" t="n">
        <v>0</v>
      </c>
      <c r="K183" s="352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2" t="n">
        <v>128711</v>
      </c>
      <c r="H184" s="352" t="n">
        <v>0</v>
      </c>
      <c r="I184" s="352" t="n">
        <v>24455</v>
      </c>
      <c r="J184" s="352" t="n">
        <v>0</v>
      </c>
      <c r="K184" s="352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2" t="n">
        <v>514842</v>
      </c>
      <c r="H185" s="352" t="n">
        <v>0</v>
      </c>
      <c r="I185" s="352" t="n">
        <v>97820</v>
      </c>
      <c r="J185" s="352" t="n">
        <v>0</v>
      </c>
      <c r="K185" s="352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2" t="n">
        <v>514842</v>
      </c>
      <c r="H186" s="352" t="n">
        <v>0</v>
      </c>
      <c r="I186" s="352" t="n">
        <v>97820</v>
      </c>
      <c r="J186" s="352" t="n">
        <v>0</v>
      </c>
      <c r="K186" s="352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2" t="n">
        <v>257421</v>
      </c>
      <c r="H187" s="352" t="n">
        <v>0</v>
      </c>
      <c r="I187" s="352" t="n">
        <v>48910</v>
      </c>
      <c r="J187" s="352" t="n">
        <v>0</v>
      </c>
      <c r="K187" s="352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2" t="n">
        <v>257421</v>
      </c>
      <c r="H188" s="352" t="n">
        <v>0</v>
      </c>
      <c r="I188" s="352" t="n">
        <v>48910</v>
      </c>
      <c r="J188" s="352" t="n">
        <v>0</v>
      </c>
      <c r="K188" s="352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2" t="n">
        <v>3848712</v>
      </c>
      <c r="H189" s="352" t="n">
        <v>0</v>
      </c>
      <c r="I189" s="352" t="n">
        <v>731255</v>
      </c>
      <c r="J189" s="352" t="n">
        <v>0</v>
      </c>
      <c r="K189" s="352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2" t="n">
        <v>4379463</v>
      </c>
      <c r="H190" s="352" t="n">
        <v>0</v>
      </c>
      <c r="I190" s="352" t="n">
        <v>832098</v>
      </c>
      <c r="J190" s="352" t="n">
        <v>0</v>
      </c>
      <c r="K190" s="352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2" t="n">
        <v>129227</v>
      </c>
      <c r="H191" s="352" t="n">
        <v>0</v>
      </c>
      <c r="I191" s="352" t="n">
        <v>24553</v>
      </c>
      <c r="J191" s="352" t="n">
        <v>0</v>
      </c>
      <c r="K191" s="352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2" t="n">
        <v>4135248</v>
      </c>
      <c r="H192" s="352" t="n">
        <v>0</v>
      </c>
      <c r="I192" s="352" t="n">
        <v>785697</v>
      </c>
      <c r="J192" s="352" t="n">
        <v>0</v>
      </c>
      <c r="K192" s="352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2" t="n">
        <v>132711</v>
      </c>
      <c r="H193" s="352" t="n">
        <v>0</v>
      </c>
      <c r="I193" s="352" t="n">
        <v>25215</v>
      </c>
      <c r="J193" s="352" t="n">
        <v>0</v>
      </c>
      <c r="K193" s="352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2" t="n">
        <v>129227</v>
      </c>
      <c r="H194" s="352" t="n">
        <v>0</v>
      </c>
      <c r="I194" s="352" t="n">
        <v>24553</v>
      </c>
      <c r="J194" s="352" t="n">
        <v>0</v>
      </c>
      <c r="K194" s="352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2" t="n">
        <v>129227</v>
      </c>
      <c r="H195" s="352" t="n">
        <v>0</v>
      </c>
      <c r="I195" s="352" t="n">
        <v>24553</v>
      </c>
      <c r="J195" s="352" t="n">
        <v>0</v>
      </c>
      <c r="K195" s="352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2" t="n">
        <v>215901</v>
      </c>
      <c r="H196" s="352" t="n">
        <v>0</v>
      </c>
      <c r="I196" s="352" t="n">
        <v>41021</v>
      </c>
      <c r="J196" s="352" t="n">
        <v>0</v>
      </c>
      <c r="K196" s="352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2" t="n">
        <v>602192</v>
      </c>
      <c r="H197" s="352" t="n">
        <v>0</v>
      </c>
      <c r="I197" s="352" t="n">
        <v>114416</v>
      </c>
      <c r="J197" s="352" t="n">
        <v>0</v>
      </c>
      <c r="K197" s="352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2" t="n">
        <v>2633324</v>
      </c>
      <c r="H198" s="352" t="n">
        <v>0</v>
      </c>
      <c r="I198" s="352" t="n">
        <v>500332</v>
      </c>
      <c r="J198" s="352" t="n">
        <v>0</v>
      </c>
      <c r="K198" s="352" t="n">
        <v>3133656</v>
      </c>
    </row>
    <row r="199">
      <c r="G199" s="352">
        <f>SUM(G2:G198)</f>
        <v/>
      </c>
      <c r="H199" s="352">
        <f>SUM(H2:H198)</f>
        <v/>
      </c>
      <c r="I199" s="352">
        <f>SUM(I2:I198)</f>
        <v/>
      </c>
      <c r="J199" s="352">
        <f>SUM(J2:J198)</f>
        <v/>
      </c>
      <c r="K199" s="352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+[3]Ctas!$D$193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+[3]Ctas!$D$196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+[3]Ctas!$D$197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+[3]Ctas!$D$198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+[3]Ctas!$D$206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+[3]Ctas!$D$207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5" t="inlineStr">
        <is>
          <t>CTA CTE INM PLAZA EL ALBA</t>
        </is>
      </c>
      <c r="C12" s="2">
        <f>+[3]Ctas!$D$210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+[3]Ctas!$D$213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+[3]Ctas!$D$217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+[3]Ctas!$D$219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+'[16]Estado$'!$D$215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5" t="inlineStr">
        <is>
          <t>CTACTE COSTA SUR INVERSIONES SPA</t>
        </is>
      </c>
      <c r="C18" s="2">
        <f>+[3]Ctas!$D$226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5" t="inlineStr">
        <is>
          <t>CTACTE MAGIC LICENSING S.A.S.</t>
        </is>
      </c>
      <c r="C19" s="2">
        <f>+[3]Ctas!$D$230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5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5" t="inlineStr">
        <is>
          <t>CTA CTE MEDIAPROMOVILES CHILE SPA</t>
        </is>
      </c>
      <c r="C21" s="2">
        <f>+[3]Ctas!$D$223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5" t="inlineStr">
        <is>
          <t>Cta.Cte. CN Inv. Financ.</t>
        </is>
      </c>
      <c r="C22" s="2">
        <f>+[3]Ctas!$D$228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5" t="inlineStr">
        <is>
          <t>CTA CTE CINECOLORCHF INVERSIONES SPA</t>
        </is>
      </c>
      <c r="C23" s="2">
        <f>+[3]Ctas!$D$232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5" t="inlineStr">
        <is>
          <t>CTA CTE CINECOLOR LIC.PERU SAC</t>
        </is>
      </c>
      <c r="C24" s="2">
        <f>+[3]Ctas!$D$231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5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5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5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5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5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+[3]Ctas!$D$232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5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5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+[3]Ctas!$D$448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+[3]Ctas!$D$449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+[3]Ctas!$D$450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+[3]Ctas!$D$451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+[3]Ctas!$D$452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+[3]Ctas!$D$454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+[3]Ctas!$D$462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+[3]Ctas!$D$463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+[3]Ctas!$D$465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+[3]Ctas!$D$466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+[3]Ctas!$D$467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+[3]Ctas!$D$469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+[3]Ctas!$D$471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+[3]Ctas!$D$473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5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5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5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5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5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5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5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5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5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5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+[3]Ctas!$D$240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+[3]Ctas!$D$237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+[3]Ctas!$D$246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+[3]Ctas!$D$249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+Resultado!AD19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+Resultado!AF19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+Resultado!Z19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+Resultado!AE19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+Resultado!Y19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+Resultado!AI37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+Resultado!F37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+Resultado!P37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+Resultado!AJ37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+Resultado!F47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+Resultado!Y37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6" t="n">
        <v>2184281</v>
      </c>
      <c r="H2" s="356" t="n">
        <v>0</v>
      </c>
      <c r="I2" s="356" t="n">
        <v>415013</v>
      </c>
      <c r="J2" s="356" t="n">
        <v>0</v>
      </c>
      <c r="K2" s="356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6" t="n">
        <v>89102</v>
      </c>
      <c r="H3" s="356" t="n">
        <v>0</v>
      </c>
      <c r="I3" s="356" t="n">
        <v>16929</v>
      </c>
      <c r="J3" s="356" t="n">
        <v>0</v>
      </c>
      <c r="K3" s="356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6" t="n">
        <v>76516</v>
      </c>
      <c r="H4" s="356" t="n">
        <v>0</v>
      </c>
      <c r="I4" s="356" t="n">
        <v>14538</v>
      </c>
      <c r="J4" s="356" t="n">
        <v>0</v>
      </c>
      <c r="K4" s="356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6" t="n">
        <v>122912</v>
      </c>
      <c r="H5" s="356" t="n">
        <v>0</v>
      </c>
      <c r="I5" s="356" t="n">
        <v>23353</v>
      </c>
      <c r="J5" s="356" t="n">
        <v>0</v>
      </c>
      <c r="K5" s="356" t="n">
        <v>146265</v>
      </c>
    </row>
    <row r="6">
      <c r="G6" s="356" t="n"/>
      <c r="H6" s="356" t="n"/>
      <c r="I6" s="356" t="n"/>
      <c r="J6" s="356" t="n"/>
      <c r="K6" s="356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2186880</v>
      </c>
      <c r="H7" s="352" t="n">
        <v>0</v>
      </c>
      <c r="I7" s="352" t="n">
        <v>415507</v>
      </c>
      <c r="J7" s="352" t="n">
        <v>0</v>
      </c>
      <c r="K7" s="352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2196554</v>
      </c>
      <c r="H8" s="352" t="n">
        <v>0</v>
      </c>
      <c r="I8" s="352" t="n">
        <v>417345</v>
      </c>
      <c r="J8" s="352" t="n">
        <v>0</v>
      </c>
      <c r="K8" s="352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81428</v>
      </c>
      <c r="H9" s="352" t="n">
        <v>0</v>
      </c>
      <c r="I9" s="352" t="n">
        <v>15471</v>
      </c>
      <c r="J9" s="352" t="n">
        <v>0</v>
      </c>
      <c r="K9" s="352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209942</v>
      </c>
      <c r="H10" s="352" t="n">
        <v>0</v>
      </c>
      <c r="I10" s="352" t="n">
        <v>39889</v>
      </c>
      <c r="J10" s="352" t="n">
        <v>0</v>
      </c>
      <c r="K10" s="352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286317</v>
      </c>
      <c r="H11" s="352" t="n">
        <v>0</v>
      </c>
      <c r="I11" s="352" t="n">
        <v>54400</v>
      </c>
      <c r="J11" s="352" t="n">
        <v>0</v>
      </c>
      <c r="K11" s="352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633286</v>
      </c>
      <c r="H12" s="352" t="n">
        <v>0</v>
      </c>
      <c r="I12" s="352" t="n">
        <v>120324</v>
      </c>
      <c r="J12" s="352" t="n">
        <v>0</v>
      </c>
      <c r="K12" s="352" t="n">
        <v>753610</v>
      </c>
    </row>
    <row r="13">
      <c r="G13" s="352" t="n"/>
      <c r="H13" s="352" t="n"/>
      <c r="I13" s="352" t="n"/>
      <c r="J13" s="352" t="n"/>
      <c r="K13" s="352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2" t="n">
        <v>200000</v>
      </c>
      <c r="H14" s="352" t="n">
        <v>0</v>
      </c>
      <c r="I14" s="352" t="n">
        <v>38000</v>
      </c>
      <c r="J14" s="352" t="n">
        <v>0</v>
      </c>
      <c r="K14" s="352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2" t="n">
        <v>250000</v>
      </c>
      <c r="H15" s="352" t="n">
        <v>0</v>
      </c>
      <c r="I15" s="352" t="n">
        <v>47500</v>
      </c>
      <c r="J15" s="352" t="n">
        <v>0</v>
      </c>
      <c r="K15" s="352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2204608</v>
      </c>
      <c r="H16" s="352" t="n">
        <v>0</v>
      </c>
      <c r="I16" s="352" t="n">
        <v>418876</v>
      </c>
      <c r="J16" s="352" t="n">
        <v>0</v>
      </c>
      <c r="K16" s="352" t="n">
        <v>2623484</v>
      </c>
    </row>
    <row r="17">
      <c r="G17" s="356" t="n"/>
      <c r="H17" s="356" t="n"/>
      <c r="I17" s="356" t="n"/>
      <c r="J17" s="356" t="n"/>
      <c r="K17" s="356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2205318</v>
      </c>
      <c r="H18" s="352" t="n">
        <v>0</v>
      </c>
      <c r="I18" s="352" t="n">
        <v>419010</v>
      </c>
      <c r="J18" s="352" t="n">
        <v>0</v>
      </c>
      <c r="K18" s="352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279264</v>
      </c>
      <c r="H19" s="352" t="n">
        <v>0</v>
      </c>
      <c r="I19" s="352" t="n">
        <v>53060</v>
      </c>
      <c r="J19" s="352" t="n">
        <v>0</v>
      </c>
      <c r="K19" s="352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297706</v>
      </c>
      <c r="H20" s="352" t="n">
        <v>0</v>
      </c>
      <c r="I20" s="352" t="n">
        <v>56564</v>
      </c>
      <c r="J20" s="352" t="n">
        <v>0</v>
      </c>
      <c r="K20" s="352" t="n">
        <v>354270</v>
      </c>
    </row>
    <row r="21">
      <c r="G21" s="356" t="n"/>
      <c r="H21" s="356" t="n"/>
      <c r="I21" s="356" t="n"/>
      <c r="J21" s="356" t="n"/>
      <c r="K21" s="356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2213827</v>
      </c>
      <c r="H22" s="352" t="n">
        <v>0</v>
      </c>
      <c r="I22" s="352" t="n">
        <v>420627</v>
      </c>
      <c r="J22" s="352" t="n">
        <v>0</v>
      </c>
      <c r="K22" s="352" t="n">
        <v>2634454</v>
      </c>
      <c r="L22" s="352" t="n"/>
    </row>
    <row r="23">
      <c r="G23" s="356" t="n"/>
      <c r="H23" s="356" t="n"/>
      <c r="I23" s="356" t="n"/>
      <c r="J23" s="356" t="n"/>
      <c r="K23" s="356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2223284</v>
      </c>
      <c r="H24" s="352" t="n">
        <v>0</v>
      </c>
      <c r="I24" s="352" t="n">
        <v>422424</v>
      </c>
      <c r="J24" s="352" t="n">
        <v>0</v>
      </c>
      <c r="K24" s="352" t="n">
        <v>2645708</v>
      </c>
    </row>
    <row r="25">
      <c r="G25" s="356" t="n"/>
      <c r="H25" s="356" t="n"/>
      <c r="I25" s="356" t="n"/>
      <c r="J25" s="356" t="n"/>
      <c r="K25" s="356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2230241</v>
      </c>
      <c r="H26" s="352" t="n">
        <v>0</v>
      </c>
      <c r="I26" s="352" t="n">
        <v>423746</v>
      </c>
      <c r="J26" s="352" t="n">
        <v>0</v>
      </c>
      <c r="K26" s="352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4778172</v>
      </c>
      <c r="H27" s="352" t="n">
        <v>0</v>
      </c>
      <c r="I27" s="352" t="n">
        <v>907853</v>
      </c>
      <c r="J27" s="352" t="n">
        <v>0</v>
      </c>
      <c r="K27" s="352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4550640</v>
      </c>
      <c r="H28" s="352" t="n">
        <v>0</v>
      </c>
      <c r="I28" s="352" t="n">
        <v>864622</v>
      </c>
      <c r="J28" s="352" t="n">
        <v>0</v>
      </c>
      <c r="K28" s="352" t="n">
        <v>5415262</v>
      </c>
      <c r="L28" s="356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1251426</v>
      </c>
      <c r="H29" s="352" t="n">
        <v>0</v>
      </c>
      <c r="I29" s="352" t="n">
        <v>237771</v>
      </c>
      <c r="J29" s="352" t="n">
        <v>0</v>
      </c>
      <c r="K29" s="352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5802066</v>
      </c>
      <c r="H30" s="352" t="n">
        <v>0</v>
      </c>
      <c r="I30" s="352" t="n">
        <v>1102393</v>
      </c>
      <c r="J30" s="352" t="n">
        <v>0</v>
      </c>
      <c r="K30" s="352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1934022</v>
      </c>
      <c r="H31" s="352" t="n">
        <v>0</v>
      </c>
      <c r="I31" s="352" t="n">
        <v>367464</v>
      </c>
      <c r="J31" s="352" t="n">
        <v>0</v>
      </c>
      <c r="K31" s="352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341298</v>
      </c>
      <c r="H32" s="352" t="n">
        <v>0</v>
      </c>
      <c r="I32" s="352" t="n">
        <v>64847</v>
      </c>
      <c r="J32" s="352" t="n">
        <v>0</v>
      </c>
      <c r="K32" s="352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40000</v>
      </c>
      <c r="H33" s="352" t="n">
        <v>0</v>
      </c>
      <c r="I33" s="352" t="n">
        <v>7600</v>
      </c>
      <c r="J33" s="352" t="n">
        <v>0</v>
      </c>
      <c r="K33" s="352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400000</v>
      </c>
      <c r="H34" s="352" t="n">
        <v>0</v>
      </c>
      <c r="I34" s="352" t="n">
        <v>76000</v>
      </c>
      <c r="J34" s="352" t="n">
        <v>0</v>
      </c>
      <c r="K34" s="352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135000</v>
      </c>
      <c r="H35" s="352" t="n">
        <v>0</v>
      </c>
      <c r="I35" s="352" t="n">
        <v>25650</v>
      </c>
      <c r="J35" s="352" t="n">
        <v>0</v>
      </c>
      <c r="K35" s="352" t="n">
        <v>160650</v>
      </c>
    </row>
    <row r="36">
      <c r="G36" s="356" t="n"/>
      <c r="H36" s="356" t="n"/>
      <c r="I36" s="356" t="n"/>
      <c r="J36" s="356" t="n"/>
      <c r="K36" s="356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2232255</v>
      </c>
      <c r="H37" s="352" t="n">
        <v>0</v>
      </c>
      <c r="I37" s="352" t="n">
        <v>424128</v>
      </c>
      <c r="J37" s="352" t="n">
        <v>0</v>
      </c>
      <c r="K37" s="352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2" t="n">
        <v>600000</v>
      </c>
      <c r="H38" s="352" t="n">
        <v>0</v>
      </c>
      <c r="I38" s="352" t="n">
        <v>114000</v>
      </c>
      <c r="J38" s="352" t="n">
        <v>0</v>
      </c>
      <c r="K38" s="352" t="n">
        <v>714000</v>
      </c>
      <c r="L38" s="356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341298</v>
      </c>
      <c r="H39" s="352" t="n">
        <v>0</v>
      </c>
      <c r="I39" s="352" t="n">
        <v>64847</v>
      </c>
      <c r="J39" s="352" t="n">
        <v>0</v>
      </c>
      <c r="K39" s="352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2" t="n">
        <v>1742063</v>
      </c>
      <c r="H40" s="352" t="n">
        <v>0</v>
      </c>
      <c r="I40" s="352" t="n">
        <v>330992</v>
      </c>
      <c r="J40" s="352" t="n">
        <v>0</v>
      </c>
      <c r="K40" s="352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2" t="n">
        <v>5806875</v>
      </c>
      <c r="H41" s="352" t="n">
        <v>0</v>
      </c>
      <c r="I41" s="352" t="n">
        <v>1103306</v>
      </c>
      <c r="J41" s="352" t="n">
        <v>0</v>
      </c>
      <c r="K41" s="352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2" t="n">
        <v>116138</v>
      </c>
      <c r="H42" s="352" t="n">
        <v>0</v>
      </c>
      <c r="I42" s="352" t="n">
        <v>22066</v>
      </c>
      <c r="J42" s="352" t="n">
        <v>0</v>
      </c>
      <c r="K42" s="352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2" t="n">
        <v>40000</v>
      </c>
      <c r="H43" s="352" t="n">
        <v>0</v>
      </c>
      <c r="I43" s="352" t="n">
        <v>7600</v>
      </c>
      <c r="J43" s="352" t="n">
        <v>0</v>
      </c>
      <c r="K43" s="352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2" t="n">
        <v>700000</v>
      </c>
      <c r="H44" s="352" t="n">
        <v>0</v>
      </c>
      <c r="I44" s="352" t="n">
        <v>133000</v>
      </c>
      <c r="J44" s="352" t="n">
        <v>0</v>
      </c>
      <c r="K44" s="352" t="n">
        <v>833000</v>
      </c>
      <c r="L44" s="356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2" t="n">
        <v>100000</v>
      </c>
      <c r="H45" s="352" t="n">
        <v>0</v>
      </c>
      <c r="I45" s="352" t="n">
        <v>19000</v>
      </c>
      <c r="J45" s="352" t="n">
        <v>0</v>
      </c>
      <c r="K45" s="352" t="n">
        <v>119000</v>
      </c>
      <c r="L45" s="356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2" t="n">
        <v>200000</v>
      </c>
      <c r="H46" s="352" t="n">
        <v>0</v>
      </c>
      <c r="I46" s="352" t="n">
        <v>38000</v>
      </c>
      <c r="J46" s="352" t="n">
        <v>0</v>
      </c>
      <c r="K46" s="352" t="n">
        <v>238000</v>
      </c>
      <c r="L46" s="356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7" t="n">
        <v>-135000</v>
      </c>
      <c r="H47" s="352" t="n">
        <v>0</v>
      </c>
      <c r="I47" s="357" t="n">
        <v>-25650</v>
      </c>
      <c r="J47" s="352" t="n">
        <v>0</v>
      </c>
      <c r="K47" s="357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7" t="n">
        <v>-400000</v>
      </c>
      <c r="H48" s="352" t="n">
        <v>0</v>
      </c>
      <c r="I48" s="357" t="n">
        <v>-76000</v>
      </c>
      <c r="J48" s="352" t="n">
        <v>0</v>
      </c>
      <c r="K48" s="357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7" t="n">
        <v>-341298</v>
      </c>
      <c r="H49" s="352" t="n">
        <v>0</v>
      </c>
      <c r="I49" s="357" t="n">
        <v>-64847</v>
      </c>
      <c r="J49" s="352" t="n">
        <v>0</v>
      </c>
      <c r="K49" s="357" t="n">
        <v>-406145</v>
      </c>
    </row>
    <row r="50">
      <c r="G50" s="356" t="n"/>
      <c r="H50" s="356" t="n"/>
      <c r="I50" s="356" t="n"/>
      <c r="J50" s="356" t="n"/>
      <c r="K50" s="356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2" t="n">
        <v>2249753</v>
      </c>
      <c r="H51" s="352" t="n">
        <v>0</v>
      </c>
      <c r="I51" s="352" t="n">
        <v>427453</v>
      </c>
      <c r="J51" s="352" t="n">
        <v>0</v>
      </c>
      <c r="K51" s="352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2" t="n">
        <v>116138</v>
      </c>
      <c r="H52" s="352" t="n">
        <v>0</v>
      </c>
      <c r="I52" s="352" t="n">
        <v>22066</v>
      </c>
      <c r="J52" s="352" t="n">
        <v>0</v>
      </c>
      <c r="K52" s="352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2" t="n">
        <v>5874750</v>
      </c>
      <c r="H53" s="352" t="n">
        <v>0</v>
      </c>
      <c r="I53" s="352" t="n">
        <v>1116203</v>
      </c>
      <c r="J53" s="352" t="n">
        <v>0</v>
      </c>
      <c r="K53" s="352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2" t="n">
        <v>352976</v>
      </c>
      <c r="H54" s="352" t="n">
        <v>0</v>
      </c>
      <c r="I54" s="352" t="n">
        <v>67065</v>
      </c>
      <c r="J54" s="352" t="n">
        <v>0</v>
      </c>
      <c r="K54" s="352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2" t="n">
        <v>117495</v>
      </c>
      <c r="H55" s="352" t="n">
        <v>0</v>
      </c>
      <c r="I55" s="352" t="n">
        <v>22324</v>
      </c>
      <c r="J55" s="352" t="n">
        <v>0</v>
      </c>
      <c r="K55" s="352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2" t="n">
        <v>1762425</v>
      </c>
      <c r="H56" s="352" t="n">
        <v>0</v>
      </c>
      <c r="I56" s="352" t="n">
        <v>334861</v>
      </c>
      <c r="J56" s="352" t="n">
        <v>0</v>
      </c>
      <c r="K56" s="352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2" t="n">
        <v>4927671</v>
      </c>
      <c r="H57" s="352" t="n">
        <v>0</v>
      </c>
      <c r="I57" s="352" t="n">
        <v>936257</v>
      </c>
      <c r="J57" s="352" t="n">
        <v>0</v>
      </c>
      <c r="K57" s="352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2" t="n">
        <v>6974503</v>
      </c>
      <c r="H58" s="352" t="n">
        <v>0</v>
      </c>
      <c r="I58" s="352" t="n">
        <v>1325156</v>
      </c>
      <c r="J58" s="352" t="n">
        <v>0</v>
      </c>
      <c r="K58" s="352" t="n">
        <v>8299659</v>
      </c>
    </row>
    <row r="59">
      <c r="G59" s="356" t="n"/>
      <c r="H59" s="356" t="n"/>
      <c r="I59" s="356" t="n"/>
      <c r="J59" s="356" t="n"/>
      <c r="K59" s="356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2" t="n">
        <v>2258430</v>
      </c>
      <c r="H60" s="352" t="n">
        <v>0</v>
      </c>
      <c r="I60" s="352" t="n">
        <v>429102</v>
      </c>
      <c r="J60" s="352" t="n">
        <v>0</v>
      </c>
      <c r="K60" s="352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2" t="n">
        <v>4582013</v>
      </c>
      <c r="H61" s="352" t="n">
        <v>0</v>
      </c>
      <c r="I61" s="352" t="n">
        <v>870582</v>
      </c>
      <c r="J61" s="352" t="n">
        <v>0</v>
      </c>
      <c r="K61" s="352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2" t="n">
        <v>5131854</v>
      </c>
      <c r="H62" s="352" t="n">
        <v>0</v>
      </c>
      <c r="I62" s="352" t="n">
        <v>975052</v>
      </c>
      <c r="J62" s="352" t="n">
        <v>0</v>
      </c>
      <c r="K62" s="352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2" t="n">
        <v>5681525</v>
      </c>
      <c r="H63" s="352" t="n">
        <v>0</v>
      </c>
      <c r="I63" s="352" t="n">
        <v>1079490</v>
      </c>
      <c r="J63" s="352" t="n">
        <v>0</v>
      </c>
      <c r="K63" s="352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2" t="n">
        <v>4999742</v>
      </c>
      <c r="H64" s="352" t="n">
        <v>0</v>
      </c>
      <c r="I64" s="352" t="n">
        <v>949951</v>
      </c>
      <c r="J64" s="352" t="n">
        <v>0</v>
      </c>
      <c r="K64" s="352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2" t="n">
        <v>5681525</v>
      </c>
      <c r="H65" s="352" t="n">
        <v>0</v>
      </c>
      <c r="I65" s="352" t="n">
        <v>1079490</v>
      </c>
      <c r="J65" s="352" t="n">
        <v>0</v>
      </c>
      <c r="K65" s="352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2" t="n">
        <v>4999742</v>
      </c>
      <c r="H66" s="352" t="n">
        <v>0</v>
      </c>
      <c r="I66" s="352" t="n">
        <v>949951</v>
      </c>
      <c r="J66" s="352" t="n">
        <v>0</v>
      </c>
      <c r="K66" s="352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2" t="n">
        <v>1692369</v>
      </c>
      <c r="H67" s="352" t="n">
        <v>0</v>
      </c>
      <c r="I67" s="352" t="n">
        <v>321550</v>
      </c>
      <c r="J67" s="352" t="n">
        <v>0</v>
      </c>
      <c r="K67" s="352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2" t="n">
        <v>1692369</v>
      </c>
      <c r="H68" s="352" t="n">
        <v>0</v>
      </c>
      <c r="I68" s="352" t="n">
        <v>321550</v>
      </c>
      <c r="J68" s="352" t="n">
        <v>0</v>
      </c>
      <c r="K68" s="352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2" t="n">
        <v>1489285</v>
      </c>
      <c r="H69" s="352" t="n">
        <v>0</v>
      </c>
      <c r="I69" s="352" t="n">
        <v>282964</v>
      </c>
      <c r="J69" s="352" t="n">
        <v>0</v>
      </c>
      <c r="K69" s="352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2" t="n">
        <v>287500</v>
      </c>
      <c r="H71" s="352" t="n">
        <v>0</v>
      </c>
      <c r="I71" s="352" t="n">
        <v>54625</v>
      </c>
      <c r="J71" s="352" t="n">
        <v>0</v>
      </c>
      <c r="K71" s="352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2" t="n">
        <v>40000</v>
      </c>
      <c r="H72" s="352" t="n">
        <v>0</v>
      </c>
      <c r="I72" s="352" t="n">
        <v>7600</v>
      </c>
      <c r="J72" s="352" t="n">
        <v>0</v>
      </c>
      <c r="K72" s="352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2" t="n">
        <v>40000</v>
      </c>
      <c r="H73" s="352" t="n">
        <v>0</v>
      </c>
      <c r="I73" s="352" t="n">
        <v>7600</v>
      </c>
      <c r="J73" s="352" t="n">
        <v>0</v>
      </c>
      <c r="K73" s="352" t="n">
        <v>47600</v>
      </c>
    </row>
    <row r="74">
      <c r="G74" s="356" t="n"/>
      <c r="H74" s="356" t="n"/>
      <c r="I74" s="356" t="n"/>
      <c r="J74" s="356" t="n"/>
      <c r="K74" s="356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6" t="n">
        <v>5833152</v>
      </c>
      <c r="H75" s="356" t="n">
        <v>0</v>
      </c>
      <c r="I75" s="356" t="n">
        <v>1108299</v>
      </c>
      <c r="J75" s="356" t="n">
        <v>0</v>
      </c>
      <c r="K75" s="356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6" t="n">
        <v>5026233</v>
      </c>
      <c r="H76" s="356" t="n">
        <v>0</v>
      </c>
      <c r="I76" s="356" t="n">
        <v>954984</v>
      </c>
      <c r="J76" s="356" t="n">
        <v>0</v>
      </c>
      <c r="K76" s="356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6" t="n">
        <v>123027</v>
      </c>
      <c r="H77" s="356" t="n">
        <v>0</v>
      </c>
      <c r="I77" s="356" t="n">
        <v>23375</v>
      </c>
      <c r="J77" s="356" t="n">
        <v>0</v>
      </c>
      <c r="K77" s="356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6" t="n">
        <v>6319248</v>
      </c>
      <c r="H78" s="356" t="n">
        <v>0</v>
      </c>
      <c r="I78" s="356" t="n">
        <v>1200657</v>
      </c>
      <c r="J78" s="356" t="n">
        <v>0</v>
      </c>
      <c r="K78" s="356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6" t="n">
        <v>121524</v>
      </c>
      <c r="H79" s="356" t="n">
        <v>0</v>
      </c>
      <c r="I79" s="356" t="n">
        <v>23090</v>
      </c>
      <c r="J79" s="356" t="n">
        <v>0</v>
      </c>
      <c r="K79" s="356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6" t="n">
        <v>1592331</v>
      </c>
      <c r="H80" s="356" t="n">
        <v>0</v>
      </c>
      <c r="I80" s="356" t="n">
        <v>302543</v>
      </c>
      <c r="J80" s="356" t="n">
        <v>0</v>
      </c>
      <c r="K80" s="356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6" t="n">
        <v>2419650</v>
      </c>
      <c r="H81" s="356" t="n">
        <v>0</v>
      </c>
      <c r="I81" s="356" t="n">
        <v>459734</v>
      </c>
      <c r="J81" s="356" t="n">
        <v>0</v>
      </c>
      <c r="K81" s="356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6" t="n">
        <v>120821</v>
      </c>
      <c r="H82" s="356" t="n">
        <v>0</v>
      </c>
      <c r="I82" s="356" t="n">
        <v>22956</v>
      </c>
      <c r="J82" s="356" t="n">
        <v>0</v>
      </c>
      <c r="K82" s="356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6" t="n">
        <v>123044</v>
      </c>
      <c r="H83" s="356" t="n">
        <v>0</v>
      </c>
      <c r="I83" s="356" t="n">
        <v>23378</v>
      </c>
      <c r="J83" s="356" t="n">
        <v>0</v>
      </c>
      <c r="K83" s="356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6" t="n">
        <v>2286444</v>
      </c>
      <c r="H84" s="356" t="n">
        <v>0</v>
      </c>
      <c r="I84" s="356" t="n">
        <v>434424</v>
      </c>
      <c r="J84" s="356" t="n">
        <v>0</v>
      </c>
      <c r="K84" s="356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6" t="n">
        <v>902321</v>
      </c>
      <c r="H85" s="356" t="n">
        <v>0</v>
      </c>
      <c r="I85" s="356" t="n">
        <v>171441</v>
      </c>
      <c r="J85" s="356" t="n">
        <v>0</v>
      </c>
      <c r="K85" s="356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6" t="n">
        <v>3669840</v>
      </c>
      <c r="H86" s="356" t="n">
        <v>0</v>
      </c>
      <c r="I86" s="356" t="n">
        <v>697270</v>
      </c>
      <c r="J86" s="356" t="n">
        <v>0</v>
      </c>
      <c r="K86" s="356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6" t="n">
        <v>2935872</v>
      </c>
      <c r="H87" s="356" t="n">
        <v>0</v>
      </c>
      <c r="I87" s="356" t="n">
        <v>557816</v>
      </c>
      <c r="J87" s="356" t="n">
        <v>0</v>
      </c>
      <c r="K87" s="356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6" t="n">
        <v>5863830</v>
      </c>
      <c r="H88" s="356" t="n">
        <v>0</v>
      </c>
      <c r="I88" s="356" t="n">
        <v>1114128</v>
      </c>
      <c r="J88" s="356" t="n">
        <v>0</v>
      </c>
      <c r="K88" s="356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6" t="n">
        <v>2273730</v>
      </c>
      <c r="H89" s="356" t="n">
        <v>0</v>
      </c>
      <c r="I89" s="356" t="n">
        <v>432009</v>
      </c>
      <c r="J89" s="356" t="n">
        <v>0</v>
      </c>
      <c r="K89" s="356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6" t="n">
        <v>469106</v>
      </c>
      <c r="H90" s="356" t="n">
        <v>0</v>
      </c>
      <c r="I90" s="356" t="n">
        <v>89130</v>
      </c>
      <c r="J90" s="356" t="n">
        <v>0</v>
      </c>
      <c r="K90" s="356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6" t="n">
        <v>121860</v>
      </c>
      <c r="H91" s="356" t="n">
        <v>0</v>
      </c>
      <c r="I91" s="356" t="n">
        <v>23153</v>
      </c>
      <c r="J91" s="356" t="n">
        <v>0</v>
      </c>
      <c r="K91" s="356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8" t="n">
        <v>-1592331</v>
      </c>
      <c r="H92" s="358" t="n">
        <v>0</v>
      </c>
      <c r="I92" s="358" t="n">
        <v>-302543</v>
      </c>
      <c r="J92" s="358" t="n">
        <v>0</v>
      </c>
      <c r="K92" s="358" t="n">
        <v>-1894874</v>
      </c>
    </row>
    <row r="93">
      <c r="G93" s="356" t="n"/>
      <c r="H93" s="356" t="n"/>
      <c r="I93" s="356" t="n"/>
      <c r="J93" s="356" t="n"/>
      <c r="K93" s="356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2" t="n">
        <v>1857583</v>
      </c>
      <c r="H94" s="352" t="n">
        <v>0</v>
      </c>
      <c r="I94" s="352" t="n">
        <v>352941</v>
      </c>
      <c r="J94" s="352" t="n">
        <v>0</v>
      </c>
      <c r="K94" s="352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2" t="n">
        <v>885163</v>
      </c>
      <c r="H95" s="352" t="n">
        <v>0</v>
      </c>
      <c r="I95" s="352" t="n">
        <v>168181</v>
      </c>
      <c r="J95" s="352" t="n">
        <v>0</v>
      </c>
      <c r="K95" s="352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2" t="n">
        <v>1126781</v>
      </c>
      <c r="H96" s="352" t="n">
        <v>0</v>
      </c>
      <c r="I96" s="352" t="n">
        <v>214088</v>
      </c>
      <c r="J96" s="352" t="n">
        <v>0</v>
      </c>
      <c r="K96" s="352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2" t="n">
        <v>2319151</v>
      </c>
      <c r="H97" s="352" t="n">
        <v>0</v>
      </c>
      <c r="I97" s="352" t="n">
        <v>440639</v>
      </c>
      <c r="J97" s="352" t="n">
        <v>0</v>
      </c>
      <c r="K97" s="352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2" t="n">
        <v>119670</v>
      </c>
      <c r="H98" s="352" t="n">
        <v>0</v>
      </c>
      <c r="I98" s="352" t="n">
        <v>22737</v>
      </c>
      <c r="J98" s="352" t="n">
        <v>0</v>
      </c>
      <c r="K98" s="352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2" t="n">
        <v>125186</v>
      </c>
      <c r="H99" s="352" t="n">
        <v>0</v>
      </c>
      <c r="I99" s="352" t="n">
        <v>23785</v>
      </c>
      <c r="J99" s="352" t="n">
        <v>0</v>
      </c>
      <c r="K99" s="352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2" t="n">
        <v>121491</v>
      </c>
      <c r="H100" s="352" t="n">
        <v>0</v>
      </c>
      <c r="I100" s="352" t="n">
        <v>23083</v>
      </c>
      <c r="J100" s="352" t="n">
        <v>0</v>
      </c>
      <c r="K100" s="352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2" t="n">
        <v>119670</v>
      </c>
      <c r="H101" s="352" t="n">
        <v>0</v>
      </c>
      <c r="I101" s="352" t="n">
        <v>22737</v>
      </c>
      <c r="J101" s="352" t="n">
        <v>0</v>
      </c>
      <c r="K101" s="352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2" t="n">
        <v>3894608</v>
      </c>
      <c r="H102" s="352" t="n">
        <v>0</v>
      </c>
      <c r="I102" s="352" t="n">
        <v>739976</v>
      </c>
      <c r="J102" s="352" t="n">
        <v>0</v>
      </c>
      <c r="K102" s="352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2" t="n">
        <v>45000</v>
      </c>
      <c r="H103" s="352" t="n">
        <v>0</v>
      </c>
      <c r="I103" s="352" t="n">
        <v>8550</v>
      </c>
      <c r="J103" s="352" t="n">
        <v>0</v>
      </c>
      <c r="K103" s="352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2" t="n">
        <v>1075000</v>
      </c>
      <c r="H104" s="352" t="n">
        <v>0</v>
      </c>
      <c r="I104" s="352" t="n">
        <v>204250</v>
      </c>
      <c r="J104" s="352" t="n">
        <v>0</v>
      </c>
      <c r="K104" s="352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2" t="n">
        <v>40000</v>
      </c>
      <c r="H105" s="352" t="n">
        <v>0</v>
      </c>
      <c r="I105" s="352" t="n">
        <v>7600</v>
      </c>
      <c r="J105" s="352" t="n">
        <v>0</v>
      </c>
      <c r="K105" s="352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2" t="n">
        <v>725000</v>
      </c>
      <c r="H106" s="352" t="n">
        <v>0</v>
      </c>
      <c r="I106" s="352" t="n">
        <v>137750</v>
      </c>
      <c r="J106" s="352" t="n">
        <v>0</v>
      </c>
      <c r="K106" s="352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2" t="n">
        <v>40000</v>
      </c>
      <c r="H107" s="352" t="n">
        <v>0</v>
      </c>
      <c r="I107" s="352" t="n">
        <v>7600</v>
      </c>
      <c r="J107" s="352" t="n">
        <v>0</v>
      </c>
      <c r="K107" s="352" t="n">
        <v>47600</v>
      </c>
    </row>
    <row r="108">
      <c r="G108" s="356" t="n"/>
      <c r="H108" s="356" t="n"/>
      <c r="I108" s="356" t="n"/>
      <c r="J108" s="356" t="n"/>
      <c r="K108" s="356" t="n"/>
    </row>
    <row r="109">
      <c r="G109" s="359">
        <f>SUM(G2:G108)</f>
        <v/>
      </c>
      <c r="H109" s="359">
        <f>SUM(H2:H108)</f>
        <v/>
      </c>
      <c r="I109" s="359">
        <f>SUM(I2:I108)</f>
        <v/>
      </c>
      <c r="J109" s="359">
        <f>SUM(J2:J108)</f>
        <v/>
      </c>
      <c r="K109" s="359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2023-11-26T22:58:37Z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8819921EEA6A44499C2D6BCE7603A250_13</vt:lpwstr>
  </property>
  <property name="KSOProductBuildVer" fmtid="{D5CDD505-2E9C-101B-9397-08002B2CF9AE}" pid="3">
    <vt:lpwstr>1033-12.2.0.13306</vt:lpwstr>
  </property>
</Properties>
</file>