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08f0a9d2e271a/Escritorio/202520/Tecnología del Hormigón/TH_TALLER_1/"/>
    </mc:Choice>
  </mc:AlternateContent>
  <xr:revisionPtr revIDLastSave="35" documentId="13_ncr:1_{4C264DBA-348B-824A-AD36-30B51D6EA321}" xr6:coauthVersionLast="47" xr6:coauthVersionMax="47" xr10:uidLastSave="{B5727E70-0781-447E-8925-EA3645B93D1C}"/>
  <bookViews>
    <workbookView xWindow="-98" yWindow="-98" windowWidth="19396" windowHeight="11475" xr2:uid="{31D304DE-4E80-7E49-B756-D776838E9ED7}"/>
  </bookViews>
  <sheets>
    <sheet name="PLANTILLA" sheetId="6" r:id="rId1"/>
    <sheet name="GRAFICOS" sheetId="5" r:id="rId2"/>
  </sheets>
  <definedNames>
    <definedName name="solver_adj" localSheetId="0" hidden="1">PLANTILLA!$E$29:$E$31</definedName>
    <definedName name="solver_cvg" localSheetId="0" hidden="1">"""""""""""""""""""""""""""""""""""""""""""""""""""""""""""""""0,0001"""""""""""""""""""""""""""""""""""""""""""""""""""""""""""""""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PLANTILLA!$E$33</definedName>
    <definedName name="solver_lhs10" localSheetId="0" hidden="1">PLANTILLA!$N$48</definedName>
    <definedName name="solver_lhs11" localSheetId="0" hidden="1">PLANTILLA!$N$49</definedName>
    <definedName name="solver_lhs12" localSheetId="0" hidden="1">PLANTILLA!$N$50</definedName>
    <definedName name="solver_lhs13" localSheetId="0" hidden="1">PLANTILLA!$N$51</definedName>
    <definedName name="solver_lhs14" localSheetId="0" hidden="1">PLANTILLA!$N$52</definedName>
    <definedName name="solver_lhs15" localSheetId="0" hidden="1">PLANTILLA!$N$53</definedName>
    <definedName name="solver_lhs16" localSheetId="0" hidden="1">PLANTILLA!$N$54</definedName>
    <definedName name="solver_lhs2" localSheetId="0" hidden="1">PLANTILLA!$Q$69:$Q$83</definedName>
    <definedName name="solver_lhs3" localSheetId="0" hidden="1">PLANTILLA!$Q$40:$Q$54</definedName>
    <definedName name="solver_lhs4" localSheetId="0" hidden="1">PLANTILLA!$N$42</definedName>
    <definedName name="solver_lhs5" localSheetId="0" hidden="1">PLANTILLA!$N$43</definedName>
    <definedName name="solver_lhs6" localSheetId="0" hidden="1">PLANTILLA!$N$44</definedName>
    <definedName name="solver_lhs7" localSheetId="0" hidden="1">PLANTILLA!$N$45</definedName>
    <definedName name="solver_lhs8" localSheetId="0" hidden="1">PLANTILLA!$N$46</definedName>
    <definedName name="solver_lhs9" localSheetId="0" hidden="1">PLANTILLA!$N$47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"""""""""""""""""""""""""""""""""""""""""""""""""""""""""""""""0,075"""""""""""""""""""""""""""""""""""""""""""""""""""""""""""""""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PLANTILLA!$S$81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PLANTILLA!$E$32</definedName>
    <definedName name="solver_rhs10" localSheetId="0" hidden="1">PLANTILLA!$O$48</definedName>
    <definedName name="solver_rhs11" localSheetId="0" hidden="1">PLANTILLA!$O$49</definedName>
    <definedName name="solver_rhs12" localSheetId="0" hidden="1">PLANTILLA!$O$50</definedName>
    <definedName name="solver_rhs13" localSheetId="0" hidden="1">PLANTILLA!$O$51</definedName>
    <definedName name="solver_rhs14" localSheetId="0" hidden="1">PLANTILLA!$O$52</definedName>
    <definedName name="solver_rhs15" localSheetId="0" hidden="1">PLANTILLA!$O$53</definedName>
    <definedName name="solver_rhs16" localSheetId="0" hidden="1">PLANTILLA!$O$54</definedName>
    <definedName name="solver_rhs2" localSheetId="0" hidden="1">1</definedName>
    <definedName name="solver_rhs3" localSheetId="0" hidden="1">1</definedName>
    <definedName name="solver_rhs4" localSheetId="0" hidden="1">PLANTILLA!$O$42</definedName>
    <definedName name="solver_rhs5" localSheetId="0" hidden="1">PLANTILLA!$O$43</definedName>
    <definedName name="solver_rhs6" localSheetId="0" hidden="1">PLANTILLA!$O$44</definedName>
    <definedName name="solver_rhs7" localSheetId="0" hidden="1">PLANTILLA!$O$45</definedName>
    <definedName name="solver_rhs8" localSheetId="0" hidden="1">PLANTILLA!$O$46</definedName>
    <definedName name="solver_rhs9" localSheetId="0" hidden="1">PLANTILLA!$O$47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3" i="6" l="1"/>
  <c r="AA62" i="6"/>
  <c r="AB62" i="6" s="1"/>
  <c r="AA60" i="6"/>
  <c r="W61" i="6"/>
  <c r="AA59" i="6"/>
  <c r="P62" i="6"/>
  <c r="P61" i="6"/>
  <c r="N59" i="6"/>
  <c r="Y57" i="6"/>
  <c r="AB90" i="6"/>
  <c r="AB91" i="6"/>
  <c r="AB89" i="6"/>
  <c r="AB88" i="6"/>
  <c r="Z91" i="6"/>
  <c r="Z90" i="6"/>
  <c r="AA90" i="6" s="1"/>
  <c r="Z89" i="6"/>
  <c r="AA89" i="6" s="1"/>
  <c r="AA91" i="6"/>
  <c r="AA88" i="6"/>
  <c r="Z88" i="6"/>
  <c r="W90" i="6"/>
  <c r="W89" i="6"/>
  <c r="W88" i="6"/>
  <c r="AB59" i="6"/>
  <c r="Z61" i="6"/>
  <c r="Z59" i="6"/>
  <c r="D19" i="6"/>
  <c r="V86" i="6"/>
  <c r="V85" i="6"/>
  <c r="V82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69" i="6"/>
  <c r="V57" i="6"/>
  <c r="V56" i="6"/>
  <c r="V53" i="6"/>
  <c r="O41" i="6"/>
  <c r="P41" i="6" s="1"/>
  <c r="O42" i="6"/>
  <c r="P42" i="6" s="1"/>
  <c r="O43" i="6"/>
  <c r="P43" i="6" s="1"/>
  <c r="O44" i="6"/>
  <c r="P44" i="6" s="1"/>
  <c r="O45" i="6"/>
  <c r="P45" i="6" s="1"/>
  <c r="O46" i="6"/>
  <c r="P46" i="6" s="1"/>
  <c r="O47" i="6"/>
  <c r="P47" i="6" s="1"/>
  <c r="O48" i="6"/>
  <c r="P48" i="6" s="1"/>
  <c r="O49" i="6"/>
  <c r="P49" i="6" s="1"/>
  <c r="O50" i="6"/>
  <c r="P50" i="6" s="1"/>
  <c r="O51" i="6"/>
  <c r="P51" i="6" s="1"/>
  <c r="O52" i="6"/>
  <c r="P52" i="6" s="1"/>
  <c r="O53" i="6"/>
  <c r="P53" i="6" s="1"/>
  <c r="O54" i="6"/>
  <c r="P54" i="6" s="1"/>
  <c r="O40" i="6"/>
  <c r="P40" i="6" s="1"/>
  <c r="V14" i="6"/>
  <c r="L78" i="6" s="1"/>
  <c r="J92" i="6"/>
  <c r="N92" i="6" s="1"/>
  <c r="J93" i="6"/>
  <c r="N93" i="6" s="1"/>
  <c r="J91" i="6"/>
  <c r="N91" i="6" s="1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69" i="6"/>
  <c r="I78" i="6"/>
  <c r="S78" i="6" s="1"/>
  <c r="I77" i="6"/>
  <c r="S77" i="6" s="1"/>
  <c r="I76" i="6"/>
  <c r="S76" i="6" s="1"/>
  <c r="I75" i="6"/>
  <c r="S75" i="6" s="1"/>
  <c r="I74" i="6"/>
  <c r="S74" i="6" s="1"/>
  <c r="I73" i="6"/>
  <c r="S73" i="6" s="1"/>
  <c r="I72" i="6"/>
  <c r="S72" i="6" s="1"/>
  <c r="I71" i="6"/>
  <c r="S71" i="6" s="1"/>
  <c r="I70" i="6"/>
  <c r="S70" i="6" s="1"/>
  <c r="I69" i="6"/>
  <c r="S69" i="6" s="1"/>
  <c r="S94" i="6"/>
  <c r="V6" i="6"/>
  <c r="L70" i="6" s="1"/>
  <c r="V7" i="6"/>
  <c r="L71" i="6" s="1"/>
  <c r="V8" i="6"/>
  <c r="L72" i="6" s="1"/>
  <c r="V9" i="6"/>
  <c r="L73" i="6" s="1"/>
  <c r="V10" i="6"/>
  <c r="L74" i="6" s="1"/>
  <c r="V11" i="6"/>
  <c r="L75" i="6" s="1"/>
  <c r="V12" i="6"/>
  <c r="L76" i="6" s="1"/>
  <c r="V13" i="6"/>
  <c r="L77" i="6" s="1"/>
  <c r="V15" i="6"/>
  <c r="L79" i="6" s="1"/>
  <c r="V18" i="6"/>
  <c r="L82" i="6" s="1"/>
  <c r="V19" i="6"/>
  <c r="L83" i="6" s="1"/>
  <c r="V5" i="6"/>
  <c r="L69" i="6" s="1"/>
  <c r="E33" i="6"/>
  <c r="AC2" i="6"/>
  <c r="C55" i="6"/>
  <c r="J62" i="6"/>
  <c r="C54" i="6" a="1"/>
  <c r="C54" i="6" s="1"/>
  <c r="C50" i="6"/>
  <c r="B50" i="6"/>
  <c r="G18" i="6"/>
  <c r="G19" i="6" s="1"/>
  <c r="C39" i="6"/>
  <c r="C40" i="6" s="1"/>
  <c r="C45" i="6" s="1" a="1"/>
  <c r="C45" i="6" s="1"/>
  <c r="C38" i="6"/>
  <c r="F21" i="6"/>
  <c r="F20" i="6"/>
  <c r="E21" i="6"/>
  <c r="E20" i="6"/>
  <c r="D21" i="6"/>
  <c r="D20" i="6"/>
  <c r="C37" i="6"/>
  <c r="C36" i="6"/>
  <c r="P81" i="6" l="1"/>
  <c r="P76" i="6"/>
  <c r="P75" i="6"/>
  <c r="P74" i="6"/>
  <c r="P73" i="6"/>
  <c r="P79" i="6"/>
  <c r="P77" i="6"/>
  <c r="P69" i="6"/>
  <c r="P72" i="6"/>
  <c r="P78" i="6"/>
  <c r="P83" i="6"/>
  <c r="P71" i="6"/>
  <c r="P80" i="6"/>
  <c r="P82" i="6"/>
  <c r="P70" i="6"/>
  <c r="V17" i="6"/>
  <c r="L81" i="6" s="1"/>
  <c r="M77" i="6" s="1" a="1"/>
  <c r="M77" i="6" s="1"/>
  <c r="U77" i="6" s="1"/>
  <c r="W77" i="6" s="1"/>
  <c r="V16" i="6"/>
  <c r="L80" i="6" s="1"/>
  <c r="N80" i="6" s="1"/>
  <c r="M74" i="6" a="1"/>
  <c r="M74" i="6" s="1"/>
  <c r="U74" i="6" s="1"/>
  <c r="W74" i="6" s="1"/>
  <c r="M72" i="6" a="1"/>
  <c r="M72" i="6" s="1"/>
  <c r="U72" i="6" s="1"/>
  <c r="W72" i="6" s="1"/>
  <c r="M73" i="6" a="1"/>
  <c r="M73" i="6" s="1"/>
  <c r="U73" i="6" s="1"/>
  <c r="W73" i="6" s="1"/>
  <c r="N75" i="6"/>
  <c r="Q75" i="6" s="1"/>
  <c r="M71" i="6" a="1"/>
  <c r="M71" i="6" s="1"/>
  <c r="U71" i="6" s="1"/>
  <c r="W71" i="6" s="1"/>
  <c r="N74" i="6"/>
  <c r="N73" i="6"/>
  <c r="M70" i="6" a="1"/>
  <c r="M70" i="6" s="1"/>
  <c r="U70" i="6" s="1"/>
  <c r="W70" i="6" s="1"/>
  <c r="N72" i="6"/>
  <c r="N83" i="6"/>
  <c r="M78" i="6" a="1"/>
  <c r="M78" i="6" s="1"/>
  <c r="U78" i="6" s="1"/>
  <c r="W78" i="6" s="1"/>
  <c r="M69" i="6" a="1"/>
  <c r="M69" i="6" s="1"/>
  <c r="U69" i="6" s="1"/>
  <c r="W69" i="6" s="1"/>
  <c r="N69" i="6"/>
  <c r="N71" i="6"/>
  <c r="N79" i="6"/>
  <c r="N78" i="6"/>
  <c r="N77" i="6"/>
  <c r="N76" i="6"/>
  <c r="Q76" i="6" s="1"/>
  <c r="N70" i="6"/>
  <c r="C57" i="6"/>
  <c r="J88" i="6" s="1"/>
  <c r="N89" i="6" s="1"/>
  <c r="C56" i="6"/>
  <c r="Q74" i="6" l="1"/>
  <c r="Q79" i="6"/>
  <c r="Q77" i="6"/>
  <c r="Q73" i="6"/>
  <c r="Q78" i="6"/>
  <c r="N82" i="6"/>
  <c r="Q82" i="6" s="1"/>
  <c r="M75" i="6" a="1"/>
  <c r="M75" i="6" s="1"/>
  <c r="U75" i="6" s="1"/>
  <c r="W75" i="6" s="1"/>
  <c r="S81" i="6" s="1"/>
  <c r="Q80" i="6"/>
  <c r="Q83" i="6"/>
  <c r="Q69" i="6"/>
  <c r="Q72" i="6"/>
  <c r="Q70" i="6"/>
  <c r="Q71" i="6"/>
  <c r="M76" i="6" a="1"/>
  <c r="M76" i="6" s="1"/>
  <c r="U76" i="6" s="1"/>
  <c r="W76" i="6" s="1"/>
  <c r="N81" i="6"/>
  <c r="Q81" i="6" s="1"/>
  <c r="AC27" i="6"/>
  <c r="AC28" i="6"/>
  <c r="AC29" i="6"/>
  <c r="AC30" i="6"/>
  <c r="AC31" i="6"/>
  <c r="AC32" i="6"/>
  <c r="AC33" i="6"/>
  <c r="AC34" i="6"/>
  <c r="AC35" i="6"/>
  <c r="AC26" i="6"/>
  <c r="AB27" i="6"/>
  <c r="AB28" i="6"/>
  <c r="AB29" i="6"/>
  <c r="AB30" i="6"/>
  <c r="AB31" i="6"/>
  <c r="AB32" i="6"/>
  <c r="AB33" i="6"/>
  <c r="AB34" i="6"/>
  <c r="AB35" i="6"/>
  <c r="AB26" i="6"/>
  <c r="AA27" i="6"/>
  <c r="AA28" i="6"/>
  <c r="AA29" i="6"/>
  <c r="AA30" i="6"/>
  <c r="AA31" i="6"/>
  <c r="AA32" i="6"/>
  <c r="AA33" i="6"/>
  <c r="AA34" i="6"/>
  <c r="AA35" i="6"/>
  <c r="AA26" i="6"/>
  <c r="J64" i="6"/>
  <c r="N64" i="6" s="1"/>
  <c r="J63" i="6"/>
  <c r="N63" i="6" s="1"/>
  <c r="N62" i="6"/>
  <c r="S65" i="6"/>
  <c r="Q64" i="6"/>
  <c r="Q93" i="6" s="1"/>
  <c r="O64" i="6"/>
  <c r="O93" i="6" s="1"/>
  <c r="J59" i="6"/>
  <c r="Q63" i="6"/>
  <c r="Q92" i="6" s="1"/>
  <c r="O63" i="6"/>
  <c r="O92" i="6" s="1"/>
  <c r="Q62" i="6"/>
  <c r="Q91" i="6" s="1"/>
  <c r="O62" i="6"/>
  <c r="O91" i="6" s="1"/>
  <c r="N60" i="6"/>
  <c r="K54" i="6"/>
  <c r="K53" i="6"/>
  <c r="K52" i="6"/>
  <c r="K51" i="6"/>
  <c r="K50" i="6"/>
  <c r="K49" i="6"/>
  <c r="I49" i="6"/>
  <c r="K48" i="6"/>
  <c r="I48" i="6"/>
  <c r="K47" i="6"/>
  <c r="I47" i="6"/>
  <c r="K46" i="6"/>
  <c r="I46" i="6"/>
  <c r="C58" i="6"/>
  <c r="K45" i="6"/>
  <c r="I45" i="6"/>
  <c r="K44" i="6"/>
  <c r="I44" i="6"/>
  <c r="K43" i="6"/>
  <c r="I43" i="6"/>
  <c r="K42" i="6"/>
  <c r="I42" i="6"/>
  <c r="K41" i="6"/>
  <c r="I41" i="6"/>
  <c r="K40" i="6"/>
  <c r="I40" i="6"/>
  <c r="AD35" i="6"/>
  <c r="AD34" i="6"/>
  <c r="J77" i="6" s="1"/>
  <c r="AD33" i="6"/>
  <c r="J76" i="6" s="1"/>
  <c r="AD32" i="6"/>
  <c r="J75" i="6" s="1"/>
  <c r="AD31" i="6"/>
  <c r="J74" i="6" s="1"/>
  <c r="C33" i="6"/>
  <c r="V54" i="6" s="1"/>
  <c r="AD30" i="6"/>
  <c r="J73" i="6" s="1"/>
  <c r="AD29" i="6"/>
  <c r="J72" i="6" s="1"/>
  <c r="B31" i="6"/>
  <c r="AD28" i="6"/>
  <c r="B30" i="6"/>
  <c r="AD27" i="6"/>
  <c r="B29" i="6"/>
  <c r="AD26" i="6"/>
  <c r="J69" i="6" s="1"/>
  <c r="U19" i="6"/>
  <c r="L54" i="6" s="1"/>
  <c r="T19" i="6"/>
  <c r="F19" i="6"/>
  <c r="E19" i="6"/>
  <c r="U18" i="6"/>
  <c r="L53" i="6" s="1"/>
  <c r="T18" i="6"/>
  <c r="U17" i="6"/>
  <c r="L52" i="6" s="1"/>
  <c r="T17" i="6"/>
  <c r="U16" i="6"/>
  <c r="L51" i="6" s="1"/>
  <c r="T16" i="6"/>
  <c r="U15" i="6"/>
  <c r="L50" i="6" s="1"/>
  <c r="T15" i="6"/>
  <c r="U14" i="6"/>
  <c r="L49" i="6" s="1"/>
  <c r="T14" i="6"/>
  <c r="U13" i="6"/>
  <c r="L48" i="6" s="1"/>
  <c r="T13" i="6"/>
  <c r="U12" i="6"/>
  <c r="L47" i="6" s="1"/>
  <c r="T12" i="6"/>
  <c r="U11" i="6"/>
  <c r="L46" i="6" s="1"/>
  <c r="T11" i="6"/>
  <c r="U10" i="6"/>
  <c r="L45" i="6" s="1"/>
  <c r="T10" i="6"/>
  <c r="U9" i="6"/>
  <c r="L44" i="6" s="1"/>
  <c r="T9" i="6"/>
  <c r="U8" i="6"/>
  <c r="L43" i="6" s="1"/>
  <c r="T8" i="6"/>
  <c r="U7" i="6"/>
  <c r="L42" i="6" s="1"/>
  <c r="T7" i="6"/>
  <c r="U6" i="6"/>
  <c r="L41" i="6" s="1"/>
  <c r="T6" i="6"/>
  <c r="U5" i="6"/>
  <c r="L40" i="6" s="1"/>
  <c r="T5" i="6"/>
  <c r="U4" i="6"/>
  <c r="V4" i="6" s="1"/>
  <c r="U3" i="6"/>
  <c r="V84" i="6" l="1" a="1"/>
  <c r="V84" i="6" s="1"/>
  <c r="V81" i="6"/>
  <c r="N53" i="6"/>
  <c r="Q53" i="6" s="1"/>
  <c r="N42" i="6"/>
  <c r="Q42" i="6" s="1"/>
  <c r="N47" i="6"/>
  <c r="Q47" i="6" s="1"/>
  <c r="N48" i="6"/>
  <c r="Q48" i="6" s="1"/>
  <c r="N51" i="6"/>
  <c r="Q51" i="6" s="1"/>
  <c r="N45" i="6"/>
  <c r="Q45" i="6" s="1"/>
  <c r="N44" i="6"/>
  <c r="Q44" i="6" s="1"/>
  <c r="N50" i="6"/>
  <c r="Q50" i="6" s="1"/>
  <c r="P92" i="6"/>
  <c r="R92" i="6"/>
  <c r="P93" i="6"/>
  <c r="R93" i="6"/>
  <c r="S93" i="6" s="1"/>
  <c r="T93" i="6" s="1"/>
  <c r="J49" i="6"/>
  <c r="S49" i="6" s="1"/>
  <c r="J78" i="6"/>
  <c r="N46" i="6"/>
  <c r="Q46" i="6" s="1"/>
  <c r="N52" i="6"/>
  <c r="Q52" i="6" s="1"/>
  <c r="J41" i="6"/>
  <c r="S41" i="6" s="1"/>
  <c r="J70" i="6"/>
  <c r="J60" i="6"/>
  <c r="T59" i="6" s="1"/>
  <c r="J89" i="6"/>
  <c r="P63" i="6"/>
  <c r="J71" i="6"/>
  <c r="J42" i="6"/>
  <c r="S42" i="6" s="1"/>
  <c r="R91" i="6"/>
  <c r="S91" i="6" s="1"/>
  <c r="P91" i="6"/>
  <c r="N41" i="6"/>
  <c r="Q41" i="6" s="1"/>
  <c r="N40" i="6"/>
  <c r="Q40" i="6" s="1"/>
  <c r="N54" i="6"/>
  <c r="Q54" i="6" s="1"/>
  <c r="N43" i="6"/>
  <c r="Q43" i="6" s="1"/>
  <c r="N49" i="6"/>
  <c r="Q49" i="6" s="1"/>
  <c r="J47" i="6"/>
  <c r="S47" i="6" s="1"/>
  <c r="J40" i="6"/>
  <c r="S40" i="6" s="1"/>
  <c r="J48" i="6"/>
  <c r="S48" i="6" s="1"/>
  <c r="J45" i="6"/>
  <c r="S45" i="6" s="1"/>
  <c r="J46" i="6"/>
  <c r="S46" i="6" s="1"/>
  <c r="J44" i="6"/>
  <c r="S44" i="6" s="1"/>
  <c r="J43" i="6"/>
  <c r="S43" i="6" s="1"/>
  <c r="R64" i="6"/>
  <c r="S64" i="6" s="1"/>
  <c r="T64" i="6" s="1"/>
  <c r="P64" i="6"/>
  <c r="R63" i="6"/>
  <c r="R62" i="6"/>
  <c r="V55" i="6" l="1" a="1"/>
  <c r="V55" i="6" s="1"/>
  <c r="P90" i="6"/>
  <c r="Q89" i="6" s="1"/>
  <c r="T91" i="6"/>
  <c r="S60" i="6"/>
  <c r="N65" i="6"/>
  <c r="J58" i="6"/>
  <c r="S92" i="6"/>
  <c r="T92" i="6" s="1"/>
  <c r="N88" i="6"/>
  <c r="T88" i="6" s="1"/>
  <c r="J87" i="6"/>
  <c r="N94" i="6"/>
  <c r="M48" i="6" a="1"/>
  <c r="M48" i="6" s="1"/>
  <c r="U48" i="6" s="1"/>
  <c r="M49" i="6" a="1"/>
  <c r="M49" i="6" s="1"/>
  <c r="U49" i="6" s="1"/>
  <c r="S63" i="6"/>
  <c r="T63" i="6" s="1"/>
  <c r="S62" i="6"/>
  <c r="S89" i="6" l="1"/>
  <c r="S90" i="6"/>
  <c r="T89" i="6" s="1"/>
  <c r="T94" i="6" s="1"/>
  <c r="Q60" i="6"/>
  <c r="S61" i="6"/>
  <c r="T62" i="6"/>
  <c r="M47" i="6" a="1"/>
  <c r="M47" i="6" s="1"/>
  <c r="U47" i="6" s="1"/>
  <c r="T60" i="6" l="1"/>
  <c r="T65" i="6" l="1"/>
  <c r="W59" i="6" s="1"/>
  <c r="Z60" i="6"/>
  <c r="M41" i="6" a="1"/>
  <c r="M41" i="6" s="1"/>
  <c r="U41" i="6" s="1"/>
  <c r="M42" i="6" a="1"/>
  <c r="M42" i="6" s="1"/>
  <c r="U42" i="6" s="1"/>
  <c r="M45" i="6" a="1"/>
  <c r="M45" i="6" s="1"/>
  <c r="U45" i="6" s="1"/>
  <c r="M46" i="6" a="1"/>
  <c r="M46" i="6" s="1"/>
  <c r="U46" i="6" s="1"/>
  <c r="M44" i="6" a="1"/>
  <c r="M44" i="6" s="1"/>
  <c r="U44" i="6" s="1"/>
  <c r="M43" i="6" a="1"/>
  <c r="M43" i="6" s="1"/>
  <c r="U43" i="6" s="1"/>
  <c r="M40" i="6" a="1"/>
  <c r="M40" i="6" s="1"/>
  <c r="U40" i="6" s="1"/>
  <c r="AB60" i="6" l="1"/>
  <c r="Z62" i="6"/>
  <c r="AA61" i="6"/>
  <c r="S52" i="6"/>
  <c r="V52" i="6" s="1"/>
  <c r="AB6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<sst xmlns="http://schemas.openxmlformats.org/spreadsheetml/2006/main" count="316" uniqueCount="203">
  <si>
    <t>GRAVA 1</t>
  </si>
  <si>
    <t>GRAVILLA 2</t>
  </si>
  <si>
    <t>ARENA 3</t>
  </si>
  <si>
    <t>G5</t>
  </si>
  <si>
    <t>Resistencia</t>
  </si>
  <si>
    <t>G15</t>
  </si>
  <si>
    <t>APERTURA</t>
  </si>
  <si>
    <t>RETENIDO</t>
  </si>
  <si>
    <t>PASA</t>
  </si>
  <si>
    <t>Probabilidad defectuoso</t>
  </si>
  <si>
    <t>[mm]</t>
  </si>
  <si>
    <t>ASTM</t>
  </si>
  <si>
    <t>[g]</t>
  </si>
  <si>
    <t>[%]</t>
  </si>
  <si>
    <t>TMA</t>
  </si>
  <si>
    <t>3''</t>
  </si>
  <si>
    <t>Elemento a homigonar</t>
  </si>
  <si>
    <t>Zapata de Fundación</t>
  </si>
  <si>
    <t>2 1/2''</t>
  </si>
  <si>
    <t>Condiciones de ejecución en obra</t>
  </si>
  <si>
    <t>Buenas</t>
  </si>
  <si>
    <t>2''</t>
  </si>
  <si>
    <t>Tipo de cemento</t>
  </si>
  <si>
    <t>Melón Extra</t>
  </si>
  <si>
    <t>1 1/2''</t>
  </si>
  <si>
    <t>Clase de exposición de la obra</t>
  </si>
  <si>
    <t>C0</t>
  </si>
  <si>
    <t>1''</t>
  </si>
  <si>
    <t>Arena</t>
  </si>
  <si>
    <t>Arena 3</t>
  </si>
  <si>
    <t>3/4''</t>
  </si>
  <si>
    <t>Gravilla</t>
  </si>
  <si>
    <t>Gravilla 2</t>
  </si>
  <si>
    <t>1/2''</t>
  </si>
  <si>
    <t>Grava</t>
  </si>
  <si>
    <t>Grava 1</t>
  </si>
  <si>
    <t>3/8''</t>
  </si>
  <si>
    <t>1/4''</t>
  </si>
  <si>
    <t>N°4</t>
  </si>
  <si>
    <t>N°8</t>
  </si>
  <si>
    <t>ABORCIÓN</t>
  </si>
  <si>
    <t>N°16</t>
  </si>
  <si>
    <t>HUMEDAD</t>
  </si>
  <si>
    <t>N°30</t>
  </si>
  <si>
    <t>N°50</t>
  </si>
  <si>
    <t>DENSIDAD</t>
  </si>
  <si>
    <t>N°100</t>
  </si>
  <si>
    <t>RESIDUO</t>
  </si>
  <si>
    <t>TOTAL</t>
  </si>
  <si>
    <t>Curva Sugerida por la Norma</t>
  </si>
  <si>
    <t>Tamiz mm</t>
  </si>
  <si>
    <t>80-A</t>
  </si>
  <si>
    <t>80-B</t>
  </si>
  <si>
    <t>80-C</t>
  </si>
  <si>
    <t>80-D</t>
  </si>
  <si>
    <t>40-A</t>
  </si>
  <si>
    <t>40-B</t>
  </si>
  <si>
    <t>40-C</t>
  </si>
  <si>
    <t>40-D</t>
  </si>
  <si>
    <t>20-A</t>
  </si>
  <si>
    <t>20-B</t>
  </si>
  <si>
    <t>20-C</t>
  </si>
  <si>
    <t>20-D</t>
  </si>
  <si>
    <t>Tamiz NCh</t>
  </si>
  <si>
    <t>Tamiz Lab</t>
  </si>
  <si>
    <t>Granulometria Ar Comb</t>
  </si>
  <si>
    <t>Granulometria Interpolacion</t>
  </si>
  <si>
    <t>-</t>
  </si>
  <si>
    <t>Ponderaciones Iniciales</t>
  </si>
  <si>
    <t>Granulometria Optimizda</t>
  </si>
  <si>
    <t>Combinacion Inicial</t>
  </si>
  <si>
    <t>Objetivo</t>
  </si>
  <si>
    <t>10-A</t>
  </si>
  <si>
    <t>10-B</t>
  </si>
  <si>
    <t>10_C</t>
  </si>
  <si>
    <t>10-D</t>
  </si>
  <si>
    <t>Promedio</t>
  </si>
  <si>
    <t>Curva 10</t>
  </si>
  <si>
    <t>Suma</t>
  </si>
  <si>
    <t>Relacion Agua Cemento</t>
  </si>
  <si>
    <t>Condiciones de Obra buenas</t>
  </si>
  <si>
    <t>s</t>
  </si>
  <si>
    <t>t</t>
  </si>
  <si>
    <t>fc</t>
  </si>
  <si>
    <t>Mpa</t>
  </si>
  <si>
    <t>fm</t>
  </si>
  <si>
    <t>MPa</t>
  </si>
  <si>
    <t>PSI</t>
  </si>
  <si>
    <t>La tabla Tabla 6.3.4 expone las distintas relaciones agua cemento, por lo tanto, se puede hacer la siguiente interpolacion lineal</t>
  </si>
  <si>
    <t>w/c</t>
  </si>
  <si>
    <t>min</t>
  </si>
  <si>
    <t>Solicitud por exposicion segun NCh 170-180</t>
  </si>
  <si>
    <t>Por lo tanto la relacion agua cemento a usar es</t>
  </si>
  <si>
    <t>c</t>
  </si>
  <si>
    <t>lb/yd3</t>
  </si>
  <si>
    <t>Volumen</t>
  </si>
  <si>
    <t>m3</t>
  </si>
  <si>
    <t>w</t>
  </si>
  <si>
    <t>kg/m3</t>
  </si>
  <si>
    <t>k</t>
  </si>
  <si>
    <t>Material</t>
  </si>
  <si>
    <t>Disificacion de Aridos SSS (kg/m3)</t>
  </si>
  <si>
    <t>Agua Absorcion (kg/m3)</t>
  </si>
  <si>
    <t>Cemento</t>
  </si>
  <si>
    <t>Agua de Amasado</t>
  </si>
  <si>
    <t>Agua de Abs de Aridos</t>
  </si>
  <si>
    <t>Peso Hormigon (kg)</t>
  </si>
  <si>
    <t>Absorcion</t>
  </si>
  <si>
    <t>Humedad</t>
  </si>
  <si>
    <t>Peso Seco</t>
  </si>
  <si>
    <t>Dosificacion Aridos Huemdos (kg/m3)</t>
  </si>
  <si>
    <t>Diferencia</t>
  </si>
  <si>
    <t>Agua Total</t>
  </si>
  <si>
    <t>CEMENTO</t>
  </si>
  <si>
    <t>Valor</t>
  </si>
  <si>
    <t>Opciones</t>
  </si>
  <si>
    <t>Curva 80</t>
  </si>
  <si>
    <t>Curva 40</t>
  </si>
  <si>
    <t>Curva 20</t>
  </si>
  <si>
    <t>Ponderaciones Finales TMA</t>
  </si>
  <si>
    <t>Ponderaciones Finales Thomson</t>
  </si>
  <si>
    <t>Granulometria Sugerida</t>
  </si>
  <si>
    <t>Porcentaje Retenido</t>
  </si>
  <si>
    <t>Superior</t>
  </si>
  <si>
    <t>Inferior</t>
  </si>
  <si>
    <t>Cumple Tarantula</t>
  </si>
  <si>
    <t>G15, G20, G25, G35, G40</t>
  </si>
  <si>
    <t>1%, 2.5%, 5%, 10%, 20%</t>
  </si>
  <si>
    <t>9.5, 12.5, 19, 25, 37.5, 50, 75</t>
  </si>
  <si>
    <t>Regulares, Medias, Buenas, Muy buenas</t>
  </si>
  <si>
    <t>Slump (in.)</t>
  </si>
  <si>
    <t>1 to 2</t>
  </si>
  <si>
    <t>3 to 4</t>
  </si>
  <si>
    <t>5 to 6</t>
  </si>
  <si>
    <t>6 to 7</t>
  </si>
  <si>
    <t>More than 7</t>
  </si>
  <si>
    <t>Approximate entrapped air content in non-air-entrained concrete, %</t>
  </si>
  <si>
    <t>Defectuoso</t>
  </si>
  <si>
    <t>% Defectuoso</t>
  </si>
  <si>
    <t>Fc (Mpa)</t>
  </si>
  <si>
    <t>Fm(Mpa)</t>
  </si>
  <si>
    <t>PESO ESPECÍFICO</t>
  </si>
  <si>
    <t>Compressive strength at 28 days, psi</t>
  </si>
  <si>
    <t>Non-air-entrained concrete</t>
  </si>
  <si>
    <t>F0, F1, F2, F3, S0, S1, S2, S3, P0, P1, C0, C1, C2</t>
  </si>
  <si>
    <t>Melón Extra, Melón Especial</t>
  </si>
  <si>
    <t>Exposure Class</t>
  </si>
  <si>
    <t>Max w/c</t>
  </si>
  <si>
    <t>F0</t>
  </si>
  <si>
    <t>F1</t>
  </si>
  <si>
    <t>F2</t>
  </si>
  <si>
    <t>F3</t>
  </si>
  <si>
    <t>S0</t>
  </si>
  <si>
    <t>S1</t>
  </si>
  <si>
    <t>S2</t>
  </si>
  <si>
    <t>S3</t>
  </si>
  <si>
    <t>P0</t>
  </si>
  <si>
    <t>P1</t>
  </si>
  <si>
    <t>C1</t>
  </si>
  <si>
    <t>C2</t>
  </si>
  <si>
    <t>NA</t>
  </si>
  <si>
    <t>Max agregate size</t>
  </si>
  <si>
    <t>inch</t>
  </si>
  <si>
    <t>Slump</t>
  </si>
  <si>
    <t>Construction Type</t>
  </si>
  <si>
    <t>Muro Reforzado</t>
  </si>
  <si>
    <t>Losa</t>
  </si>
  <si>
    <t>Columna</t>
  </si>
  <si>
    <t>Vigas</t>
  </si>
  <si>
    <t>Muro Reforzado, Losa, Columna, Vigas, Zapata de Fundación</t>
  </si>
  <si>
    <t>3/8"</t>
  </si>
  <si>
    <t>1/2"</t>
  </si>
  <si>
    <t>3/4"</t>
  </si>
  <si>
    <t>1"</t>
  </si>
  <si>
    <t>2"</t>
  </si>
  <si>
    <t>3"</t>
  </si>
  <si>
    <t>Max Agregate</t>
  </si>
  <si>
    <t>Funcion Objetivo TMA</t>
  </si>
  <si>
    <t>Combinacion Final TMA</t>
  </si>
  <si>
    <t>Correccion por Humedad TMA</t>
  </si>
  <si>
    <t>Factor K TMA</t>
  </si>
  <si>
    <t>Interpolacion TMA</t>
  </si>
  <si>
    <t>Combinacion Final Thomson</t>
  </si>
  <si>
    <t>{ASA</t>
  </si>
  <si>
    <t>Interpolacion Thomson</t>
  </si>
  <si>
    <t>Funcion Objetivo Thomson</t>
  </si>
  <si>
    <t>Factor K Thomson</t>
  </si>
  <si>
    <t>Correccion por Humedad Thomson</t>
  </si>
  <si>
    <t>Delta Tarantula</t>
  </si>
  <si>
    <t>Condicion para eljar la mezcla de los bordes de la tarantula</t>
  </si>
  <si>
    <t>Tarantula</t>
  </si>
  <si>
    <t>Solver Solution</t>
  </si>
  <si>
    <t>Densidad Teorica</t>
  </si>
  <si>
    <t>Densidad real</t>
  </si>
  <si>
    <t>factor</t>
  </si>
  <si>
    <t>Agua</t>
  </si>
  <si>
    <t>Agregados</t>
  </si>
  <si>
    <t>Densidad</t>
  </si>
  <si>
    <t>Teorico</t>
  </si>
  <si>
    <t>Real</t>
  </si>
  <si>
    <t>Corregida</t>
  </si>
  <si>
    <t>Densidad Real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</si>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</sst>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%"/>
    <numFmt numFmtId="167" formatCode="0.00000"/>
  </numFmts>
  <fonts count="1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Overpass"/>
    </font>
    <font>
      <sz val="11"/>
      <color rgb="FF000000"/>
      <name val="Overpass"/>
    </font>
    <font>
      <b/>
      <sz val="11"/>
      <color rgb="FF000000"/>
      <name val="Overpass"/>
    </font>
    <font>
      <sz val="10"/>
      <name val="Arial"/>
      <family val="2"/>
    </font>
    <font>
      <sz val="11"/>
      <color rgb="FF000000"/>
      <name val="Arial"/>
      <family val="2"/>
    </font>
    <font>
      <sz val="12"/>
      <color rgb="FF000000"/>
      <name val="Overpass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DEBF7"/>
        <bgColor rgb="FFDDEBF7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theme="5"/>
      </patternFill>
    </fill>
    <fill>
      <patternFill patternType="solid">
        <fgColor rgb="FFEBD1DD"/>
        <bgColor indexed="64"/>
      </patternFill>
    </fill>
    <fill>
      <patternFill patternType="solid">
        <fgColor theme="0" tint="-4.9989318521683403E-2"/>
        <bgColor rgb="FF3C7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D1DD"/>
        <bgColor rgb="FFFFD966"/>
      </patternFill>
    </fill>
    <fill>
      <patternFill patternType="solid">
        <fgColor rgb="FF93C57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rgb="FFEAD1DC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0">
    <xf numFmtId="0" fontId="0" fillId="0" borderId="0" xfId="0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0" fillId="0" borderId="10" xfId="0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9" fontId="10" fillId="0" borderId="1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9" fontId="10" fillId="0" borderId="17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7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0" fillId="0" borderId="1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7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17" borderId="10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5" fontId="0" fillId="0" borderId="15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5" xfId="0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16" xfId="0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10" fontId="0" fillId="0" borderId="10" xfId="1" applyNumberFormat="1" applyFont="1" applyFill="1" applyBorder="1" applyAlignment="1">
      <alignment horizontal="center" vertical="center"/>
    </xf>
    <xf numFmtId="10" fontId="10" fillId="0" borderId="10" xfId="0" applyNumberFormat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9" fontId="11" fillId="0" borderId="0" xfId="0" applyNumberFormat="1" applyFont="1" applyAlignment="1">
      <alignment horizontal="center"/>
    </xf>
    <xf numFmtId="0" fontId="15" fillId="0" borderId="10" xfId="0" applyFont="1" applyBorder="1" applyAlignment="1">
      <alignment horizontal="center" vertical="top"/>
    </xf>
    <xf numFmtId="9" fontId="4" fillId="0" borderId="10" xfId="1" applyFont="1" applyBorder="1" applyAlignment="1">
      <alignment horizontal="center"/>
    </xf>
    <xf numFmtId="0" fontId="7" fillId="0" borderId="0" xfId="0" applyFont="1" applyAlignment="1">
      <alignment horizontal="center"/>
    </xf>
    <xf numFmtId="1" fontId="10" fillId="0" borderId="5" xfId="0" applyNumberFormat="1" applyFont="1" applyBorder="1" applyAlignment="1">
      <alignment horizontal="center"/>
    </xf>
    <xf numFmtId="1" fontId="10" fillId="0" borderId="24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10" xfId="0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1" fillId="18" borderId="10" xfId="0" applyFont="1" applyFill="1" applyBorder="1" applyAlignment="1">
      <alignment horizontal="center"/>
    </xf>
    <xf numFmtId="0" fontId="3" fillId="18" borderId="1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10" fontId="11" fillId="0" borderId="10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166" fontId="3" fillId="0" borderId="10" xfId="1" applyNumberFormat="1" applyFont="1" applyBorder="1" applyAlignment="1">
      <alignment horizontal="center"/>
    </xf>
    <xf numFmtId="1" fontId="0" fillId="0" borderId="10" xfId="1" applyNumberFormat="1" applyFont="1" applyBorder="1" applyAlignment="1">
      <alignment horizontal="center"/>
    </xf>
    <xf numFmtId="167" fontId="0" fillId="0" borderId="10" xfId="0" applyNumberFormat="1" applyBorder="1" applyAlignment="1">
      <alignment horizontal="center" wrapText="1"/>
    </xf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wrapText="1"/>
    </xf>
    <xf numFmtId="165" fontId="2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11" fillId="0" borderId="10" xfId="0" applyNumberFormat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1" fillId="15" borderId="10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11" fillId="0" borderId="10" xfId="0" applyNumberFormat="1" applyFont="1" applyBorder="1" applyAlignment="1">
      <alignment horizontal="center"/>
    </xf>
    <xf numFmtId="0" fontId="11" fillId="16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 wrapText="1"/>
    </xf>
    <xf numFmtId="0" fontId="14" fillId="0" borderId="19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9" fontId="0" fillId="0" borderId="19" xfId="0" applyNumberFormat="1" applyBorder="1" applyAlignment="1">
      <alignment horizontal="center" wrapText="1"/>
    </xf>
    <xf numFmtId="9" fontId="0" fillId="0" borderId="21" xfId="0" applyNumberFormat="1" applyBorder="1" applyAlignment="1">
      <alignment horizontal="center" wrapText="1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/>
    </xf>
    <xf numFmtId="167" fontId="0" fillId="0" borderId="10" xfId="1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3C57D"/>
      <color rgb="FFEBD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Granulometría NCh 163 - Dm 10mm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PLANTILLA!$V$26:$V$35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0.61</c:v>
                </c:pt>
                <c:pt idx="5">
                  <c:v>0.37</c:v>
                </c:pt>
                <c:pt idx="6">
                  <c:v>0.22</c:v>
                </c:pt>
                <c:pt idx="7">
                  <c:v>0.13</c:v>
                </c:pt>
                <c:pt idx="8">
                  <c:v>0.05</c:v>
                </c:pt>
                <c:pt idx="9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93-4323-9A79-77A1AE840598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PLANTILLA!$W$26:$W$35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0.74</c:v>
                </c:pt>
                <c:pt idx="5">
                  <c:v>0.56000000000000005</c:v>
                </c:pt>
                <c:pt idx="6">
                  <c:v>0.41</c:v>
                </c:pt>
                <c:pt idx="7">
                  <c:v>0.27</c:v>
                </c:pt>
                <c:pt idx="8">
                  <c:v>0.13</c:v>
                </c:pt>
                <c:pt idx="9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93-4323-9A79-77A1AE840598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PLANTILLA!$X$26:$X$35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0.87</c:v>
                </c:pt>
                <c:pt idx="5">
                  <c:v>0.73</c:v>
                </c:pt>
                <c:pt idx="6">
                  <c:v>0.59</c:v>
                </c:pt>
                <c:pt idx="7">
                  <c:v>0.43</c:v>
                </c:pt>
                <c:pt idx="8">
                  <c:v>0.26</c:v>
                </c:pt>
                <c:pt idx="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93-4323-9A79-77A1AE840598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PLANTILLA!$Y$26:$Y$35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93-4323-9A79-77A1AE840598}"/>
            </c:ext>
          </c:extLst>
        </c:ser>
        <c:ser>
          <c:idx val="4"/>
          <c:order val="4"/>
          <c:tx>
            <c:v>Promedio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PLANTILLA!$AD$26:$AD$35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0.20750000000000002</c:v>
                </c:pt>
                <c:pt idx="8">
                  <c:v>0.11</c:v>
                </c:pt>
                <c:pt idx="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93-4323-9A79-77A1AE840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411423"/>
        <c:axId val="1107412863"/>
      </c:scatterChart>
      <c:valAx>
        <c:axId val="110741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7412863"/>
        <c:crosses val="autoZero"/>
        <c:crossBetween val="midCat"/>
      </c:valAx>
      <c:valAx>
        <c:axId val="11074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741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Optimización Fuller - Thompson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Objetivo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PLANTILLA!$I$69:$I$78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PLANTILLA!$J$69:$J$78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0.20750000000000002</c:v>
                </c:pt>
                <c:pt idx="8">
                  <c:v>0.11</c:v>
                </c:pt>
                <c:pt idx="9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D-FA41-8DD0-15CF5C574EBE}"/>
            </c:ext>
          </c:extLst>
        </c:ser>
        <c:ser>
          <c:idx val="1"/>
          <c:order val="1"/>
          <c:tx>
            <c:v>Optimizada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PLANTILLA!$I$69:$I$78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PLANTILLA!$M$69:$M$78</c:f>
              <c:numCache>
                <c:formatCode>0%</c:formatCode>
                <c:ptCount val="10"/>
                <c:pt idx="0">
                  <c:v>0.99999999222492197</c:v>
                </c:pt>
                <c:pt idx="1">
                  <c:v>0.98672910510527101</c:v>
                </c:pt>
                <c:pt idx="2">
                  <c:v>0.77097231785023812</c:v>
                </c:pt>
                <c:pt idx="3">
                  <c:v>0.60432640635609414</c:v>
                </c:pt>
                <c:pt idx="4">
                  <c:v>0.38488445963349843</c:v>
                </c:pt>
                <c:pt idx="5">
                  <c:v>0.27375290422488902</c:v>
                </c:pt>
                <c:pt idx="6">
                  <c:v>0.19082293326782201</c:v>
                </c:pt>
                <c:pt idx="7">
                  <c:v>0.13456442646383748</c:v>
                </c:pt>
                <c:pt idx="8">
                  <c:v>5.4209267527949551E-2</c:v>
                </c:pt>
                <c:pt idx="9">
                  <c:v>2.207107656184765E-2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8D-FA41-8DD0-15CF5C574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437472"/>
        <c:axId val="1298032496"/>
      </c:scatterChart>
      <c:valAx>
        <c:axId val="12974374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8032496"/>
        <c:crosses val="autoZero"/>
        <c:crossBetween val="midCat"/>
      </c:valAx>
      <c:valAx>
        <c:axId val="12980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743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Granulometría</a:t>
            </a:r>
            <a:r>
              <a:rPr lang="es-MX" baseline="0"/>
              <a:t> Entregadas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Grava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PLANTILLA!$M$5:$M$19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0.94</c:v>
                </c:pt>
                <c:pt idx="4">
                  <c:v>0.62</c:v>
                </c:pt>
                <c:pt idx="5">
                  <c:v>0.14000000000000001</c:v>
                </c:pt>
                <c:pt idx="6">
                  <c:v>0.08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B-9744-A89E-7FC1428A5217}"/>
            </c:ext>
          </c:extLst>
        </c:ser>
        <c:ser>
          <c:idx val="1"/>
          <c:order val="1"/>
          <c:tx>
            <c:v>Gravilla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PLANTILLA!$P$5:$P$19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0.95</c:v>
                </c:pt>
                <c:pt idx="6">
                  <c:v>0.6</c:v>
                </c:pt>
                <c:pt idx="7">
                  <c:v>0.48</c:v>
                </c:pt>
                <c:pt idx="8">
                  <c:v>0.2</c:v>
                </c:pt>
                <c:pt idx="9">
                  <c:v>0.12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FB-9744-A89E-7FC1428A5217}"/>
            </c:ext>
          </c:extLst>
        </c:ser>
        <c:ser>
          <c:idx val="2"/>
          <c:order val="2"/>
          <c:tx>
            <c:v>Arena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PLANTILLA!$S$5:$S$19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0.96</c:v>
                </c:pt>
                <c:pt idx="9">
                  <c:v>0.68</c:v>
                </c:pt>
                <c:pt idx="10">
                  <c:v>0.55000000000000004</c:v>
                </c:pt>
                <c:pt idx="11">
                  <c:v>0.38</c:v>
                </c:pt>
                <c:pt idx="12">
                  <c:v>0.27</c:v>
                </c:pt>
                <c:pt idx="13">
                  <c:v>0.1</c:v>
                </c:pt>
                <c:pt idx="14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FB-9744-A89E-7FC1428A5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535968"/>
        <c:axId val="139891408"/>
      </c:scatterChart>
      <c:valAx>
        <c:axId val="20055359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9891408"/>
        <c:crosses val="autoZero"/>
        <c:crossBetween val="midCat"/>
      </c:valAx>
      <c:valAx>
        <c:axId val="1398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553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Optimización con</a:t>
            </a:r>
            <a:r>
              <a:rPr lang="es-MX" baseline="0"/>
              <a:t> Banda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6176227754418479E-2"/>
          <c:y val="0.28963646275403804"/>
          <c:w val="0.90458384976268702"/>
          <c:h val="0.62379530132307837"/>
        </c:manualLayout>
      </c:layout>
      <c:scatterChart>
        <c:scatterStyle val="lineMarker"/>
        <c:varyColors val="0"/>
        <c:ser>
          <c:idx val="0"/>
          <c:order val="0"/>
          <c:tx>
            <c:v>Objetivo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PLANTILLA!$I$40:$I$49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PLANTILLA!$S$40:$S$49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0.20750000000000002</c:v>
                </c:pt>
                <c:pt idx="8">
                  <c:v>0.11</c:v>
                </c:pt>
                <c:pt idx="9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F-244D-B8DE-5E29EEB68ABE}"/>
            </c:ext>
          </c:extLst>
        </c:ser>
        <c:ser>
          <c:idx val="1"/>
          <c:order val="1"/>
          <c:tx>
            <c:v>Optimizada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PLANTILLA!$I$40:$I$49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PLANTILLA!$M$40:$M$49</c:f>
              <c:numCache>
                <c:formatCode>0%</c:formatCode>
                <c:ptCount val="10"/>
                <c:pt idx="0">
                  <c:v>0.99999999163458964</c:v>
                </c:pt>
                <c:pt idx="1">
                  <c:v>0.98791436677325106</c:v>
                </c:pt>
                <c:pt idx="2">
                  <c:v>0.78989956060224542</c:v>
                </c:pt>
                <c:pt idx="3">
                  <c:v>0.62096535512783646</c:v>
                </c:pt>
                <c:pt idx="4">
                  <c:v>0.39337300182073476</c:v>
                </c:pt>
                <c:pt idx="5">
                  <c:v>0.27868076215551546</c:v>
                </c:pt>
                <c:pt idx="6">
                  <c:v>0.19416882594046603</c:v>
                </c:pt>
                <c:pt idx="7">
                  <c:v>0.13692388148736961</c:v>
                </c:pt>
                <c:pt idx="8">
                  <c:v>5.5159773779504748E-2</c:v>
                </c:pt>
                <c:pt idx="9">
                  <c:v>2.2458071206993394E-2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0F-244D-B8DE-5E29EEB68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311984"/>
        <c:axId val="595961792"/>
      </c:scatterChart>
      <c:valAx>
        <c:axId val="10033119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95961792"/>
        <c:crosses val="autoZero"/>
        <c:crossBetween val="midCat"/>
      </c:valAx>
      <c:valAx>
        <c:axId val="5959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331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Distribucion</a:t>
            </a:r>
            <a:r>
              <a:rPr lang="es-MX" baseline="0"/>
              <a:t> Granulometrica Optimizada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Grava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PLANTILLA!$L$5:$L$19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0.06</c:v>
                </c:pt>
                <c:pt idx="4">
                  <c:v>0.32</c:v>
                </c:pt>
                <c:pt idx="5">
                  <c:v>0.48</c:v>
                </c:pt>
                <c:pt idx="6">
                  <c:v>0.06</c:v>
                </c:pt>
                <c:pt idx="7">
                  <c:v>0.08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A-E446-A3F6-2F29C6BB6434}"/>
            </c:ext>
          </c:extLst>
        </c:ser>
        <c:ser>
          <c:idx val="1"/>
          <c:order val="1"/>
          <c:tx>
            <c:v>Gravilla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PLANTILLA!$O$5:$O$19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0.35</c:v>
                </c:pt>
                <c:pt idx="7">
                  <c:v>0.12</c:v>
                </c:pt>
                <c:pt idx="8">
                  <c:v>0.28000000000000003</c:v>
                </c:pt>
                <c:pt idx="9">
                  <c:v>0.08</c:v>
                </c:pt>
                <c:pt idx="10">
                  <c:v>0.12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3A-E446-A3F6-2F29C6BB6434}"/>
            </c:ext>
          </c:extLst>
        </c:ser>
        <c:ser>
          <c:idx val="2"/>
          <c:order val="2"/>
          <c:tx>
            <c:v>Arena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PLANTILLA!$R$5:$R$19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0.04</c:v>
                </c:pt>
                <c:pt idx="9">
                  <c:v>0.28000000000000003</c:v>
                </c:pt>
                <c:pt idx="10">
                  <c:v>0.13</c:v>
                </c:pt>
                <c:pt idx="11">
                  <c:v>0.17</c:v>
                </c:pt>
                <c:pt idx="12">
                  <c:v>0.11</c:v>
                </c:pt>
                <c:pt idx="13">
                  <c:v>0.17</c:v>
                </c:pt>
                <c:pt idx="14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3A-E446-A3F6-2F29C6BB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477392"/>
        <c:axId val="1991479104"/>
      </c:scatterChart>
      <c:valAx>
        <c:axId val="1991477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1479104"/>
        <c:crosses val="autoZero"/>
        <c:crossBetween val="midCat"/>
      </c:valAx>
      <c:valAx>
        <c:axId val="19914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147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Gráfico</a:t>
            </a:r>
            <a:r>
              <a:rPr lang="es-MX" baseline="0"/>
              <a:t> Tarántula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Lim Sup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PLANTILLA!$AI$4:$AI$18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PLANTILLA!$AG$4:$AG$18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2.5000000000000001E-2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0.125</c:v>
                </c:pt>
                <c:pt idx="11">
                  <c:v>0.125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0-704C-B44D-9D9265B44F6D}"/>
            </c:ext>
          </c:extLst>
        </c:ser>
        <c:ser>
          <c:idx val="1"/>
          <c:order val="1"/>
          <c:tx>
            <c:v>Lim Sup Acotado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PLANTILLA!$K$40:$K$54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PLANTILLA!$O$40:$O$54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2.4500000000000001E-2</c:v>
                </c:pt>
                <c:pt idx="4">
                  <c:v>0.14949999999999999</c:v>
                </c:pt>
                <c:pt idx="5">
                  <c:v>0.19950000000000001</c:v>
                </c:pt>
                <c:pt idx="6">
                  <c:v>0.19950000000000001</c:v>
                </c:pt>
                <c:pt idx="7">
                  <c:v>0.19950000000000001</c:v>
                </c:pt>
                <c:pt idx="8">
                  <c:v>0.19950000000000001</c:v>
                </c:pt>
                <c:pt idx="9">
                  <c:v>0.19950000000000001</c:v>
                </c:pt>
                <c:pt idx="10">
                  <c:v>0.1245</c:v>
                </c:pt>
                <c:pt idx="11">
                  <c:v>0.1245</c:v>
                </c:pt>
                <c:pt idx="12">
                  <c:v>0.19950000000000001</c:v>
                </c:pt>
                <c:pt idx="13">
                  <c:v>0.19950000000000001</c:v>
                </c:pt>
                <c:pt idx="14">
                  <c:v>9.9500000000000005E-2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50-704C-B44D-9D9265B44F6D}"/>
            </c:ext>
          </c:extLst>
        </c:ser>
        <c:ser>
          <c:idx val="4"/>
          <c:order val="2"/>
          <c:tx>
            <c:v>TMA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PLANTILLA!$K$40:$K$54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PLANTILLA!$N$40:$N$54</c:f>
              <c:numCache>
                <c:formatCode>0.00%</c:formatCode>
                <c:ptCount val="15"/>
                <c:pt idx="0">
                  <c:v>8.3654103644192901E-9</c:v>
                </c:pt>
                <c:pt idx="1">
                  <c:v>0</c:v>
                </c:pt>
                <c:pt idx="2">
                  <c:v>0</c:v>
                </c:pt>
                <c:pt idx="3">
                  <c:v>1.5581080369599931E-2</c:v>
                </c:pt>
                <c:pt idx="4">
                  <c:v>8.30990953045323E-2</c:v>
                </c:pt>
                <c:pt idx="5">
                  <c:v>0.13703207306553788</c:v>
                </c:pt>
                <c:pt idx="6">
                  <c:v>0.1022650911307752</c:v>
                </c:pt>
                <c:pt idx="7">
                  <c:v>5.0495006087107552E-2</c:v>
                </c:pt>
                <c:pt idx="8">
                  <c:v>8.9053077274265924E-2</c:v>
                </c:pt>
                <c:pt idx="9">
                  <c:v>0.15775456883126188</c:v>
                </c:pt>
                <c:pt idx="10">
                  <c:v>9.3764305423282457E-2</c:v>
                </c:pt>
                <c:pt idx="11">
                  <c:v>8.3749941827633678E-2</c:v>
                </c:pt>
                <c:pt idx="12">
                  <c:v>5.4191138829645297E-2</c:v>
                </c:pt>
                <c:pt idx="13">
                  <c:v>8.3749941827633623E-2</c:v>
                </c:pt>
                <c:pt idx="14">
                  <c:v>2.9558802997988347E-2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50-704C-B44D-9D9265B44F6D}"/>
            </c:ext>
          </c:extLst>
        </c:ser>
        <c:ser>
          <c:idx val="2"/>
          <c:order val="3"/>
          <c:tx>
            <c:v>Lim Inf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PLANTILLA!$AI$4:$AI$18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PLANTILLA!$AH$4:$AH$18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  <c:pt idx="13">
                  <c:v>0.05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50-704C-B44D-9D9265B44F6D}"/>
            </c:ext>
          </c:extLst>
        </c:ser>
        <c:ser>
          <c:idx val="3"/>
          <c:order val="4"/>
          <c:tx>
            <c:v>Lim Inf Acotado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PLANTILLA!$K$40:$K$54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PLANTILLA!$P$40:$P$54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5.0000000000000001E-4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5.0500000000000003E-2</c:v>
                </c:pt>
                <c:pt idx="7">
                  <c:v>5.0500000000000003E-2</c:v>
                </c:pt>
                <c:pt idx="8">
                  <c:v>5.0500000000000003E-2</c:v>
                </c:pt>
                <c:pt idx="9">
                  <c:v>5.0500000000000003E-2</c:v>
                </c:pt>
                <c:pt idx="10">
                  <c:v>5.0000000000000001E-4</c:v>
                </c:pt>
                <c:pt idx="11">
                  <c:v>5.0000000000000001E-4</c:v>
                </c:pt>
                <c:pt idx="12">
                  <c:v>5.0500000000000003E-2</c:v>
                </c:pt>
                <c:pt idx="13">
                  <c:v>5.0500000000000003E-2</c:v>
                </c:pt>
                <c:pt idx="14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50-704C-B44D-9D9265B44F6D}"/>
            </c:ext>
          </c:extLst>
        </c:ser>
        <c:ser>
          <c:idx val="5"/>
          <c:order val="5"/>
          <c:tx>
            <c:v>Thomson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PLANTILLA!$K$69:$K$83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PLANTILLA!$N$69:$N$83</c:f>
              <c:numCache>
                <c:formatCode>0.00%</c:formatCode>
                <c:ptCount val="15"/>
                <c:pt idx="0">
                  <c:v>7.7750780258512009E-9</c:v>
                </c:pt>
                <c:pt idx="1">
                  <c:v>0</c:v>
                </c:pt>
                <c:pt idx="2">
                  <c:v>0</c:v>
                </c:pt>
                <c:pt idx="3">
                  <c:v>1.7109149188357931E-2</c:v>
                </c:pt>
                <c:pt idx="4">
                  <c:v>9.1248795671242111E-2</c:v>
                </c:pt>
                <c:pt idx="5">
                  <c:v>0.14840769426122968</c:v>
                </c:pt>
                <c:pt idx="6">
                  <c:v>9.7850654468924048E-2</c:v>
                </c:pt>
                <c:pt idx="7">
                  <c:v>5.0495000728290385E-2</c:v>
                </c:pt>
                <c:pt idx="8">
                  <c:v>8.3959503851051331E-2</c:v>
                </c:pt>
                <c:pt idx="9">
                  <c:v>0.15401929859317492</c:v>
                </c:pt>
                <c:pt idx="10">
                  <c:v>9.0623275596924402E-2</c:v>
                </c:pt>
                <c:pt idx="11">
                  <c:v>8.2306773413042961E-2</c:v>
                </c:pt>
                <c:pt idx="12">
                  <c:v>5.3257323973145421E-2</c:v>
                </c:pt>
                <c:pt idx="13">
                  <c:v>8.2306773413042933E-2</c:v>
                </c:pt>
                <c:pt idx="14">
                  <c:v>2.9049449439897509E-2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50-704C-B44D-9D9265B44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334815"/>
        <c:axId val="1445336527"/>
      </c:scatterChart>
      <c:valAx>
        <c:axId val="14453348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45336527"/>
        <c:crosses val="autoZero"/>
        <c:crossBetween val="midCat"/>
      </c:valAx>
      <c:valAx>
        <c:axId val="144533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4533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1053040</xdr:colOff>
      <xdr:row>38</xdr:row>
      <xdr:rowOff>104773</xdr:rowOff>
    </xdr:from>
    <xdr:to>
      <xdr:col>28</xdr:col>
      <xdr:colOff>248706</xdr:colOff>
      <xdr:row>49</xdr:row>
      <xdr:rowOff>180973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0F0EBA-76F9-3B3D-D025-801A51D17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31</xdr:row>
      <xdr:rowOff>190500</xdr:rowOff>
    </xdr:from>
    <xdr:to>
      <xdr:col>7</xdr:col>
      <xdr:colOff>50800</xdr:colOff>
      <xdr:row>45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3C6300-E83F-29C6-E706-1602F767D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445043</xdr:colOff>
      <xdr:row>2</xdr:row>
      <xdr:rowOff>19647</xdr:rowOff>
    </xdr:from>
    <xdr:to>
      <xdr:col>7</xdr:col>
      <xdr:colOff>66757</xdr:colOff>
      <xdr:row>15</xdr:row>
      <xdr:rowOff>81736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0EB0D9-A574-1C4B-906D-B4D06BDAB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444500</xdr:colOff>
      <xdr:row>16</xdr:row>
      <xdr:rowOff>127000</xdr:rowOff>
    </xdr:from>
    <xdr:to>
      <xdr:col>7</xdr:col>
      <xdr:colOff>63500</xdr:colOff>
      <xdr:row>30</xdr:row>
      <xdr:rowOff>25400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C956496-3477-EE82-27C2-5EE62F893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131885</xdr:colOff>
      <xdr:row>2</xdr:row>
      <xdr:rowOff>8304</xdr:rowOff>
    </xdr:from>
    <xdr:to>
      <xdr:col>13</xdr:col>
      <xdr:colOff>551962</xdr:colOff>
      <xdr:row>15</xdr:row>
      <xdr:rowOff>52754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6FAA11-A490-2AA1-9D5C-EB0CBC84C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186836</xdr:colOff>
      <xdr:row>16</xdr:row>
      <xdr:rowOff>203690</xdr:rowOff>
    </xdr:from>
    <xdr:to>
      <xdr:col>13</xdr:col>
      <xdr:colOff>606913</xdr:colOff>
      <xdr:row>30</xdr:row>
      <xdr:rowOff>40543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6915167-9602-8ECD-B23E-1BD1D29AE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F1EF-BE06-8C42-B267-5F50F3069F0B}">
  <dimension ref="B1:AI94"/>
  <sheetViews>
    <sheetView tabSelected="1" topLeftCell="H23" zoomScale="45" zoomScaleNormal="216" workbookViewId="0">
      <selection activeCell="X84" sqref="X84"/>
    </sheetView>
  </sheetViews>
  <sheetFormatPr baseColWidth="10" defaultColWidth="25.6875" defaultRowHeight="15.75"/>
  <cols>
    <col min="1" max="2" width="25.6875" style="13"/>
    <col min="3" max="3" width="25.5" style="13" bestFit="1" customWidth="1"/>
    <col min="4" max="4" width="16" style="13" bestFit="1" customWidth="1"/>
    <col min="5" max="5" width="25.5" style="13" bestFit="1" customWidth="1"/>
    <col min="6" max="6" width="24.6875" style="13" bestFit="1" customWidth="1"/>
    <col min="7" max="7" width="24.1875" style="13" bestFit="1" customWidth="1"/>
    <col min="8" max="8" width="25.6875" style="13"/>
    <col min="9" max="9" width="9" style="13" bestFit="1" customWidth="1"/>
    <col min="10" max="10" width="17.5" style="13" bestFit="1" customWidth="1"/>
    <col min="11" max="11" width="8" style="13" bestFit="1" customWidth="1"/>
    <col min="12" max="12" width="17" style="13" bestFit="1" customWidth="1"/>
    <col min="13" max="13" width="20.8125" style="13" bestFit="1" customWidth="1"/>
    <col min="14" max="14" width="23.3125" style="13" bestFit="1" customWidth="1"/>
    <col min="15" max="15" width="10" style="13" bestFit="1" customWidth="1"/>
    <col min="16" max="16" width="21.5" style="13" bestFit="1" customWidth="1"/>
    <col min="17" max="17" width="13.6875" style="13" bestFit="1" customWidth="1"/>
    <col min="18" max="18" width="10" style="13" bestFit="1" customWidth="1"/>
    <col min="19" max="19" width="14.3125" style="13" bestFit="1" customWidth="1"/>
    <col min="20" max="20" width="25" style="13" bestFit="1" customWidth="1"/>
    <col min="21" max="21" width="19.6875" style="13" bestFit="1" customWidth="1"/>
    <col min="22" max="22" width="23.3125" style="13" bestFit="1" customWidth="1"/>
    <col min="23" max="23" width="13.6875" style="13" bestFit="1" customWidth="1"/>
    <col min="24" max="24" width="19.3125" style="13" customWidth="1"/>
    <col min="25" max="25" width="10" style="13" bestFit="1" customWidth="1"/>
    <col min="26" max="28" width="13.6875" style="13" bestFit="1" customWidth="1"/>
    <col min="29" max="30" width="9" style="13" bestFit="1" customWidth="1"/>
    <col min="31" max="31" width="4.8125" style="13" bestFit="1" customWidth="1"/>
    <col min="32" max="32" width="25.6875" style="13"/>
    <col min="33" max="33" width="8" style="13" bestFit="1" customWidth="1"/>
    <col min="34" max="34" width="6.8125" style="13" bestFit="1" customWidth="1"/>
    <col min="35" max="35" width="5.1875" style="13" bestFit="1" customWidth="1"/>
    <col min="36" max="16384" width="25.6875" style="13"/>
  </cols>
  <sheetData>
    <row r="1" spans="2:35"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X1" s="119" t="s">
        <v>176</v>
      </c>
      <c r="Y1" s="119"/>
      <c r="Z1" s="119"/>
      <c r="AA1" s="119"/>
      <c r="AB1" s="119"/>
      <c r="AC1" s="119"/>
      <c r="AD1" s="119"/>
    </row>
    <row r="2" spans="2:35">
      <c r="B2" s="51"/>
      <c r="C2" s="52"/>
      <c r="D2" s="49" t="s">
        <v>114</v>
      </c>
      <c r="E2" s="119" t="s">
        <v>115</v>
      </c>
      <c r="F2" s="119"/>
      <c r="G2" s="119"/>
      <c r="I2" s="11"/>
      <c r="J2" s="11"/>
      <c r="K2" s="132" t="s">
        <v>0</v>
      </c>
      <c r="L2" s="121"/>
      <c r="M2" s="122"/>
      <c r="N2" s="133" t="s">
        <v>1</v>
      </c>
      <c r="O2" s="121"/>
      <c r="P2" s="122"/>
      <c r="Q2" s="120" t="s">
        <v>2</v>
      </c>
      <c r="R2" s="121"/>
      <c r="S2" s="122"/>
      <c r="T2" s="20" t="s">
        <v>70</v>
      </c>
      <c r="U2" s="22" t="s">
        <v>178</v>
      </c>
      <c r="V2" s="107" t="s">
        <v>182</v>
      </c>
      <c r="X2" s="97" t="s">
        <v>130</v>
      </c>
      <c r="Y2" s="97" t="s">
        <v>170</v>
      </c>
      <c r="Z2" s="97" t="s">
        <v>171</v>
      </c>
      <c r="AA2" s="97" t="s">
        <v>172</v>
      </c>
      <c r="AB2" s="97" t="s">
        <v>173</v>
      </c>
      <c r="AC2" s="97" t="str">
        <f>J8</f>
        <v>1 1/2''</v>
      </c>
      <c r="AD2" s="97" t="s">
        <v>174</v>
      </c>
      <c r="AE2" s="97" t="s">
        <v>175</v>
      </c>
      <c r="AG2" s="119" t="s">
        <v>190</v>
      </c>
      <c r="AH2" s="119"/>
    </row>
    <row r="3" spans="2:35" ht="17" customHeight="1">
      <c r="B3" s="123" t="s">
        <v>3</v>
      </c>
      <c r="C3" s="53" t="s">
        <v>4</v>
      </c>
      <c r="D3" s="87" t="s">
        <v>5</v>
      </c>
      <c r="E3" s="131" t="s">
        <v>126</v>
      </c>
      <c r="F3" s="131"/>
      <c r="G3" s="131"/>
      <c r="I3" s="126" t="s">
        <v>6</v>
      </c>
      <c r="J3" s="127"/>
      <c r="K3" s="128" t="s">
        <v>7</v>
      </c>
      <c r="L3" s="127"/>
      <c r="M3" s="88" t="s">
        <v>8</v>
      </c>
      <c r="N3" s="129" t="s">
        <v>7</v>
      </c>
      <c r="O3" s="127"/>
      <c r="P3" s="89" t="s">
        <v>8</v>
      </c>
      <c r="Q3" s="130" t="s">
        <v>7</v>
      </c>
      <c r="R3" s="127"/>
      <c r="S3" s="90" t="s">
        <v>8</v>
      </c>
      <c r="T3" s="91" t="s">
        <v>8</v>
      </c>
      <c r="U3" s="92" t="str">
        <f>T3</f>
        <v>PASA</v>
      </c>
      <c r="V3" s="108" t="s">
        <v>183</v>
      </c>
      <c r="X3" s="14" t="s">
        <v>131</v>
      </c>
      <c r="Y3" s="36">
        <v>350</v>
      </c>
      <c r="Z3" s="36">
        <v>335</v>
      </c>
      <c r="AA3" s="36">
        <v>315</v>
      </c>
      <c r="AB3" s="36">
        <v>300</v>
      </c>
      <c r="AC3" s="36">
        <v>275</v>
      </c>
      <c r="AD3" s="36">
        <v>260</v>
      </c>
      <c r="AE3" s="36">
        <v>220</v>
      </c>
      <c r="AG3" s="29" t="s">
        <v>123</v>
      </c>
      <c r="AH3" s="29" t="s">
        <v>124</v>
      </c>
    </row>
    <row r="4" spans="2:35" ht="17" customHeight="1">
      <c r="B4" s="124"/>
      <c r="C4" s="53" t="s">
        <v>9</v>
      </c>
      <c r="D4" s="98">
        <v>0.01</v>
      </c>
      <c r="E4" s="131" t="s">
        <v>127</v>
      </c>
      <c r="F4" s="131"/>
      <c r="G4" s="131"/>
      <c r="I4" s="93" t="s">
        <v>10</v>
      </c>
      <c r="J4" s="94" t="s">
        <v>11</v>
      </c>
      <c r="K4" s="95" t="s">
        <v>12</v>
      </c>
      <c r="L4" s="88" t="s">
        <v>13</v>
      </c>
      <c r="M4" s="88" t="s">
        <v>13</v>
      </c>
      <c r="N4" s="89" t="s">
        <v>12</v>
      </c>
      <c r="O4" s="89" t="s">
        <v>13</v>
      </c>
      <c r="P4" s="89" t="s">
        <v>13</v>
      </c>
      <c r="Q4" s="90" t="s">
        <v>12</v>
      </c>
      <c r="R4" s="90" t="s">
        <v>13</v>
      </c>
      <c r="S4" s="90" t="s">
        <v>13</v>
      </c>
      <c r="T4" s="91" t="s">
        <v>13</v>
      </c>
      <c r="U4" s="92" t="str">
        <f>T4</f>
        <v>[%]</v>
      </c>
      <c r="V4" s="108" t="str">
        <f>U4</f>
        <v>[%]</v>
      </c>
      <c r="X4" s="14" t="s">
        <v>132</v>
      </c>
      <c r="Y4" s="36">
        <v>385</v>
      </c>
      <c r="Z4" s="36">
        <v>365</v>
      </c>
      <c r="AA4" s="36">
        <v>340</v>
      </c>
      <c r="AB4" s="36">
        <v>325</v>
      </c>
      <c r="AC4" s="36">
        <v>300</v>
      </c>
      <c r="AD4" s="36">
        <v>285</v>
      </c>
      <c r="AE4" s="36">
        <v>245</v>
      </c>
      <c r="AG4" s="50">
        <v>0</v>
      </c>
      <c r="AH4" s="105">
        <v>0</v>
      </c>
      <c r="AI4" s="103">
        <v>75</v>
      </c>
    </row>
    <row r="5" spans="2:35">
      <c r="B5" s="124"/>
      <c r="C5" s="53" t="s">
        <v>14</v>
      </c>
      <c r="D5" s="46">
        <v>9.5</v>
      </c>
      <c r="E5" s="134" t="s">
        <v>128</v>
      </c>
      <c r="F5" s="135"/>
      <c r="G5" s="136"/>
      <c r="I5" s="1">
        <v>75</v>
      </c>
      <c r="J5" s="2" t="s">
        <v>15</v>
      </c>
      <c r="K5" s="3">
        <v>0</v>
      </c>
      <c r="L5" s="4">
        <v>0</v>
      </c>
      <c r="M5" s="4">
        <v>1</v>
      </c>
      <c r="N5" s="5">
        <v>0</v>
      </c>
      <c r="O5" s="4">
        <v>0</v>
      </c>
      <c r="P5" s="4">
        <v>1</v>
      </c>
      <c r="Q5" s="5">
        <v>0</v>
      </c>
      <c r="R5" s="4">
        <v>0</v>
      </c>
      <c r="S5" s="4">
        <v>1</v>
      </c>
      <c r="T5" s="21">
        <f t="shared" ref="T5:T19" si="0">$C$24*M5+$C$25*P5+$C$26*S5</f>
        <v>1</v>
      </c>
      <c r="U5" s="16">
        <f>$C$29*M5+$C$30*P5+$C$31*S5</f>
        <v>0.99999999163458964</v>
      </c>
      <c r="V5" s="16">
        <f>M5*$E$29+P5*$E$30+S5*$E$31</f>
        <v>0.99999999222492197</v>
      </c>
      <c r="X5" s="14" t="s">
        <v>133</v>
      </c>
      <c r="Y5" s="36">
        <v>400</v>
      </c>
      <c r="Z5" s="36">
        <v>375</v>
      </c>
      <c r="AA5" s="36">
        <v>350</v>
      </c>
      <c r="AB5" s="36">
        <v>330</v>
      </c>
      <c r="AC5" s="36">
        <v>305</v>
      </c>
      <c r="AD5" s="36">
        <v>290</v>
      </c>
      <c r="AE5" s="36">
        <v>255</v>
      </c>
      <c r="AG5" s="50">
        <v>0</v>
      </c>
      <c r="AH5" s="105">
        <v>0</v>
      </c>
      <c r="AI5" s="103">
        <v>63</v>
      </c>
    </row>
    <row r="6" spans="2:35" ht="30" customHeight="1">
      <c r="B6" s="124"/>
      <c r="C6" s="54" t="s">
        <v>16</v>
      </c>
      <c r="D6" s="47" t="s">
        <v>17</v>
      </c>
      <c r="E6" s="131" t="s">
        <v>169</v>
      </c>
      <c r="F6" s="131"/>
      <c r="G6" s="131"/>
      <c r="I6" s="1">
        <v>63</v>
      </c>
      <c r="J6" s="2" t="s">
        <v>18</v>
      </c>
      <c r="K6" s="3">
        <v>0</v>
      </c>
      <c r="L6" s="4">
        <v>0</v>
      </c>
      <c r="M6" s="4">
        <v>1</v>
      </c>
      <c r="N6" s="5">
        <v>0</v>
      </c>
      <c r="O6" s="4">
        <v>0</v>
      </c>
      <c r="P6" s="4">
        <v>1</v>
      </c>
      <c r="Q6" s="5">
        <v>0</v>
      </c>
      <c r="R6" s="4">
        <v>0</v>
      </c>
      <c r="S6" s="4">
        <v>1</v>
      </c>
      <c r="T6" s="21">
        <f t="shared" si="0"/>
        <v>1</v>
      </c>
      <c r="U6" s="16">
        <f t="shared" ref="U6:U18" si="1">$C$29*M6+$C$30*P6+$C$31*S6</f>
        <v>0.99999999163458964</v>
      </c>
      <c r="V6" s="16">
        <f t="shared" ref="V6:V19" si="2">M6*$E$29+P6*$E$30+S6*$E$31</f>
        <v>0.99999999222492197</v>
      </c>
      <c r="X6" s="14" t="s">
        <v>134</v>
      </c>
      <c r="Y6" s="36">
        <v>410</v>
      </c>
      <c r="Z6" s="36">
        <v>385</v>
      </c>
      <c r="AA6" s="36">
        <v>360</v>
      </c>
      <c r="AB6" s="36">
        <v>340</v>
      </c>
      <c r="AC6" s="36">
        <v>315</v>
      </c>
      <c r="AD6" s="36">
        <v>300</v>
      </c>
      <c r="AE6" s="36">
        <v>270</v>
      </c>
      <c r="AG6" s="50">
        <v>0</v>
      </c>
      <c r="AH6" s="105">
        <v>0</v>
      </c>
      <c r="AI6" s="103">
        <v>50</v>
      </c>
    </row>
    <row r="7" spans="2:35" ht="35" customHeight="1">
      <c r="B7" s="124"/>
      <c r="C7" s="53" t="s">
        <v>19</v>
      </c>
      <c r="D7" s="46" t="s">
        <v>20</v>
      </c>
      <c r="E7" s="131" t="s">
        <v>129</v>
      </c>
      <c r="F7" s="131"/>
      <c r="G7" s="131"/>
      <c r="I7" s="1">
        <v>50</v>
      </c>
      <c r="J7" s="2" t="s">
        <v>21</v>
      </c>
      <c r="K7" s="3">
        <v>0</v>
      </c>
      <c r="L7" s="4">
        <v>0</v>
      </c>
      <c r="M7" s="4">
        <v>1</v>
      </c>
      <c r="N7" s="5">
        <v>0</v>
      </c>
      <c r="O7" s="4">
        <v>0</v>
      </c>
      <c r="P7" s="4">
        <v>1</v>
      </c>
      <c r="Q7" s="5">
        <v>0</v>
      </c>
      <c r="R7" s="4">
        <v>0</v>
      </c>
      <c r="S7" s="4">
        <v>1</v>
      </c>
      <c r="T7" s="21">
        <f t="shared" si="0"/>
        <v>1</v>
      </c>
      <c r="U7" s="16">
        <f t="shared" si="1"/>
        <v>0.99999999163458964</v>
      </c>
      <c r="V7" s="16">
        <f t="shared" si="2"/>
        <v>0.99999999222492197</v>
      </c>
      <c r="X7" s="14" t="s">
        <v>135</v>
      </c>
      <c r="Y7" s="17"/>
      <c r="Z7" s="17"/>
      <c r="AA7" s="17"/>
      <c r="AB7" s="17"/>
      <c r="AC7" s="17"/>
      <c r="AD7" s="17"/>
      <c r="AE7" s="17"/>
      <c r="AG7" s="50">
        <v>2.5000000000000001E-2</v>
      </c>
      <c r="AH7" s="105">
        <v>0</v>
      </c>
      <c r="AI7" s="103">
        <v>37.5</v>
      </c>
    </row>
    <row r="8" spans="2:35" ht="63">
      <c r="B8" s="124"/>
      <c r="C8" s="53" t="s">
        <v>22</v>
      </c>
      <c r="D8" s="46" t="s">
        <v>23</v>
      </c>
      <c r="E8" s="119" t="s">
        <v>145</v>
      </c>
      <c r="F8" s="119"/>
      <c r="G8" s="119"/>
      <c r="I8" s="1">
        <v>37.5</v>
      </c>
      <c r="J8" s="2" t="s">
        <v>24</v>
      </c>
      <c r="K8" s="3">
        <v>60</v>
      </c>
      <c r="L8" s="4">
        <v>0.06</v>
      </c>
      <c r="M8" s="4">
        <v>0.94</v>
      </c>
      <c r="N8" s="5">
        <v>0</v>
      </c>
      <c r="O8" s="4">
        <v>0</v>
      </c>
      <c r="P8" s="4">
        <v>1</v>
      </c>
      <c r="Q8" s="5">
        <v>0</v>
      </c>
      <c r="R8" s="4">
        <v>0</v>
      </c>
      <c r="S8" s="4">
        <v>1</v>
      </c>
      <c r="T8" s="21">
        <f t="shared" si="0"/>
        <v>0.98799999999999999</v>
      </c>
      <c r="U8" s="16">
        <f t="shared" si="1"/>
        <v>0.9844189112649897</v>
      </c>
      <c r="V8" s="16">
        <f t="shared" si="2"/>
        <v>0.98289084303656404</v>
      </c>
      <c r="X8" s="117" t="s">
        <v>136</v>
      </c>
      <c r="Y8" s="17">
        <v>3</v>
      </c>
      <c r="Z8" s="17">
        <v>2.5</v>
      </c>
      <c r="AA8" s="17">
        <v>2</v>
      </c>
      <c r="AB8" s="17">
        <v>1.5</v>
      </c>
      <c r="AC8" s="17">
        <v>1</v>
      </c>
      <c r="AD8" s="17">
        <v>0.5</v>
      </c>
      <c r="AE8" s="17">
        <v>0.3</v>
      </c>
      <c r="AG8" s="50">
        <v>0.15</v>
      </c>
      <c r="AH8" s="105">
        <v>0</v>
      </c>
      <c r="AI8" s="103">
        <v>25</v>
      </c>
    </row>
    <row r="9" spans="2:35" ht="34.049999999999997" customHeight="1">
      <c r="B9" s="124"/>
      <c r="C9" s="53" t="s">
        <v>25</v>
      </c>
      <c r="D9" s="46" t="s">
        <v>26</v>
      </c>
      <c r="E9" s="131" t="s">
        <v>144</v>
      </c>
      <c r="F9" s="131"/>
      <c r="G9" s="131"/>
      <c r="I9" s="1">
        <v>25</v>
      </c>
      <c r="J9" s="2" t="s">
        <v>27</v>
      </c>
      <c r="K9" s="3">
        <v>320</v>
      </c>
      <c r="L9" s="4">
        <v>0.32</v>
      </c>
      <c r="M9" s="4">
        <v>0.62</v>
      </c>
      <c r="N9" s="5">
        <v>0</v>
      </c>
      <c r="O9" s="4">
        <v>0</v>
      </c>
      <c r="P9" s="4">
        <v>1</v>
      </c>
      <c r="Q9" s="5">
        <v>0</v>
      </c>
      <c r="R9" s="4">
        <v>0</v>
      </c>
      <c r="S9" s="4">
        <v>1</v>
      </c>
      <c r="T9" s="21">
        <f t="shared" si="0"/>
        <v>0.92399999999999993</v>
      </c>
      <c r="U9" s="16">
        <f t="shared" si="1"/>
        <v>0.9013198159604574</v>
      </c>
      <c r="V9" s="16">
        <f t="shared" si="2"/>
        <v>0.89164204736532193</v>
      </c>
      <c r="AG9" s="50">
        <v>0.2</v>
      </c>
      <c r="AH9" s="105">
        <v>0</v>
      </c>
      <c r="AI9" s="103">
        <v>19</v>
      </c>
    </row>
    <row r="10" spans="2:35">
      <c r="B10" s="124"/>
      <c r="C10" s="55" t="s">
        <v>28</v>
      </c>
      <c r="D10" s="48" t="s">
        <v>29</v>
      </c>
      <c r="E10" s="119"/>
      <c r="F10" s="119"/>
      <c r="G10" s="119"/>
      <c r="I10" s="1">
        <v>19</v>
      </c>
      <c r="J10" s="2" t="s">
        <v>30</v>
      </c>
      <c r="K10" s="3">
        <v>480</v>
      </c>
      <c r="L10" s="4">
        <v>0.48</v>
      </c>
      <c r="M10" s="4">
        <v>0.14000000000000001</v>
      </c>
      <c r="N10" s="5">
        <v>50</v>
      </c>
      <c r="O10" s="4">
        <v>0.05</v>
      </c>
      <c r="P10" s="4">
        <v>0.95</v>
      </c>
      <c r="Q10" s="5">
        <v>0</v>
      </c>
      <c r="R10" s="4">
        <v>0</v>
      </c>
      <c r="S10" s="4">
        <v>1</v>
      </c>
      <c r="T10" s="21">
        <f t="shared" si="0"/>
        <v>0.81299999999999994</v>
      </c>
      <c r="U10" s="16">
        <f t="shared" si="1"/>
        <v>0.76428774289491952</v>
      </c>
      <c r="V10" s="16">
        <f t="shared" si="2"/>
        <v>0.74323435310409225</v>
      </c>
      <c r="AG10" s="50">
        <v>0.2</v>
      </c>
      <c r="AH10" s="105">
        <v>0.05</v>
      </c>
      <c r="AI10" s="103">
        <v>12.5</v>
      </c>
    </row>
    <row r="11" spans="2:35">
      <c r="B11" s="124"/>
      <c r="C11" s="55" t="s">
        <v>31</v>
      </c>
      <c r="D11" s="48" t="s">
        <v>32</v>
      </c>
      <c r="E11" s="119"/>
      <c r="F11" s="119"/>
      <c r="G11" s="119"/>
      <c r="I11" s="1">
        <v>12.5</v>
      </c>
      <c r="J11" s="2" t="s">
        <v>33</v>
      </c>
      <c r="K11" s="3">
        <v>60</v>
      </c>
      <c r="L11" s="4">
        <v>0.06</v>
      </c>
      <c r="M11" s="4">
        <v>0.08</v>
      </c>
      <c r="N11" s="5">
        <v>350</v>
      </c>
      <c r="O11" s="4">
        <v>0.35</v>
      </c>
      <c r="P11" s="4">
        <v>0.6</v>
      </c>
      <c r="Q11" s="5">
        <v>0</v>
      </c>
      <c r="R11" s="4">
        <v>0</v>
      </c>
      <c r="S11" s="4">
        <v>1</v>
      </c>
      <c r="T11" s="21">
        <f t="shared" si="0"/>
        <v>0.69599999999999995</v>
      </c>
      <c r="U11" s="16">
        <f t="shared" si="1"/>
        <v>0.66202265176414432</v>
      </c>
      <c r="V11" s="16">
        <f t="shared" si="2"/>
        <v>0.6453836986351682</v>
      </c>
      <c r="AG11" s="50">
        <v>0.2</v>
      </c>
      <c r="AH11" s="105">
        <v>0.05</v>
      </c>
      <c r="AI11" s="103">
        <v>9.5</v>
      </c>
    </row>
    <row r="12" spans="2:35">
      <c r="B12" s="125"/>
      <c r="C12" s="111" t="s">
        <v>34</v>
      </c>
      <c r="D12" s="112" t="s">
        <v>35</v>
      </c>
      <c r="E12" s="139"/>
      <c r="F12" s="139"/>
      <c r="G12" s="139"/>
      <c r="I12" s="1">
        <v>9.5</v>
      </c>
      <c r="J12" s="2" t="s">
        <v>36</v>
      </c>
      <c r="K12" s="3">
        <v>80</v>
      </c>
      <c r="L12" s="4">
        <v>0.08</v>
      </c>
      <c r="M12" s="4">
        <v>0</v>
      </c>
      <c r="N12" s="5">
        <v>120</v>
      </c>
      <c r="O12" s="4">
        <v>0.12</v>
      </c>
      <c r="P12" s="4">
        <v>0.48</v>
      </c>
      <c r="Q12" s="5">
        <v>0</v>
      </c>
      <c r="R12" s="4">
        <v>0</v>
      </c>
      <c r="S12" s="4">
        <v>1</v>
      </c>
      <c r="T12" s="21">
        <f t="shared" si="0"/>
        <v>0.64400000000000002</v>
      </c>
      <c r="U12" s="16">
        <f t="shared" si="1"/>
        <v>0.61152764567703677</v>
      </c>
      <c r="V12" s="16">
        <f t="shared" si="2"/>
        <v>0.59488869790687782</v>
      </c>
      <c r="AG12" s="50">
        <v>0.2</v>
      </c>
      <c r="AH12" s="105">
        <v>0.05</v>
      </c>
      <c r="AI12" s="103">
        <v>6.3</v>
      </c>
    </row>
    <row r="13" spans="2:35">
      <c r="B13" s="51"/>
      <c r="C13" s="49" t="s">
        <v>188</v>
      </c>
      <c r="D13" s="113">
        <v>5.0000000000000001E-4</v>
      </c>
      <c r="E13" s="119" t="s">
        <v>189</v>
      </c>
      <c r="F13" s="119"/>
      <c r="G13" s="119"/>
      <c r="I13" s="1">
        <v>6.3</v>
      </c>
      <c r="J13" s="2" t="s">
        <v>37</v>
      </c>
      <c r="K13" s="3">
        <v>0</v>
      </c>
      <c r="L13" s="4">
        <v>0</v>
      </c>
      <c r="M13" s="4">
        <v>0</v>
      </c>
      <c r="N13" s="5">
        <v>280</v>
      </c>
      <c r="O13" s="4">
        <v>0.28000000000000003</v>
      </c>
      <c r="P13" s="4">
        <v>0.2</v>
      </c>
      <c r="Q13" s="5">
        <v>40</v>
      </c>
      <c r="R13" s="4">
        <v>0.04</v>
      </c>
      <c r="S13" s="4">
        <v>0.96</v>
      </c>
      <c r="T13" s="21">
        <f t="shared" si="0"/>
        <v>0.54</v>
      </c>
      <c r="U13" s="16">
        <f t="shared" si="1"/>
        <v>0.52247456840277084</v>
      </c>
      <c r="V13" s="16">
        <f t="shared" si="2"/>
        <v>0.51092919405582649</v>
      </c>
      <c r="AG13" s="50">
        <v>0.2</v>
      </c>
      <c r="AH13" s="105">
        <v>0.05</v>
      </c>
      <c r="AI13" s="103">
        <v>4.75</v>
      </c>
    </row>
    <row r="14" spans="2:35">
      <c r="B14" s="51"/>
      <c r="C14" s="51"/>
      <c r="D14" s="51"/>
      <c r="F14" s="51"/>
      <c r="I14" s="1">
        <v>4.75</v>
      </c>
      <c r="J14" s="2" t="s">
        <v>38</v>
      </c>
      <c r="K14" s="3">
        <v>0</v>
      </c>
      <c r="L14" s="4">
        <v>0</v>
      </c>
      <c r="M14" s="4">
        <v>0</v>
      </c>
      <c r="N14" s="5">
        <v>80</v>
      </c>
      <c r="O14" s="4">
        <v>0.08</v>
      </c>
      <c r="P14" s="4">
        <v>0.12</v>
      </c>
      <c r="Q14" s="5">
        <v>280</v>
      </c>
      <c r="R14" s="4">
        <v>0.28000000000000003</v>
      </c>
      <c r="S14" s="4">
        <v>0.68</v>
      </c>
      <c r="T14" s="21">
        <f t="shared" si="0"/>
        <v>0.376</v>
      </c>
      <c r="U14" s="16">
        <f t="shared" si="1"/>
        <v>0.36471999957150897</v>
      </c>
      <c r="V14" s="16">
        <f t="shared" si="2"/>
        <v>0.35690989546265156</v>
      </c>
      <c r="AG14" s="50">
        <v>0.125</v>
      </c>
      <c r="AH14" s="105">
        <v>0</v>
      </c>
      <c r="AI14" s="103">
        <v>2.36</v>
      </c>
    </row>
    <row r="15" spans="2:35">
      <c r="B15" s="11"/>
      <c r="C15" s="11"/>
      <c r="D15" s="6" t="s">
        <v>0</v>
      </c>
      <c r="E15" s="7" t="s">
        <v>1</v>
      </c>
      <c r="F15" s="42" t="s">
        <v>2</v>
      </c>
      <c r="G15" s="41" t="s">
        <v>113</v>
      </c>
      <c r="I15" s="1">
        <v>2.36</v>
      </c>
      <c r="J15" s="2" t="s">
        <v>39</v>
      </c>
      <c r="K15" s="3">
        <v>0</v>
      </c>
      <c r="L15" s="4">
        <v>0</v>
      </c>
      <c r="M15" s="4">
        <v>0</v>
      </c>
      <c r="N15" s="5">
        <v>120</v>
      </c>
      <c r="O15" s="4">
        <v>0.12</v>
      </c>
      <c r="P15" s="4">
        <v>0</v>
      </c>
      <c r="Q15" s="5">
        <v>130</v>
      </c>
      <c r="R15" s="4">
        <v>0.13</v>
      </c>
      <c r="S15" s="4">
        <v>0.55000000000000004</v>
      </c>
      <c r="T15" s="21">
        <f t="shared" si="0"/>
        <v>0.27500000000000002</v>
      </c>
      <c r="U15" s="16">
        <f t="shared" si="1"/>
        <v>0.27095569414822651</v>
      </c>
      <c r="V15" s="16">
        <f t="shared" si="2"/>
        <v>0.26628661986572716</v>
      </c>
      <c r="AG15" s="50">
        <v>0.125</v>
      </c>
      <c r="AH15" s="105">
        <v>0</v>
      </c>
      <c r="AI15" s="103">
        <v>1.18</v>
      </c>
    </row>
    <row r="16" spans="2:35">
      <c r="B16" s="140" t="s">
        <v>40</v>
      </c>
      <c r="C16" s="122"/>
      <c r="D16" s="8">
        <v>1.2999999999999999E-2</v>
      </c>
      <c r="E16" s="8">
        <v>1.2E-2</v>
      </c>
      <c r="F16" s="43">
        <v>1.2E-2</v>
      </c>
      <c r="G16" s="14" t="s">
        <v>67</v>
      </c>
      <c r="I16" s="1">
        <v>1.18</v>
      </c>
      <c r="J16" s="2" t="s">
        <v>41</v>
      </c>
      <c r="K16" s="3">
        <v>0</v>
      </c>
      <c r="L16" s="4">
        <v>0</v>
      </c>
      <c r="M16" s="4">
        <v>0</v>
      </c>
      <c r="N16" s="5">
        <v>0</v>
      </c>
      <c r="O16" s="4">
        <v>0</v>
      </c>
      <c r="P16" s="4">
        <v>0</v>
      </c>
      <c r="Q16" s="5">
        <v>170</v>
      </c>
      <c r="R16" s="4">
        <v>0.17</v>
      </c>
      <c r="S16" s="4">
        <v>0.38</v>
      </c>
      <c r="T16" s="21">
        <f t="shared" si="0"/>
        <v>0.19</v>
      </c>
      <c r="U16" s="16">
        <f t="shared" si="1"/>
        <v>0.18720575232059283</v>
      </c>
      <c r="V16" s="16">
        <f t="shared" si="2"/>
        <v>0.1839798464526842</v>
      </c>
      <c r="AG16" s="50">
        <v>0.2</v>
      </c>
      <c r="AH16" s="105">
        <v>0.05</v>
      </c>
      <c r="AI16" s="103">
        <v>0.6</v>
      </c>
    </row>
    <row r="17" spans="2:35">
      <c r="B17" s="140" t="s">
        <v>42</v>
      </c>
      <c r="C17" s="122"/>
      <c r="D17" s="8">
        <v>0.04</v>
      </c>
      <c r="E17" s="8">
        <v>0.08</v>
      </c>
      <c r="F17" s="43">
        <v>0.06</v>
      </c>
      <c r="G17" s="14" t="s">
        <v>67</v>
      </c>
      <c r="I17" s="1">
        <v>0.6</v>
      </c>
      <c r="J17" s="2" t="s">
        <v>43</v>
      </c>
      <c r="K17" s="3">
        <v>0</v>
      </c>
      <c r="L17" s="4">
        <v>0</v>
      </c>
      <c r="M17" s="4">
        <v>0</v>
      </c>
      <c r="N17" s="5">
        <v>0</v>
      </c>
      <c r="O17" s="4">
        <v>0</v>
      </c>
      <c r="P17" s="4">
        <v>0</v>
      </c>
      <c r="Q17" s="5">
        <v>110</v>
      </c>
      <c r="R17" s="4">
        <v>0.11</v>
      </c>
      <c r="S17" s="4">
        <v>0.27</v>
      </c>
      <c r="T17" s="21">
        <f t="shared" si="0"/>
        <v>0.13500000000000001</v>
      </c>
      <c r="U17" s="16">
        <f t="shared" si="1"/>
        <v>0.13301461349094754</v>
      </c>
      <c r="V17" s="16">
        <f t="shared" si="2"/>
        <v>0.13072252247953878</v>
      </c>
      <c r="AG17" s="50">
        <v>0.2</v>
      </c>
      <c r="AH17" s="105">
        <v>0.05</v>
      </c>
      <c r="AI17" s="103">
        <v>0.3</v>
      </c>
    </row>
    <row r="18" spans="2:35">
      <c r="B18" s="140" t="s">
        <v>141</v>
      </c>
      <c r="C18" s="122"/>
      <c r="D18" s="5">
        <v>2.6</v>
      </c>
      <c r="E18" s="5">
        <v>2.8</v>
      </c>
      <c r="F18" s="44">
        <v>2.7</v>
      </c>
      <c r="G18" s="45">
        <f>IF(D8="Melón Extra",2.81,IF(D8="Melón Especial",3,""))</f>
        <v>2.81</v>
      </c>
      <c r="I18" s="1">
        <v>0.3</v>
      </c>
      <c r="J18" s="2" t="s">
        <v>44</v>
      </c>
      <c r="K18" s="3">
        <v>0</v>
      </c>
      <c r="L18" s="4">
        <v>0</v>
      </c>
      <c r="M18" s="4">
        <v>0</v>
      </c>
      <c r="N18" s="5">
        <v>0</v>
      </c>
      <c r="O18" s="4">
        <v>0</v>
      </c>
      <c r="P18" s="4">
        <v>0</v>
      </c>
      <c r="Q18" s="5">
        <v>170</v>
      </c>
      <c r="R18" s="4">
        <v>0.17</v>
      </c>
      <c r="S18" s="4">
        <v>0.1</v>
      </c>
      <c r="T18" s="21">
        <f t="shared" si="0"/>
        <v>0.05</v>
      </c>
      <c r="U18" s="16">
        <f t="shared" si="1"/>
        <v>4.9264671663313907E-2</v>
      </c>
      <c r="V18" s="16">
        <f t="shared" si="2"/>
        <v>4.8415749066495845E-2</v>
      </c>
      <c r="AG18" s="84">
        <v>0.1</v>
      </c>
      <c r="AH18" s="105">
        <v>0</v>
      </c>
      <c r="AI18" s="103">
        <v>0.15</v>
      </c>
    </row>
    <row r="19" spans="2:35">
      <c r="B19" s="147" t="s">
        <v>45</v>
      </c>
      <c r="C19" s="148"/>
      <c r="D19" s="100">
        <f>D18*1000</f>
        <v>2600</v>
      </c>
      <c r="E19" s="100">
        <f t="shared" ref="E19:F19" si="3">E18*1000</f>
        <v>2800</v>
      </c>
      <c r="F19" s="101">
        <f t="shared" si="3"/>
        <v>2700</v>
      </c>
      <c r="G19" s="102">
        <f>G18*1000</f>
        <v>2810</v>
      </c>
      <c r="I19" s="9">
        <v>0.15</v>
      </c>
      <c r="J19" s="10" t="s">
        <v>46</v>
      </c>
      <c r="K19" s="3">
        <v>0</v>
      </c>
      <c r="L19" s="4">
        <v>0</v>
      </c>
      <c r="M19" s="4">
        <v>0</v>
      </c>
      <c r="N19" s="5">
        <v>0</v>
      </c>
      <c r="O19" s="4">
        <v>0</v>
      </c>
      <c r="P19" s="4">
        <v>0</v>
      </c>
      <c r="Q19" s="5">
        <v>60</v>
      </c>
      <c r="R19" s="4">
        <v>0.06</v>
      </c>
      <c r="S19" s="4">
        <v>0.04</v>
      </c>
      <c r="T19" s="21">
        <f t="shared" si="0"/>
        <v>0.02</v>
      </c>
      <c r="U19" s="16">
        <f>$C$29*M19+$C$30*P19+$C$31*S19</f>
        <v>1.970586866532556E-2</v>
      </c>
      <c r="V19" s="16">
        <f t="shared" si="2"/>
        <v>1.9366299626598336E-2</v>
      </c>
    </row>
    <row r="20" spans="2:35">
      <c r="B20" s="137" t="s">
        <v>139</v>
      </c>
      <c r="C20" s="137"/>
      <c r="D20" s="40" t="str">
        <f>G16</f>
        <v>-</v>
      </c>
      <c r="E20" s="40" t="str">
        <f>G16</f>
        <v>-</v>
      </c>
      <c r="F20" s="40" t="str">
        <f>G16</f>
        <v>-</v>
      </c>
      <c r="G20" s="14">
        <v>15</v>
      </c>
      <c r="I20" s="140" t="s">
        <v>47</v>
      </c>
      <c r="J20" s="122"/>
      <c r="K20" s="5">
        <v>0</v>
      </c>
      <c r="L20" s="11"/>
      <c r="M20" s="11"/>
      <c r="N20" s="3">
        <v>0</v>
      </c>
      <c r="O20" s="11"/>
      <c r="P20" s="11"/>
      <c r="Q20" s="3">
        <v>40</v>
      </c>
      <c r="R20" s="11"/>
      <c r="S20" s="11"/>
      <c r="T20" s="51"/>
      <c r="U20" s="51"/>
      <c r="V20" s="51"/>
    </row>
    <row r="21" spans="2:35">
      <c r="B21" s="138" t="s">
        <v>140</v>
      </c>
      <c r="C21" s="138"/>
      <c r="D21" s="40" t="str">
        <f>G17</f>
        <v>-</v>
      </c>
      <c r="E21" s="40" t="str">
        <f>G17</f>
        <v>-</v>
      </c>
      <c r="F21" s="40" t="str">
        <f>G17</f>
        <v>-</v>
      </c>
      <c r="G21" s="14">
        <v>24.32</v>
      </c>
      <c r="I21" s="140" t="s">
        <v>48</v>
      </c>
      <c r="J21" s="122"/>
      <c r="K21" s="5">
        <v>1000</v>
      </c>
      <c r="L21" s="11"/>
      <c r="M21" s="11"/>
      <c r="N21" s="12">
        <v>1000</v>
      </c>
      <c r="O21" s="11"/>
      <c r="P21" s="11"/>
      <c r="Q21" s="3">
        <v>1000</v>
      </c>
      <c r="R21" s="11"/>
      <c r="S21" s="11"/>
      <c r="T21" s="51"/>
      <c r="U21" s="51"/>
    </row>
    <row r="22" spans="2:35">
      <c r="B22" s="10"/>
      <c r="C22" s="99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</row>
    <row r="23" spans="2:35">
      <c r="C23" s="143" t="s">
        <v>68</v>
      </c>
      <c r="D23" s="143"/>
      <c r="F23" s="51"/>
    </row>
    <row r="24" spans="2:35">
      <c r="B24" s="56" t="s">
        <v>35</v>
      </c>
      <c r="C24" s="150">
        <v>0.2</v>
      </c>
      <c r="D24" s="150"/>
      <c r="E24" s="51"/>
      <c r="F24" s="51"/>
      <c r="G24" s="51"/>
      <c r="H24" s="51"/>
      <c r="I24" s="144" t="s">
        <v>49</v>
      </c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6"/>
      <c r="Z24" s="59"/>
      <c r="AA24" s="152" t="s">
        <v>76</v>
      </c>
      <c r="AB24" s="152"/>
      <c r="AC24" s="152"/>
      <c r="AD24" s="152"/>
    </row>
    <row r="25" spans="2:35">
      <c r="B25" s="57" t="s">
        <v>32</v>
      </c>
      <c r="C25" s="150">
        <v>0.3</v>
      </c>
      <c r="D25" s="150"/>
      <c r="E25" s="51"/>
      <c r="F25" s="51"/>
      <c r="G25" s="51"/>
      <c r="H25" s="51"/>
      <c r="I25" s="61" t="s">
        <v>50</v>
      </c>
      <c r="J25" s="62" t="s">
        <v>51</v>
      </c>
      <c r="K25" s="62" t="s">
        <v>52</v>
      </c>
      <c r="L25" s="62" t="s">
        <v>53</v>
      </c>
      <c r="M25" s="62" t="s">
        <v>54</v>
      </c>
      <c r="N25" s="63" t="s">
        <v>55</v>
      </c>
      <c r="O25" s="63" t="s">
        <v>56</v>
      </c>
      <c r="P25" s="63" t="s">
        <v>57</v>
      </c>
      <c r="Q25" s="63" t="s">
        <v>58</v>
      </c>
      <c r="R25" s="64" t="s">
        <v>59</v>
      </c>
      <c r="S25" s="64" t="s">
        <v>60</v>
      </c>
      <c r="T25" s="64" t="s">
        <v>61</v>
      </c>
      <c r="U25" s="65" t="s">
        <v>62</v>
      </c>
      <c r="V25" s="66" t="s">
        <v>72</v>
      </c>
      <c r="W25" s="66" t="s">
        <v>73</v>
      </c>
      <c r="X25" s="66" t="s">
        <v>74</v>
      </c>
      <c r="Y25" s="66" t="s">
        <v>75</v>
      </c>
      <c r="AA25" s="15" t="s">
        <v>116</v>
      </c>
      <c r="AB25" s="16" t="s">
        <v>117</v>
      </c>
      <c r="AC25" s="16" t="s">
        <v>118</v>
      </c>
      <c r="AD25" s="36" t="s">
        <v>77</v>
      </c>
    </row>
    <row r="26" spans="2:35">
      <c r="B26" s="58" t="s">
        <v>29</v>
      </c>
      <c r="C26" s="150">
        <v>0.5</v>
      </c>
      <c r="D26" s="150"/>
      <c r="I26" s="31">
        <v>80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23">
        <v>1</v>
      </c>
      <c r="V26" s="25">
        <v>1</v>
      </c>
      <c r="W26" s="25">
        <v>1</v>
      </c>
      <c r="X26" s="25">
        <v>1</v>
      </c>
      <c r="Y26" s="26">
        <v>1</v>
      </c>
      <c r="AA26" s="16">
        <f t="shared" ref="AA26:AA35" si="4">AVERAGE(J26:M26)</f>
        <v>1</v>
      </c>
      <c r="AB26" s="16">
        <f t="shared" ref="AB26:AB35" si="5">AVERAGE(N26:Q26)</f>
        <v>1</v>
      </c>
      <c r="AC26" s="16">
        <f t="shared" ref="AC26:AC35" si="6">AVERAGE(R26:U26)</f>
        <v>1</v>
      </c>
      <c r="AD26" s="16">
        <f t="shared" ref="AD26:AD35" si="7">AVERAGE(V26:Y26)</f>
        <v>1</v>
      </c>
    </row>
    <row r="27" spans="2:35">
      <c r="D27" s="60"/>
      <c r="E27" s="60"/>
      <c r="F27" s="60"/>
      <c r="I27" s="31">
        <v>40</v>
      </c>
      <c r="J27" s="23">
        <v>0.7</v>
      </c>
      <c r="K27" s="23">
        <v>0.8</v>
      </c>
      <c r="L27" s="23">
        <v>0.9</v>
      </c>
      <c r="M27" s="23">
        <v>0.3</v>
      </c>
      <c r="N27" s="23">
        <v>1</v>
      </c>
      <c r="O27" s="23">
        <v>1</v>
      </c>
      <c r="P27" s="23">
        <v>1</v>
      </c>
      <c r="Q27" s="23">
        <v>1</v>
      </c>
      <c r="R27" s="24">
        <v>1</v>
      </c>
      <c r="S27" s="24">
        <v>1</v>
      </c>
      <c r="T27" s="24">
        <v>1</v>
      </c>
      <c r="U27" s="24">
        <v>1</v>
      </c>
      <c r="V27" s="25">
        <v>1</v>
      </c>
      <c r="W27" s="25">
        <v>1</v>
      </c>
      <c r="X27" s="25">
        <v>1</v>
      </c>
      <c r="Y27" s="26">
        <v>1</v>
      </c>
      <c r="AA27" s="16">
        <f t="shared" si="4"/>
        <v>0.67499999999999993</v>
      </c>
      <c r="AB27" s="16">
        <f t="shared" si="5"/>
        <v>1</v>
      </c>
      <c r="AC27" s="16">
        <f t="shared" si="6"/>
        <v>1</v>
      </c>
      <c r="AD27" s="16">
        <f t="shared" si="7"/>
        <v>1</v>
      </c>
    </row>
    <row r="28" spans="2:35">
      <c r="C28" s="151" t="s">
        <v>119</v>
      </c>
      <c r="D28" s="151"/>
      <c r="E28" s="106" t="s">
        <v>120</v>
      </c>
      <c r="F28" s="60"/>
      <c r="I28" s="31">
        <v>20</v>
      </c>
      <c r="J28" s="23">
        <v>0.45</v>
      </c>
      <c r="K28" s="23">
        <v>0.65</v>
      </c>
      <c r="L28" s="23">
        <v>0.8</v>
      </c>
      <c r="M28" s="23">
        <v>0.3</v>
      </c>
      <c r="N28" s="23">
        <v>0.6</v>
      </c>
      <c r="O28" s="23">
        <v>0.8</v>
      </c>
      <c r="P28" s="23">
        <v>0.9</v>
      </c>
      <c r="Q28" s="23">
        <v>0.3</v>
      </c>
      <c r="R28" s="24">
        <v>1</v>
      </c>
      <c r="S28" s="24">
        <v>1</v>
      </c>
      <c r="T28" s="24">
        <v>1</v>
      </c>
      <c r="U28" s="24">
        <v>1</v>
      </c>
      <c r="V28" s="25">
        <v>1</v>
      </c>
      <c r="W28" s="25">
        <v>1</v>
      </c>
      <c r="X28" s="25">
        <v>1</v>
      </c>
      <c r="Y28" s="26">
        <v>1</v>
      </c>
      <c r="AA28" s="16">
        <f t="shared" si="4"/>
        <v>0.55000000000000004</v>
      </c>
      <c r="AB28" s="16">
        <f t="shared" si="5"/>
        <v>0.64999999999999991</v>
      </c>
      <c r="AC28" s="16">
        <f t="shared" si="6"/>
        <v>1</v>
      </c>
      <c r="AD28" s="16">
        <f t="shared" si="7"/>
        <v>1</v>
      </c>
    </row>
    <row r="29" spans="2:35">
      <c r="B29" s="67" t="str">
        <f>B24</f>
        <v>Grava 1</v>
      </c>
      <c r="C29" s="141">
        <v>0.25968467282666363</v>
      </c>
      <c r="D29" s="141"/>
      <c r="E29" s="109">
        <v>0.28515248647263147</v>
      </c>
      <c r="F29" s="60"/>
      <c r="I29" s="31">
        <v>10</v>
      </c>
      <c r="J29" s="23">
        <v>0.3</v>
      </c>
      <c r="K29" s="23">
        <v>0.5</v>
      </c>
      <c r="L29" s="23">
        <v>0.7</v>
      </c>
      <c r="M29" s="23">
        <v>0.3</v>
      </c>
      <c r="N29" s="23">
        <v>0.4</v>
      </c>
      <c r="O29" s="23">
        <v>0.61</v>
      </c>
      <c r="P29" s="23">
        <v>0.8</v>
      </c>
      <c r="Q29" s="23">
        <v>0.3</v>
      </c>
      <c r="R29" s="24">
        <v>0.62</v>
      </c>
      <c r="S29" s="24">
        <v>0.77</v>
      </c>
      <c r="T29" s="24">
        <v>0.88</v>
      </c>
      <c r="U29" s="24">
        <v>0.3</v>
      </c>
      <c r="V29" s="25">
        <v>1</v>
      </c>
      <c r="W29" s="25">
        <v>1</v>
      </c>
      <c r="X29" s="25">
        <v>1</v>
      </c>
      <c r="Y29" s="26">
        <v>1</v>
      </c>
      <c r="AA29" s="16">
        <f t="shared" si="4"/>
        <v>0.45</v>
      </c>
      <c r="AB29" s="16">
        <f t="shared" si="5"/>
        <v>0.52749999999999997</v>
      </c>
      <c r="AC29" s="16">
        <f t="shared" si="6"/>
        <v>0.64249999999999996</v>
      </c>
      <c r="AD29" s="16">
        <f t="shared" si="7"/>
        <v>1</v>
      </c>
    </row>
    <row r="30" spans="2:35">
      <c r="B30" s="68" t="str">
        <f t="shared" ref="B30:B31" si="8">B25</f>
        <v>Gravilla 2</v>
      </c>
      <c r="C30" s="142">
        <v>0.24766860217478692</v>
      </c>
      <c r="D30" s="142"/>
      <c r="E30" s="110">
        <v>0.23069001508733208</v>
      </c>
      <c r="I30" s="31">
        <v>5</v>
      </c>
      <c r="J30" s="23">
        <v>0.2</v>
      </c>
      <c r="K30" s="23">
        <v>0.4</v>
      </c>
      <c r="L30" s="23">
        <v>0.6</v>
      </c>
      <c r="M30" s="23">
        <v>0.3</v>
      </c>
      <c r="N30" s="23">
        <v>0.24</v>
      </c>
      <c r="O30" s="23">
        <v>0.48</v>
      </c>
      <c r="P30" s="23">
        <v>0.66</v>
      </c>
      <c r="Q30" s="23">
        <v>0.3</v>
      </c>
      <c r="R30" s="24">
        <v>0.37</v>
      </c>
      <c r="S30" s="24">
        <v>0.57999999999999996</v>
      </c>
      <c r="T30" s="24">
        <v>0.75</v>
      </c>
      <c r="U30" s="24">
        <v>0.3</v>
      </c>
      <c r="V30" s="25">
        <v>0.61</v>
      </c>
      <c r="W30" s="25">
        <v>0.74</v>
      </c>
      <c r="X30" s="25">
        <v>0.87</v>
      </c>
      <c r="Y30" s="26">
        <v>0.3</v>
      </c>
      <c r="AA30" s="16">
        <f t="shared" si="4"/>
        <v>0.37500000000000006</v>
      </c>
      <c r="AB30" s="16">
        <f t="shared" si="5"/>
        <v>0.42</v>
      </c>
      <c r="AC30" s="16">
        <f t="shared" si="6"/>
        <v>0.5</v>
      </c>
      <c r="AD30" s="16">
        <f t="shared" si="7"/>
        <v>0.63</v>
      </c>
    </row>
    <row r="31" spans="2:35">
      <c r="B31" s="69" t="str">
        <f t="shared" si="8"/>
        <v>Arena 3</v>
      </c>
      <c r="C31" s="142">
        <v>0.49264671663313903</v>
      </c>
      <c r="D31" s="142"/>
      <c r="E31" s="110">
        <v>0.48415749066495839</v>
      </c>
      <c r="I31" s="31">
        <v>2.5</v>
      </c>
      <c r="J31" s="23">
        <v>0.12</v>
      </c>
      <c r="K31" s="23">
        <v>0.3</v>
      </c>
      <c r="L31" s="23">
        <v>0.5</v>
      </c>
      <c r="M31" s="23">
        <v>0</v>
      </c>
      <c r="N31" s="23">
        <v>0.15</v>
      </c>
      <c r="O31" s="23">
        <v>0.37</v>
      </c>
      <c r="P31" s="23">
        <v>0.55000000000000004</v>
      </c>
      <c r="Q31" s="23">
        <v>0</v>
      </c>
      <c r="R31" s="24">
        <v>0.22</v>
      </c>
      <c r="S31" s="24">
        <v>0.43</v>
      </c>
      <c r="T31" s="24">
        <v>0.63</v>
      </c>
      <c r="U31" s="24">
        <v>0.3</v>
      </c>
      <c r="V31" s="25">
        <v>0.37</v>
      </c>
      <c r="W31" s="25">
        <v>0.56000000000000005</v>
      </c>
      <c r="X31" s="25">
        <v>0.73</v>
      </c>
      <c r="Y31" s="26">
        <v>0.3</v>
      </c>
      <c r="AA31" s="16">
        <f t="shared" si="4"/>
        <v>0.22999999999999998</v>
      </c>
      <c r="AB31" s="16">
        <f t="shared" si="5"/>
        <v>0.26750000000000002</v>
      </c>
      <c r="AC31" s="16">
        <f t="shared" si="6"/>
        <v>0.39500000000000002</v>
      </c>
      <c r="AD31" s="16">
        <f t="shared" si="7"/>
        <v>0.49000000000000005</v>
      </c>
    </row>
    <row r="32" spans="2:35">
      <c r="B32" s="14" t="s">
        <v>71</v>
      </c>
      <c r="C32" s="149">
        <v>1</v>
      </c>
      <c r="D32" s="149"/>
      <c r="E32" s="86">
        <v>1</v>
      </c>
      <c r="I32" s="32">
        <v>1.25</v>
      </c>
      <c r="J32" s="23">
        <v>7.0000000000000007E-2</v>
      </c>
      <c r="K32" s="23">
        <v>0.25</v>
      </c>
      <c r="L32" s="23">
        <v>0.4</v>
      </c>
      <c r="M32" s="23">
        <v>0</v>
      </c>
      <c r="N32" s="23">
        <v>0.1</v>
      </c>
      <c r="O32" s="23">
        <v>0.28000000000000003</v>
      </c>
      <c r="P32" s="23">
        <v>0.42</v>
      </c>
      <c r="Q32" s="23">
        <v>0</v>
      </c>
      <c r="R32" s="24">
        <v>0.13</v>
      </c>
      <c r="S32" s="24">
        <v>0.33</v>
      </c>
      <c r="T32" s="24">
        <v>0.52</v>
      </c>
      <c r="U32" s="23">
        <v>0</v>
      </c>
      <c r="V32" s="25">
        <v>0.22</v>
      </c>
      <c r="W32" s="25">
        <v>0.41</v>
      </c>
      <c r="X32" s="25">
        <v>0.59</v>
      </c>
      <c r="Y32" s="26">
        <v>0.3</v>
      </c>
      <c r="AA32" s="16">
        <f t="shared" si="4"/>
        <v>0.18</v>
      </c>
      <c r="AB32" s="16">
        <f t="shared" si="5"/>
        <v>0.2</v>
      </c>
      <c r="AC32" s="16">
        <f t="shared" si="6"/>
        <v>0.245</v>
      </c>
      <c r="AD32" s="16">
        <f t="shared" si="7"/>
        <v>0.38</v>
      </c>
    </row>
    <row r="33" spans="2:30">
      <c r="B33" s="14" t="s">
        <v>78</v>
      </c>
      <c r="C33" s="150">
        <f>SUM(C29:D31)</f>
        <v>0.99999999163458964</v>
      </c>
      <c r="D33" s="150"/>
      <c r="E33" s="86">
        <f>SUM(E29:E31)</f>
        <v>0.99999999222492197</v>
      </c>
      <c r="I33" s="32">
        <v>0.63</v>
      </c>
      <c r="J33" s="23">
        <v>0.04</v>
      </c>
      <c r="K33" s="23">
        <v>0.17</v>
      </c>
      <c r="L33" s="23">
        <v>0.28000000000000003</v>
      </c>
      <c r="M33" s="23">
        <v>0</v>
      </c>
      <c r="N33" s="23">
        <v>0.06</v>
      </c>
      <c r="O33" s="23">
        <v>0.19</v>
      </c>
      <c r="P33" s="23">
        <v>0.3</v>
      </c>
      <c r="Q33" s="23">
        <v>0</v>
      </c>
      <c r="R33" s="24">
        <v>0.08</v>
      </c>
      <c r="S33" s="24">
        <v>0.23</v>
      </c>
      <c r="T33" s="24">
        <v>0.38</v>
      </c>
      <c r="U33" s="23">
        <v>0</v>
      </c>
      <c r="V33" s="25">
        <v>0.13</v>
      </c>
      <c r="W33" s="25">
        <v>0.27</v>
      </c>
      <c r="X33" s="25">
        <v>0.43</v>
      </c>
      <c r="Y33" s="26">
        <v>0</v>
      </c>
      <c r="AA33" s="16">
        <f t="shared" si="4"/>
        <v>0.12250000000000001</v>
      </c>
      <c r="AB33" s="16">
        <f t="shared" si="5"/>
        <v>0.13750000000000001</v>
      </c>
      <c r="AC33" s="16">
        <f t="shared" si="6"/>
        <v>0.17249999999999999</v>
      </c>
      <c r="AD33" s="16">
        <f t="shared" si="7"/>
        <v>0.20750000000000002</v>
      </c>
    </row>
    <row r="34" spans="2:30">
      <c r="C34" s="96"/>
      <c r="D34" s="96"/>
      <c r="I34" s="32">
        <v>0.315</v>
      </c>
      <c r="J34" s="23">
        <v>0.03</v>
      </c>
      <c r="K34" s="23">
        <v>0.09</v>
      </c>
      <c r="L34" s="23">
        <v>0.17</v>
      </c>
      <c r="M34" s="23">
        <v>0</v>
      </c>
      <c r="N34" s="23">
        <v>0.03</v>
      </c>
      <c r="O34" s="23">
        <v>0.11</v>
      </c>
      <c r="P34" s="23">
        <v>0.19</v>
      </c>
      <c r="Q34" s="23">
        <v>0</v>
      </c>
      <c r="R34" s="24">
        <v>0.04</v>
      </c>
      <c r="S34" s="24">
        <v>0.12</v>
      </c>
      <c r="T34" s="24">
        <v>0.23</v>
      </c>
      <c r="U34" s="23">
        <v>0</v>
      </c>
      <c r="V34" s="25">
        <v>0.05</v>
      </c>
      <c r="W34" s="25">
        <v>0.13</v>
      </c>
      <c r="X34" s="25">
        <v>0.26</v>
      </c>
      <c r="Y34" s="26">
        <v>0</v>
      </c>
      <c r="AA34" s="16">
        <f t="shared" si="4"/>
        <v>7.2500000000000009E-2</v>
      </c>
      <c r="AB34" s="16">
        <f t="shared" si="5"/>
        <v>8.2500000000000004E-2</v>
      </c>
      <c r="AC34" s="16">
        <f t="shared" si="6"/>
        <v>9.7500000000000003E-2</v>
      </c>
      <c r="AD34" s="16">
        <f t="shared" si="7"/>
        <v>0.11</v>
      </c>
    </row>
    <row r="35" spans="2:30">
      <c r="B35" s="137" t="s">
        <v>79</v>
      </c>
      <c r="C35" s="119"/>
      <c r="D35" s="119"/>
      <c r="F35" s="14" t="s">
        <v>138</v>
      </c>
      <c r="G35" s="14" t="s">
        <v>82</v>
      </c>
      <c r="I35" s="33">
        <v>0.16</v>
      </c>
      <c r="J35" s="34">
        <v>0.02</v>
      </c>
      <c r="K35" s="34">
        <v>0.04</v>
      </c>
      <c r="L35" s="34">
        <v>7.0000000000000007E-2</v>
      </c>
      <c r="M35" s="34">
        <v>0</v>
      </c>
      <c r="N35" s="34">
        <v>0.02</v>
      </c>
      <c r="O35" s="34">
        <v>0.05</v>
      </c>
      <c r="P35" s="34">
        <v>0.08</v>
      </c>
      <c r="Q35" s="34">
        <v>0</v>
      </c>
      <c r="R35" s="35">
        <v>0.03</v>
      </c>
      <c r="S35" s="35">
        <v>0.06</v>
      </c>
      <c r="T35" s="35">
        <v>0.09</v>
      </c>
      <c r="U35" s="34">
        <v>0</v>
      </c>
      <c r="V35" s="27">
        <v>0.03</v>
      </c>
      <c r="W35" s="27">
        <v>7.0000000000000007E-2</v>
      </c>
      <c r="X35" s="27">
        <v>0.1</v>
      </c>
      <c r="Y35" s="28">
        <v>0</v>
      </c>
      <c r="AA35" s="16">
        <f t="shared" si="4"/>
        <v>3.2500000000000001E-2</v>
      </c>
      <c r="AB35" s="16">
        <f t="shared" si="5"/>
        <v>3.7500000000000006E-2</v>
      </c>
      <c r="AC35" s="16">
        <f t="shared" si="6"/>
        <v>4.4999999999999998E-2</v>
      </c>
      <c r="AD35" s="16">
        <f t="shared" si="7"/>
        <v>0.05</v>
      </c>
    </row>
    <row r="36" spans="2:30">
      <c r="B36" s="18" t="s">
        <v>80</v>
      </c>
      <c r="C36" s="14">
        <f>IF(VALUE(SUBSTITUTE(SUBSTITUTE(D3,"G",""),"H",""))&lt;=15,
   IF(D7="Regulares",8, IF(D7="Medias",6, IF(D7="Buenas",4, IF(D7="Muy buenas",3,"")))),
   IF(D7="Medias",7, IF(D7="Buenas",5, IF(D7="Muy buenas",4,"")))
)</f>
        <v>4</v>
      </c>
      <c r="D36" s="14" t="s">
        <v>81</v>
      </c>
      <c r="F36" s="86">
        <v>0.01</v>
      </c>
      <c r="G36" s="14">
        <v>2.33</v>
      </c>
      <c r="I36" s="70"/>
      <c r="J36" s="23"/>
      <c r="K36" s="23"/>
      <c r="L36" s="23"/>
      <c r="M36" s="23"/>
      <c r="N36" s="23"/>
      <c r="O36" s="23"/>
      <c r="P36" s="23"/>
      <c r="Q36" s="23"/>
      <c r="R36" s="24"/>
      <c r="S36" s="24"/>
      <c r="T36" s="24"/>
      <c r="U36" s="23"/>
      <c r="V36" s="25"/>
      <c r="W36" s="25"/>
      <c r="X36" s="25"/>
      <c r="Y36" s="25"/>
    </row>
    <row r="37" spans="2:30">
      <c r="B37" s="14" t="s">
        <v>137</v>
      </c>
      <c r="C37" s="14">
        <f>VLOOKUP(D4,$F$36:$G$40,2,FALSE)</f>
        <v>2.33</v>
      </c>
      <c r="D37" s="14" t="s">
        <v>82</v>
      </c>
      <c r="F37" s="86">
        <v>0.05</v>
      </c>
      <c r="G37" s="14">
        <v>1.645</v>
      </c>
      <c r="I37" s="70"/>
      <c r="J37" s="23"/>
      <c r="K37" s="23"/>
      <c r="L37" s="23"/>
      <c r="M37" s="23"/>
      <c r="N37" s="23"/>
      <c r="O37" s="23"/>
      <c r="P37" s="23"/>
      <c r="Q37" s="23"/>
      <c r="R37" s="24"/>
      <c r="S37" s="24"/>
      <c r="T37" s="24"/>
      <c r="U37" s="23"/>
      <c r="V37" s="25"/>
      <c r="W37" s="25"/>
      <c r="X37" s="25"/>
      <c r="Y37" s="25"/>
    </row>
    <row r="38" spans="2:30" ht="17" customHeight="1">
      <c r="B38" s="14" t="s">
        <v>83</v>
      </c>
      <c r="C38" s="14">
        <f>G20</f>
        <v>15</v>
      </c>
      <c r="D38" s="14" t="s">
        <v>84</v>
      </c>
      <c r="F38" s="86">
        <v>0.1</v>
      </c>
      <c r="G38" s="14">
        <v>1.282</v>
      </c>
      <c r="I38" s="155" t="s">
        <v>181</v>
      </c>
      <c r="J38" s="135"/>
      <c r="K38" s="135"/>
      <c r="L38" s="135"/>
      <c r="M38" s="136"/>
      <c r="S38" s="137" t="s">
        <v>177</v>
      </c>
      <c r="T38" s="119"/>
      <c r="U38" s="119"/>
      <c r="V38" s="119"/>
    </row>
    <row r="39" spans="2:30" ht="36" customHeight="1">
      <c r="B39" s="14" t="s">
        <v>85</v>
      </c>
      <c r="C39" s="14">
        <f>G21</f>
        <v>24.32</v>
      </c>
      <c r="D39" s="14" t="s">
        <v>86</v>
      </c>
      <c r="F39" s="86">
        <v>0.15</v>
      </c>
      <c r="G39" s="14">
        <v>1.036</v>
      </c>
      <c r="I39" s="15" t="s">
        <v>63</v>
      </c>
      <c r="J39" s="29" t="s">
        <v>121</v>
      </c>
      <c r="K39" s="15" t="s">
        <v>64</v>
      </c>
      <c r="L39" s="29" t="s">
        <v>65</v>
      </c>
      <c r="M39" s="29" t="s">
        <v>66</v>
      </c>
      <c r="N39" s="29" t="s">
        <v>122</v>
      </c>
      <c r="O39" s="29" t="s">
        <v>123</v>
      </c>
      <c r="P39" s="29" t="s">
        <v>124</v>
      </c>
      <c r="Q39" s="29" t="s">
        <v>125</v>
      </c>
      <c r="R39" s="83"/>
      <c r="S39" s="131" t="s">
        <v>121</v>
      </c>
      <c r="T39" s="131"/>
      <c r="U39" s="131" t="s">
        <v>69</v>
      </c>
      <c r="V39" s="131"/>
    </row>
    <row r="40" spans="2:30">
      <c r="C40" s="14">
        <f>C39*145.038</f>
        <v>3527.3241600000001</v>
      </c>
      <c r="D40" s="14" t="s">
        <v>87</v>
      </c>
      <c r="F40" s="86">
        <v>0.2</v>
      </c>
      <c r="G40" s="14">
        <v>0.84199999999999997</v>
      </c>
      <c r="I40" s="15">
        <f t="shared" ref="I40:I49" si="9">I26</f>
        <v>80</v>
      </c>
      <c r="J40" s="30">
        <f t="shared" ref="J40:J49" si="10">IF($D$5&lt;=10, AD26,
 IF($D$5&lt;=20, AC26,
  IF($D$5&lt;=40, AB26,
   IF($D$5&lt;=80, AA26, ""))))</f>
        <v>1</v>
      </c>
      <c r="K40" s="15">
        <f t="shared" ref="K40:K54" si="11">I5</f>
        <v>75</v>
      </c>
      <c r="L40" s="30">
        <f t="shared" ref="L40:L54" si="12">U5</f>
        <v>0.99999999163458964</v>
      </c>
      <c r="M40" s="30" cm="1">
        <f t="array" ref="M40">IF(I40="","",
IF(I40&gt;=MAX($K$40:$K$55),INDEX($L$40:$L$55,1),
IF(I40&lt;=MIN($K$40:$K$55),INDEX($L$40:$L$55,ROWS($K$40:$K$55)),
INDEX($L$40:$L$55,MATCH(I40,$K$40:$K$55,-1))+
(INDEX($L$40:$L$55,MATCH(I40,$K$40:$K$55,-1)+1)-INDEX($L$40:$L$55,MATCH(I40,$K$40:$K$55,-1)))*
(LOG10(I40)-LOG10(INDEX($K$40:$K$55,MATCH(I40,$K$40:$K$55,-1))))/
(LOG10(INDEX($K$40:$K$55,MATCH(I40,$K$40:$K$55,-1)+1))-LOG10(INDEX($K$40:$K$55,MATCH(I40,$K$40:$K$55,-1))))
)
)
)</f>
        <v>0.99999999163458964</v>
      </c>
      <c r="N40" s="85">
        <f>1-L40</f>
        <v>8.3654103644192901E-9</v>
      </c>
      <c r="O40" s="50">
        <f>MAX(0,AG4-$D$13)</f>
        <v>0</v>
      </c>
      <c r="P40" s="50">
        <f>MIN(O40,MAX(0,AH4+$D$13))</f>
        <v>0</v>
      </c>
      <c r="Q40" s="114">
        <f>IF(AND(ROUND(N40,5)&gt;=ROUND(P40,5), ROUND(N40,5)&lt;=ROUND(O40,5)),1,0)</f>
        <v>1</v>
      </c>
      <c r="R40" s="25"/>
      <c r="S40" s="153">
        <f t="shared" ref="S40:S49" si="13">J40</f>
        <v>1</v>
      </c>
      <c r="T40" s="119"/>
      <c r="U40" s="154">
        <f t="shared" ref="U40:U49" si="14">M40</f>
        <v>0.99999999163458964</v>
      </c>
      <c r="V40" s="131"/>
    </row>
    <row r="41" spans="2:30">
      <c r="I41" s="15">
        <f t="shared" si="9"/>
        <v>40</v>
      </c>
      <c r="J41" s="30">
        <f t="shared" si="10"/>
        <v>1</v>
      </c>
      <c r="K41" s="15">
        <f t="shared" si="11"/>
        <v>63</v>
      </c>
      <c r="L41" s="30">
        <f t="shared" si="12"/>
        <v>0.99999999163458964</v>
      </c>
      <c r="M41" s="30" cm="1">
        <f t="array" ref="M41">IF(I41="","",
IF(I41&gt;=MAX($K$40:$K$55),INDEX($L$40:$L$55,1),
IF(I41&lt;=MIN($K$40:$K$55),INDEX($L$40:$L$55,ROWS($K$40:$K$55)),
INDEX($L$40:$L$55,MATCH(I41,$K$40:$K$55,-1))+
(INDEX($L$40:$L$55,MATCH(I41,$K$40:$K$55,-1)+1)-INDEX($L$40:$L$55,MATCH(I41,$K$40:$K$55,-1)))*
(LOG10(I41)-LOG10(INDEX($K$40:$K$55,MATCH(I41,$K$40:$K$55,-1))))/
(LOG10(INDEX($K$40:$K$55,MATCH(I41,$K$40:$K$55,-1)+1))-LOG10(INDEX($K$40:$K$55,MATCH(I41,$K$40:$K$55,-1))))
)
)
)</f>
        <v>0.98791436677325106</v>
      </c>
      <c r="N41" s="85">
        <f>L40-L41</f>
        <v>0</v>
      </c>
      <c r="O41" s="50">
        <f t="shared" ref="O41:O54" si="15">MAX(0,AG5-$D$13)</f>
        <v>0</v>
      </c>
      <c r="P41" s="50">
        <f t="shared" ref="P41:P54" si="16">MIN(O41,MAX(0,AH5+$D$13))</f>
        <v>0</v>
      </c>
      <c r="Q41" s="114">
        <f t="shared" ref="Q41:Q54" si="17">IF(AND(ROUND(N41,5)&gt;=ROUND(P41,5), ROUND(N41,5)&lt;=ROUND(O41,5)),1,0)</f>
        <v>1</v>
      </c>
      <c r="R41" s="25"/>
      <c r="S41" s="153">
        <f t="shared" si="13"/>
        <v>1</v>
      </c>
      <c r="T41" s="119"/>
      <c r="U41" s="154">
        <f t="shared" si="14"/>
        <v>0.98791436677325106</v>
      </c>
      <c r="V41" s="131"/>
    </row>
    <row r="42" spans="2:30" ht="31.5">
      <c r="B42" s="162" t="s">
        <v>88</v>
      </c>
      <c r="C42" s="163"/>
      <c r="D42" s="164"/>
      <c r="F42" s="18" t="s">
        <v>142</v>
      </c>
      <c r="G42" s="18" t="s">
        <v>143</v>
      </c>
      <c r="I42" s="15">
        <f t="shared" si="9"/>
        <v>20</v>
      </c>
      <c r="J42" s="30">
        <f t="shared" si="10"/>
        <v>1</v>
      </c>
      <c r="K42" s="15">
        <f t="shared" si="11"/>
        <v>50</v>
      </c>
      <c r="L42" s="30">
        <f t="shared" si="12"/>
        <v>0.99999999163458964</v>
      </c>
      <c r="M42" s="30" cm="1">
        <f t="array" ref="M42">IF(I42="","",
IF(I42&gt;=MAX($K$40:$K$55),INDEX($L$40:$L$55,1),
IF(I42&lt;=MIN($K$40:$K$55),INDEX($L$40:$L$55,ROWS($K$40:$K$55)),
INDEX($L$40:$L$55,MATCH(I42,$K$40:$K$55,-1))+
(INDEX($L$40:$L$55,MATCH(I42,$K$40:$K$55,-1)+1)-INDEX($L$40:$L$55,MATCH(I42,$K$40:$K$55,-1)))*
(LOG10(I42)-LOG10(INDEX($K$40:$K$55,MATCH(I42,$K$40:$K$55,-1))))/
(LOG10(INDEX($K$40:$K$55,MATCH(I42,$K$40:$K$55,-1)+1))-LOG10(INDEX($K$40:$K$55,MATCH(I42,$K$40:$K$55,-1))))
)
)
)</f>
        <v>0.78989956060224542</v>
      </c>
      <c r="N42" s="85">
        <f t="shared" ref="N42:N54" si="18">L41-L42</f>
        <v>0</v>
      </c>
      <c r="O42" s="50">
        <f t="shared" si="15"/>
        <v>0</v>
      </c>
      <c r="P42" s="50">
        <f t="shared" si="16"/>
        <v>0</v>
      </c>
      <c r="Q42" s="114">
        <f t="shared" si="17"/>
        <v>1</v>
      </c>
      <c r="R42" s="25"/>
      <c r="S42" s="153">
        <f t="shared" si="13"/>
        <v>1</v>
      </c>
      <c r="T42" s="119"/>
      <c r="U42" s="154">
        <f t="shared" si="14"/>
        <v>0.78989956060224542</v>
      </c>
      <c r="V42" s="131"/>
    </row>
    <row r="43" spans="2:30">
      <c r="B43" s="165"/>
      <c r="C43" s="166"/>
      <c r="D43" s="167"/>
      <c r="F43" s="104">
        <v>2000</v>
      </c>
      <c r="G43" s="14">
        <v>0.82</v>
      </c>
      <c r="I43" s="15">
        <f t="shared" si="9"/>
        <v>10</v>
      </c>
      <c r="J43" s="30">
        <f t="shared" si="10"/>
        <v>1</v>
      </c>
      <c r="K43" s="15">
        <f t="shared" si="11"/>
        <v>37.5</v>
      </c>
      <c r="L43" s="30">
        <f t="shared" si="12"/>
        <v>0.9844189112649897</v>
      </c>
      <c r="M43" s="30" cm="1">
        <f t="array" ref="M43">IF(I43="","",
IF(I43&gt;=MAX($K$40:$K$55),INDEX($L$40:$L$55,1),
IF(I43&lt;=MIN($K$40:$K$55),INDEX($L$40:$L$55,ROWS($K$40:$K$55)),
INDEX($L$40:$L$55,MATCH(I43,$K$40:$K$55,-1))+
(INDEX($L$40:$L$55,MATCH(I43,$K$40:$K$55,-1)+1)-INDEX($L$40:$L$55,MATCH(I43,$K$40:$K$55,-1)))*
(LOG10(I43)-LOG10(INDEX($K$40:$K$55,MATCH(I43,$K$40:$K$55,-1))))/
(LOG10(INDEX($K$40:$K$55,MATCH(I43,$K$40:$K$55,-1)+1))-LOG10(INDEX($K$40:$K$55,MATCH(I43,$K$40:$K$55,-1))))
)
)
)</f>
        <v>0.62096535512783646</v>
      </c>
      <c r="N43" s="85">
        <f t="shared" si="18"/>
        <v>1.5581080369599931E-2</v>
      </c>
      <c r="O43" s="50">
        <f t="shared" si="15"/>
        <v>2.4500000000000001E-2</v>
      </c>
      <c r="P43" s="50">
        <f t="shared" si="16"/>
        <v>5.0000000000000001E-4</v>
      </c>
      <c r="Q43" s="114">
        <f t="shared" si="17"/>
        <v>1</v>
      </c>
      <c r="R43" s="25"/>
      <c r="S43" s="153">
        <f t="shared" si="13"/>
        <v>1</v>
      </c>
      <c r="T43" s="119"/>
      <c r="U43" s="154">
        <f t="shared" si="14"/>
        <v>0.62096535512783646</v>
      </c>
      <c r="V43" s="131"/>
    </row>
    <row r="44" spans="2:30">
      <c r="F44" s="104">
        <v>3000</v>
      </c>
      <c r="G44" s="14">
        <v>0.68</v>
      </c>
      <c r="I44" s="15">
        <f t="shared" si="9"/>
        <v>5</v>
      </c>
      <c r="J44" s="30">
        <f t="shared" si="10"/>
        <v>0.63</v>
      </c>
      <c r="K44" s="15">
        <f t="shared" si="11"/>
        <v>25</v>
      </c>
      <c r="L44" s="30">
        <f t="shared" si="12"/>
        <v>0.9013198159604574</v>
      </c>
      <c r="M44" s="30" cm="1">
        <f t="array" ref="M44">IF(I44="","",
IF(I44&gt;=MAX($K$40:$K$55),INDEX($L$40:$L$55,1),
IF(I44&lt;=MIN($K$40:$K$55),INDEX($L$40:$L$55,ROWS($K$40:$K$55)),
INDEX($L$40:$L$55,MATCH(I44,$K$40:$K$55,-1))+
(INDEX($L$40:$L$55,MATCH(I44,$K$40:$K$55,-1)+1)-INDEX($L$40:$L$55,MATCH(I44,$K$40:$K$55,-1)))*
(LOG10(I44)-LOG10(INDEX($K$40:$K$55,MATCH(I44,$K$40:$K$55,-1))))/
(LOG10(INDEX($K$40:$K$55,MATCH(I44,$K$40:$K$55,-1)+1))-LOG10(INDEX($K$40:$K$55,MATCH(I44,$K$40:$K$55,-1))))
)
)
)</f>
        <v>0.39337300182073476</v>
      </c>
      <c r="N44" s="85">
        <f t="shared" si="18"/>
        <v>8.30990953045323E-2</v>
      </c>
      <c r="O44" s="50">
        <f t="shared" si="15"/>
        <v>0.14949999999999999</v>
      </c>
      <c r="P44" s="50">
        <f t="shared" si="16"/>
        <v>5.0000000000000001E-4</v>
      </c>
      <c r="Q44" s="114">
        <f t="shared" si="17"/>
        <v>1</v>
      </c>
      <c r="R44" s="25"/>
      <c r="S44" s="153">
        <f t="shared" si="13"/>
        <v>0.63</v>
      </c>
      <c r="T44" s="119"/>
      <c r="U44" s="154">
        <f t="shared" si="14"/>
        <v>0.39337300182073476</v>
      </c>
      <c r="V44" s="131"/>
    </row>
    <row r="45" spans="2:30">
      <c r="B45" s="13" t="s">
        <v>89</v>
      </c>
      <c r="C45" s="13" cm="1">
        <f t="array" ref="C45">IFERROR(
   INDEX($G$43:$G$48,MATCH(C40,$F$43:$F$48,0)),
   INDEX($G$43:$G$48,MATCH(C40,$F$43:$F$48,1)) +
   (C40 - INDEX($F$43:$F$48,MATCH(C40,$F$43:$F$48,1))) *
   (INDEX($G$43:$G$48,MATCH(C40,$F$43:$F$48,1)+1) - INDEX($G$43:$G$48,MATCH(C40,$F$43:$F$48,1))) /
   (INDEX($F$43:$F$48,MATCH(C40,$F$43:$F$48,1)+1) - INDEX($F$43:$F$48,MATCH(C40,$F$43:$F$48,1)))
)</f>
        <v>0.62199434239999996</v>
      </c>
      <c r="F45" s="104">
        <v>4000</v>
      </c>
      <c r="G45" s="14">
        <v>0.56999999999999995</v>
      </c>
      <c r="I45" s="15">
        <f t="shared" si="9"/>
        <v>2.5</v>
      </c>
      <c r="J45" s="30">
        <f t="shared" si="10"/>
        <v>0.49000000000000005</v>
      </c>
      <c r="K45" s="15">
        <f t="shared" si="11"/>
        <v>19</v>
      </c>
      <c r="L45" s="30">
        <f t="shared" si="12"/>
        <v>0.76428774289491952</v>
      </c>
      <c r="M45" s="30" cm="1">
        <f t="array" ref="M45">IF(I45="","",
IF(I45&gt;=MAX($K$40:$K$55),INDEX($L$40:$L$55,1),
IF(I45&lt;=MIN($K$40:$K$55),INDEX($L$40:$L$55,ROWS($K$40:$K$55)),
INDEX($L$40:$L$55,MATCH(I45,$K$40:$K$55,-1))+
(INDEX($L$40:$L$55,MATCH(I45,$K$40:$K$55,-1)+1)-INDEX($L$40:$L$55,MATCH(I45,$K$40:$K$55,-1)))*
(LOG10(I45)-LOG10(INDEX($K$40:$K$55,MATCH(I45,$K$40:$K$55,-1))))/
(LOG10(INDEX($K$40:$K$55,MATCH(I45,$K$40:$K$55,-1)+1))-LOG10(INDEX($K$40:$K$55,MATCH(I45,$K$40:$K$55,-1))))
)
)
)</f>
        <v>0.27868076215551546</v>
      </c>
      <c r="N45" s="85">
        <f t="shared" si="18"/>
        <v>0.13703207306553788</v>
      </c>
      <c r="O45" s="50">
        <f t="shared" si="15"/>
        <v>0.19950000000000001</v>
      </c>
      <c r="P45" s="50">
        <f t="shared" si="16"/>
        <v>5.0000000000000001E-4</v>
      </c>
      <c r="Q45" s="114">
        <f t="shared" si="17"/>
        <v>1</v>
      </c>
      <c r="R45" s="25"/>
      <c r="S45" s="153">
        <f t="shared" si="13"/>
        <v>0.49000000000000005</v>
      </c>
      <c r="T45" s="119"/>
      <c r="U45" s="154">
        <f t="shared" si="14"/>
        <v>0.27868076215551546</v>
      </c>
      <c r="V45" s="131"/>
    </row>
    <row r="46" spans="2:30">
      <c r="F46" s="104">
        <v>5000</v>
      </c>
      <c r="G46" s="14">
        <v>0.48</v>
      </c>
      <c r="I46" s="15">
        <f t="shared" si="9"/>
        <v>1.25</v>
      </c>
      <c r="J46" s="30">
        <f t="shared" si="10"/>
        <v>0.38</v>
      </c>
      <c r="K46" s="15">
        <f t="shared" si="11"/>
        <v>12.5</v>
      </c>
      <c r="L46" s="30">
        <f t="shared" si="12"/>
        <v>0.66202265176414432</v>
      </c>
      <c r="M46" s="30" cm="1">
        <f t="array" ref="M46">IF(I46="","",
IF(I46&gt;=MAX($K$40:$K$55),INDEX($L$40:$L$55,1),
IF(I46&lt;=MIN($K$40:$K$55),INDEX($L$40:$L$55,ROWS($K$40:$K$55)),
INDEX($L$40:$L$55,MATCH(I46,$K$40:$K$55,-1))+
(INDEX($L$40:$L$55,MATCH(I46,$K$40:$K$55,-1)+1)-INDEX($L$40:$L$55,MATCH(I46,$K$40:$K$55,-1)))*
(LOG10(I46)-LOG10(INDEX($K$40:$K$55,MATCH(I46,$K$40:$K$55,-1))))/
(LOG10(INDEX($K$40:$K$55,MATCH(I46,$K$40:$K$55,-1)+1))-LOG10(INDEX($K$40:$K$55,MATCH(I46,$K$40:$K$55,-1))))
)
)
)</f>
        <v>0.19416882594046603</v>
      </c>
      <c r="N46" s="85">
        <f t="shared" si="18"/>
        <v>0.1022650911307752</v>
      </c>
      <c r="O46" s="50">
        <f t="shared" si="15"/>
        <v>0.19950000000000001</v>
      </c>
      <c r="P46" s="50">
        <f t="shared" si="16"/>
        <v>5.0500000000000003E-2</v>
      </c>
      <c r="Q46" s="114">
        <f t="shared" si="17"/>
        <v>1</v>
      </c>
      <c r="R46" s="25"/>
      <c r="S46" s="153">
        <f t="shared" si="13"/>
        <v>0.38</v>
      </c>
      <c r="T46" s="119"/>
      <c r="U46" s="154">
        <f t="shared" si="14"/>
        <v>0.19416882594046603</v>
      </c>
      <c r="V46" s="131"/>
    </row>
    <row r="47" spans="2:30">
      <c r="B47" s="134" t="s">
        <v>91</v>
      </c>
      <c r="C47" s="135"/>
      <c r="D47" s="136"/>
      <c r="F47" s="104">
        <v>6000</v>
      </c>
      <c r="G47" s="14">
        <v>0.41</v>
      </c>
      <c r="I47" s="15">
        <f t="shared" si="9"/>
        <v>0.63</v>
      </c>
      <c r="J47" s="30">
        <f t="shared" si="10"/>
        <v>0.20750000000000002</v>
      </c>
      <c r="K47" s="15">
        <f t="shared" si="11"/>
        <v>9.5</v>
      </c>
      <c r="L47" s="30">
        <f t="shared" si="12"/>
        <v>0.61152764567703677</v>
      </c>
      <c r="M47" s="30" cm="1">
        <f t="array" ref="M47">IF(I47="","",
IF(I47&gt;=MAX($K$40:$K$55),INDEX($L$40:$L$55,1),
IF(I47&lt;=MIN($K$40:$K$55),INDEX($L$40:$L$55,ROWS($K$40:$K$55)),
INDEX($L$40:$L$55,MATCH(I47,$K$40:$K$55,-1))+
(INDEX($L$40:$L$55,MATCH(I47,$K$40:$K$55,-1)+1)-INDEX($L$40:$L$55,MATCH(I47,$K$40:$K$55,-1)))*
(LOG10(I47)-LOG10(INDEX($K$40:$K$55,MATCH(I47,$K$40:$K$55,-1))))/
(LOG10(INDEX($K$40:$K$55,MATCH(I47,$K$40:$K$55,-1)+1))-LOG10(INDEX($K$40:$K$55,MATCH(I47,$K$40:$K$55,-1))))
)
)
)</f>
        <v>0.13692388148736961</v>
      </c>
      <c r="N47" s="85">
        <f t="shared" si="18"/>
        <v>5.0495006087107552E-2</v>
      </c>
      <c r="O47" s="50">
        <f t="shared" si="15"/>
        <v>0.19950000000000001</v>
      </c>
      <c r="P47" s="50">
        <f t="shared" si="16"/>
        <v>5.0500000000000003E-2</v>
      </c>
      <c r="Q47" s="114">
        <f t="shared" si="17"/>
        <v>1</v>
      </c>
      <c r="R47" s="25"/>
      <c r="S47" s="153">
        <f t="shared" si="13"/>
        <v>0.20750000000000002</v>
      </c>
      <c r="T47" s="119"/>
      <c r="U47" s="154">
        <f t="shared" si="14"/>
        <v>0.13692388148736961</v>
      </c>
      <c r="V47" s="131"/>
    </row>
    <row r="48" spans="2:30">
      <c r="F48" s="104">
        <v>7000</v>
      </c>
      <c r="G48" s="14">
        <v>0.34</v>
      </c>
      <c r="I48" s="15">
        <f t="shared" si="9"/>
        <v>0.315</v>
      </c>
      <c r="J48" s="30">
        <f t="shared" si="10"/>
        <v>0.11</v>
      </c>
      <c r="K48" s="15">
        <f t="shared" si="11"/>
        <v>6.3</v>
      </c>
      <c r="L48" s="30">
        <f t="shared" si="12"/>
        <v>0.52247456840277084</v>
      </c>
      <c r="M48" s="30" cm="1">
        <f t="array" ref="M48">IF(I48="","",
IF(I48&gt;=MAX($K$40:$K$55),INDEX($L$40:$L$55,1),
IF(I48&lt;=MIN($K$40:$K$55),INDEX($L$40:$L$55,ROWS($K$40:$K$55)),
INDEX($L$40:$L$55,MATCH(I48,$K$40:$K$55,-1))+
(INDEX($L$40:$L$55,MATCH(I48,$K$40:$K$55,-1)+1)-INDEX($L$40:$L$55,MATCH(I48,$K$40:$K$55,-1)))*
(LOG10(I48)-LOG10(INDEX($K$40:$K$55,MATCH(I48,$K$40:$K$55,-1))))/
(LOG10(INDEX($K$40:$K$55,MATCH(I48,$K$40:$K$55,-1)+1))-LOG10(INDEX($K$40:$K$55,MATCH(I48,$K$40:$K$55,-1))))
)
)
)</f>
        <v>5.5159773779504748E-2</v>
      </c>
      <c r="N48" s="85">
        <f t="shared" si="18"/>
        <v>8.9053077274265924E-2</v>
      </c>
      <c r="O48" s="50">
        <f t="shared" si="15"/>
        <v>0.19950000000000001</v>
      </c>
      <c r="P48" s="50">
        <f t="shared" si="16"/>
        <v>5.0500000000000003E-2</v>
      </c>
      <c r="Q48" s="114">
        <f t="shared" si="17"/>
        <v>1</v>
      </c>
      <c r="R48" s="25"/>
      <c r="S48" s="153">
        <f t="shared" si="13"/>
        <v>0.11</v>
      </c>
      <c r="T48" s="119"/>
      <c r="U48" s="154">
        <f t="shared" si="14"/>
        <v>5.5159773779504748E-2</v>
      </c>
      <c r="V48" s="131"/>
    </row>
    <row r="49" spans="2:28">
      <c r="C49" s="13" t="s">
        <v>90</v>
      </c>
      <c r="I49" s="15">
        <f t="shared" si="9"/>
        <v>0.16</v>
      </c>
      <c r="J49" s="30">
        <f t="shared" si="10"/>
        <v>0.05</v>
      </c>
      <c r="K49" s="15">
        <f t="shared" si="11"/>
        <v>4.75</v>
      </c>
      <c r="L49" s="30">
        <f t="shared" si="12"/>
        <v>0.36471999957150897</v>
      </c>
      <c r="M49" s="30" cm="1">
        <f t="array" ref="M49">IF(I49="","",
IF(I49&gt;=MAX($K$40:$K$55),INDEX($L$40:$L$55,1),
IF(I49&lt;=MIN($K$40:$K$55),INDEX($L$40:$L$55,ROWS($K$40:$K$55)),
INDEX($L$40:$L$55,MATCH(I49,$K$40:$K$55,-1))+
(INDEX($L$40:$L$55,MATCH(I49,$K$40:$K$55,-1)+1)-INDEX($L$40:$L$55,MATCH(I49,$K$40:$K$55,-1)))*
(LOG10(I49)-LOG10(INDEX($K$40:$K$55,MATCH(I49,$K$40:$K$55,-1))))/
(LOG10(INDEX($K$40:$K$55,MATCH(I49,$K$40:$K$55,-1)+1))-LOG10(INDEX($K$40:$K$55,MATCH(I49,$K$40:$K$55,-1))))
)
)
)</f>
        <v>2.2458071206993394E-2</v>
      </c>
      <c r="N49" s="85">
        <f t="shared" si="18"/>
        <v>0.15775456883126188</v>
      </c>
      <c r="O49" s="50">
        <f t="shared" si="15"/>
        <v>0.19950000000000001</v>
      </c>
      <c r="P49" s="50">
        <f t="shared" si="16"/>
        <v>5.0500000000000003E-2</v>
      </c>
      <c r="Q49" s="114">
        <f t="shared" si="17"/>
        <v>1</v>
      </c>
      <c r="R49" s="25"/>
      <c r="S49" s="153">
        <f t="shared" si="13"/>
        <v>0.05</v>
      </c>
      <c r="T49" s="119"/>
      <c r="U49" s="154">
        <f t="shared" si="14"/>
        <v>2.2458071206993394E-2</v>
      </c>
      <c r="V49" s="131"/>
    </row>
    <row r="50" spans="2:28">
      <c r="B50" s="13" t="str">
        <f>D9</f>
        <v>C0</v>
      </c>
      <c r="C50" s="13" t="str">
        <f>IFERROR(VLOOKUP(D9,$F$52:$G$63,2,FALSE),1000)</f>
        <v>NA</v>
      </c>
      <c r="F50" s="14" t="s">
        <v>146</v>
      </c>
      <c r="G50" s="14" t="s">
        <v>147</v>
      </c>
      <c r="I50" s="15"/>
      <c r="J50" s="30"/>
      <c r="K50" s="15">
        <f t="shared" si="11"/>
        <v>2.36</v>
      </c>
      <c r="L50" s="30">
        <f t="shared" si="12"/>
        <v>0.27095569414822651</v>
      </c>
      <c r="M50" s="15"/>
      <c r="N50" s="85">
        <f t="shared" si="18"/>
        <v>9.3764305423282457E-2</v>
      </c>
      <c r="O50" s="50">
        <f t="shared" si="15"/>
        <v>0.1245</v>
      </c>
      <c r="P50" s="50">
        <f t="shared" si="16"/>
        <v>5.0000000000000001E-4</v>
      </c>
      <c r="Q50" s="114">
        <f t="shared" si="17"/>
        <v>1</v>
      </c>
      <c r="R50" s="25"/>
      <c r="U50" s="19"/>
      <c r="V50" s="19"/>
    </row>
    <row r="51" spans="2:28">
      <c r="F51" s="14" t="s">
        <v>148</v>
      </c>
      <c r="G51" s="14" t="s">
        <v>160</v>
      </c>
      <c r="I51" s="15"/>
      <c r="J51" s="30"/>
      <c r="K51" s="15">
        <f t="shared" si="11"/>
        <v>1.18</v>
      </c>
      <c r="L51" s="30">
        <f t="shared" si="12"/>
        <v>0.18720575232059283</v>
      </c>
      <c r="M51" s="15"/>
      <c r="N51" s="85">
        <f t="shared" si="18"/>
        <v>8.3749941827633678E-2</v>
      </c>
      <c r="O51" s="50">
        <f t="shared" si="15"/>
        <v>0.1245</v>
      </c>
      <c r="P51" s="50">
        <f t="shared" si="16"/>
        <v>5.0000000000000001E-4</v>
      </c>
      <c r="Q51" s="114">
        <f t="shared" si="17"/>
        <v>1</v>
      </c>
      <c r="R51" s="25"/>
      <c r="S51" s="119" t="s">
        <v>71</v>
      </c>
      <c r="T51" s="119"/>
      <c r="U51" s="19"/>
      <c r="V51" s="18" t="s">
        <v>191</v>
      </c>
    </row>
    <row r="52" spans="2:28">
      <c r="B52" s="134" t="s">
        <v>92</v>
      </c>
      <c r="C52" s="135"/>
      <c r="D52" s="136"/>
      <c r="F52" s="14" t="s">
        <v>149</v>
      </c>
      <c r="G52" s="14">
        <v>0.55000000000000004</v>
      </c>
      <c r="I52" s="15"/>
      <c r="J52" s="30"/>
      <c r="K52" s="15">
        <f t="shared" si="11"/>
        <v>0.6</v>
      </c>
      <c r="L52" s="30">
        <f t="shared" si="12"/>
        <v>0.13301461349094754</v>
      </c>
      <c r="M52" s="15"/>
      <c r="N52" s="85">
        <f t="shared" si="18"/>
        <v>5.4191138829645297E-2</v>
      </c>
      <c r="O52" s="50">
        <f t="shared" si="15"/>
        <v>0.19950000000000001</v>
      </c>
      <c r="P52" s="50">
        <f t="shared" si="16"/>
        <v>5.0500000000000003E-2</v>
      </c>
      <c r="Q52" s="114">
        <f t="shared" si="17"/>
        <v>1</v>
      </c>
      <c r="R52" s="25"/>
      <c r="S52" s="119">
        <f>SUMX2MY2(S40:T49,U40:V49)</f>
        <v>1.5611402488937209</v>
      </c>
      <c r="T52" s="119"/>
      <c r="U52" s="19"/>
      <c r="V52" s="18">
        <f>MIN($S$52)</f>
        <v>1.5611402488937209</v>
      </c>
    </row>
    <row r="53" spans="2:28">
      <c r="F53" s="14" t="s">
        <v>150</v>
      </c>
      <c r="G53" s="14">
        <v>0.45</v>
      </c>
      <c r="I53" s="15"/>
      <c r="J53" s="30"/>
      <c r="K53" s="15">
        <f t="shared" si="11"/>
        <v>0.3</v>
      </c>
      <c r="L53" s="30">
        <f t="shared" si="12"/>
        <v>4.9264671663313907E-2</v>
      </c>
      <c r="M53" s="15"/>
      <c r="N53" s="85">
        <f t="shared" si="18"/>
        <v>8.3749941827633623E-2</v>
      </c>
      <c r="O53" s="50">
        <f t="shared" si="15"/>
        <v>0.19950000000000001</v>
      </c>
      <c r="P53" s="50">
        <f t="shared" si="16"/>
        <v>5.0500000000000003E-2</v>
      </c>
      <c r="Q53" s="114">
        <f t="shared" si="17"/>
        <v>1</v>
      </c>
      <c r="R53" s="25"/>
      <c r="U53" s="19"/>
      <c r="V53" s="14">
        <f>COUNT($E$29:$E$31)</f>
        <v>3</v>
      </c>
    </row>
    <row r="54" spans="2:28">
      <c r="B54" s="13" t="s">
        <v>161</v>
      </c>
      <c r="C54" s="13" t="str" cm="1">
        <f t="array" ref="C54">INDEX($J$5:$J$19,MIN(
   IF($L$5:$L$19&lt;&gt;0,ROW($L$5:$L$19)),
   IF($O$5:$O$19&lt;&gt;0,ROW($O$5:$O$19)),
   IF($R$5:$R$15&lt;&gt;0,ROW($R$5:$R$15))
)-ROW($J$5)+1)</f>
        <v>1 1/2''</v>
      </c>
      <c r="D54" s="13" t="s">
        <v>162</v>
      </c>
      <c r="F54" s="14" t="s">
        <v>151</v>
      </c>
      <c r="G54" s="14">
        <v>0.4</v>
      </c>
      <c r="I54" s="15"/>
      <c r="J54" s="15"/>
      <c r="K54" s="15">
        <f t="shared" si="11"/>
        <v>0.15</v>
      </c>
      <c r="L54" s="30">
        <f t="shared" si="12"/>
        <v>1.970586866532556E-2</v>
      </c>
      <c r="M54" s="15"/>
      <c r="N54" s="85">
        <f t="shared" si="18"/>
        <v>2.9558802997988347E-2</v>
      </c>
      <c r="O54" s="50">
        <f t="shared" si="15"/>
        <v>9.9500000000000005E-2</v>
      </c>
      <c r="P54" s="50">
        <f t="shared" si="16"/>
        <v>5.0000000000000001E-4</v>
      </c>
      <c r="Q54" s="114">
        <f t="shared" si="17"/>
        <v>1</v>
      </c>
      <c r="R54" s="25"/>
      <c r="U54" s="19"/>
      <c r="V54" s="18" t="b">
        <f>$C$33=1</f>
        <v>0</v>
      </c>
    </row>
    <row r="55" spans="2:28">
      <c r="B55" s="13" t="s">
        <v>163</v>
      </c>
      <c r="C55" s="13">
        <f>IFERROR(VLOOKUP(D6,$F$66:$G$70,2,FALSE),"N/A")</f>
        <v>4</v>
      </c>
      <c r="D55" s="13" t="s">
        <v>162</v>
      </c>
      <c r="F55" s="14" t="s">
        <v>152</v>
      </c>
      <c r="G55" s="14" t="s">
        <v>160</v>
      </c>
      <c r="V55" s="14" t="b">
        <f t="array" ref="V55">$Q$40:$Q$54=1</f>
        <v>1</v>
      </c>
    </row>
    <row r="56" spans="2:28">
      <c r="B56" s="13" t="s">
        <v>89</v>
      </c>
      <c r="C56" s="13">
        <f>MIN(C50,C45)</f>
        <v>0.62199434239999996</v>
      </c>
      <c r="F56" s="14" t="s">
        <v>153</v>
      </c>
      <c r="G56" s="14" t="s">
        <v>160</v>
      </c>
      <c r="V56" s="14">
        <f>{32767;32767;0.000001;1;FALSE;FALSE;TRUE;1;1;1;"""""""""""""""""""""""""""""""""""""""""""""""""""""""""""""""""""""""""""""""""""""""""""""""""""""""""""""""""""""""""""""""0,0001""""""""""""""""""""""""""""""""""""""""""""""""""""""""""""""""""""""""""""""""""""""""""""""""""""""""""""""""""""""""""""""";TRUE}</f>
        <v>32767</v>
      </c>
    </row>
    <row r="57" spans="2:28">
      <c r="B57" s="13" t="s">
        <v>97</v>
      </c>
      <c r="C57" s="13">
        <f>IFERROR(
  INDEX($Y$3:$AE$6,
         MATCH($C$55,{1;3;5;6},1),
         MATCH($C$54,$Y$2:$AE$2,0)
  ),
  "N/A"
)</f>
        <v>300</v>
      </c>
      <c r="D57" s="13" t="s">
        <v>94</v>
      </c>
      <c r="F57" s="14" t="s">
        <v>154</v>
      </c>
      <c r="G57" s="14" t="s">
        <v>160</v>
      </c>
      <c r="I57" s="155" t="s">
        <v>180</v>
      </c>
      <c r="J57" s="135"/>
      <c r="K57" s="136"/>
      <c r="M57" s="155" t="s">
        <v>179</v>
      </c>
      <c r="N57" s="160"/>
      <c r="O57" s="160"/>
      <c r="P57" s="160"/>
      <c r="Q57" s="160"/>
      <c r="R57" s="160"/>
      <c r="S57" s="160"/>
      <c r="T57" s="161"/>
      <c r="V57" s="14">
        <f>{0;0;0;100;0;FALSE;TRUE;"""""""""""""""""""""""""""""""""""""""""""""""""""""""""""""""""""""""""""""""""""""""""""""""""""""""""""""""""""""""""""""""0,075""""""""""""""""""""""""""""""""""""""""""""""""""""""""""""""""""""""""""""""""""""""""""""""""""""""""""""""""""""""""""""""";0;0;FALSE;30}</f>
        <v>0</v>
      </c>
      <c r="Y57" s="137" t="str">
        <f>Y86</f>
        <v>Rendimiento</v>
      </c>
      <c r="Z57" s="137"/>
      <c r="AA57" s="137"/>
      <c r="AB57" s="137"/>
    </row>
    <row r="58" spans="2:28" ht="49.05" customHeight="1">
      <c r="B58" s="13" t="s">
        <v>93</v>
      </c>
      <c r="C58" s="13">
        <f>C57/C56</f>
        <v>482.31949963151305</v>
      </c>
      <c r="D58" s="13" t="s">
        <v>94</v>
      </c>
      <c r="F58" s="14" t="s">
        <v>155</v>
      </c>
      <c r="G58" s="14" t="s">
        <v>160</v>
      </c>
      <c r="I58" s="14" t="s">
        <v>95</v>
      </c>
      <c r="J58" s="14">
        <f>(J60/G19)+(J59/1000) +((J61*C29)/D19)+((J61*C30)/E19)+((J61*C31)/F19)</f>
        <v>1</v>
      </c>
      <c r="K58" s="14" t="s">
        <v>96</v>
      </c>
      <c r="M58" s="14" t="s">
        <v>100</v>
      </c>
      <c r="N58" s="18" t="s">
        <v>101</v>
      </c>
      <c r="O58" s="18" t="s">
        <v>107</v>
      </c>
      <c r="P58" s="18" t="s">
        <v>102</v>
      </c>
      <c r="Q58" s="18" t="s">
        <v>108</v>
      </c>
      <c r="R58" s="18" t="s">
        <v>109</v>
      </c>
      <c r="S58" s="18" t="s">
        <v>112</v>
      </c>
      <c r="T58" s="18" t="s">
        <v>110</v>
      </c>
      <c r="U58" s="19"/>
      <c r="V58" s="19"/>
      <c r="Y58" s="14"/>
      <c r="Z58" s="14" t="s">
        <v>198</v>
      </c>
      <c r="AA58" s="14" t="s">
        <v>199</v>
      </c>
      <c r="AB58" s="14" t="s">
        <v>200</v>
      </c>
    </row>
    <row r="59" spans="2:28">
      <c r="F59" s="14" t="s">
        <v>156</v>
      </c>
      <c r="G59" s="14" t="s">
        <v>160</v>
      </c>
      <c r="I59" s="14" t="s">
        <v>97</v>
      </c>
      <c r="J59" s="14">
        <f>C57*0.593276</f>
        <v>177.9828</v>
      </c>
      <c r="K59" s="14" t="s">
        <v>98</v>
      </c>
      <c r="M59" s="71" t="s">
        <v>103</v>
      </c>
      <c r="N59" s="38">
        <f>J60</f>
        <v>286.14858346338553</v>
      </c>
      <c r="O59" s="38"/>
      <c r="P59" s="38" t="s">
        <v>67</v>
      </c>
      <c r="Q59" s="38"/>
      <c r="R59" s="38"/>
      <c r="S59" s="39"/>
      <c r="T59" s="72">
        <f>N59</f>
        <v>286.14858346338553</v>
      </c>
      <c r="V59" s="14" t="s">
        <v>192</v>
      </c>
      <c r="W59" s="14">
        <f>T65</f>
        <v>2406.4116049186578</v>
      </c>
      <c r="Y59" s="14" t="s">
        <v>103</v>
      </c>
      <c r="Z59" s="14">
        <f>T59</f>
        <v>286.14858346338553</v>
      </c>
      <c r="AA59" s="14">
        <f>T59*W61</f>
        <v>279.44062842968475</v>
      </c>
      <c r="AB59" s="14">
        <f>Z59</f>
        <v>286.14858346338553</v>
      </c>
    </row>
    <row r="60" spans="2:28">
      <c r="B60" s="168"/>
      <c r="C60" s="168"/>
      <c r="D60" s="168"/>
      <c r="F60" s="14" t="s">
        <v>157</v>
      </c>
      <c r="G60" s="14" t="s">
        <v>160</v>
      </c>
      <c r="I60" s="14" t="s">
        <v>93</v>
      </c>
      <c r="J60" s="14">
        <f>C58*0.593276</f>
        <v>286.14858346338553</v>
      </c>
      <c r="K60" s="14" t="s">
        <v>98</v>
      </c>
      <c r="M60" s="73" t="s">
        <v>104</v>
      </c>
      <c r="N60" s="13">
        <f>J59</f>
        <v>177.9828</v>
      </c>
      <c r="P60" s="13" t="s">
        <v>67</v>
      </c>
      <c r="Q60" s="13">
        <f>P61+N60</f>
        <v>201.50579433459487</v>
      </c>
      <c r="S60" s="13">
        <f>-P61</f>
        <v>-23.52299433459488</v>
      </c>
      <c r="T60" s="74">
        <f>Q60+S61</f>
        <v>86.831757326975548</v>
      </c>
      <c r="V60" s="14" t="s">
        <v>193</v>
      </c>
      <c r="W60" s="14">
        <v>2350</v>
      </c>
      <c r="Y60" s="14" t="s">
        <v>195</v>
      </c>
      <c r="Z60" s="116">
        <f>T60</f>
        <v>86.831757326975548</v>
      </c>
      <c r="AA60" s="14">
        <f>T60*W61</f>
        <v>84.796229082883798</v>
      </c>
      <c r="AB60" s="116">
        <f>Z60</f>
        <v>86.831757326975548</v>
      </c>
    </row>
    <row r="61" spans="2:28">
      <c r="F61" s="14" t="s">
        <v>26</v>
      </c>
      <c r="G61" s="14" t="s">
        <v>160</v>
      </c>
      <c r="I61" s="67" t="s">
        <v>99</v>
      </c>
      <c r="J61" s="67">
        <v>1942.2802377032435</v>
      </c>
      <c r="K61" s="67" t="s">
        <v>98</v>
      </c>
      <c r="M61" s="73" t="s">
        <v>105</v>
      </c>
      <c r="N61" s="13" t="s">
        <v>67</v>
      </c>
      <c r="P61" s="75">
        <f>-SUM(P62:P65)</f>
        <v>23.52299433459488</v>
      </c>
      <c r="Q61" s="75"/>
      <c r="R61" s="75"/>
      <c r="S61" s="76">
        <f>-SUM(S62:S64)</f>
        <v>-114.67403700761932</v>
      </c>
      <c r="T61" s="77"/>
      <c r="V61" s="14" t="s">
        <v>194</v>
      </c>
      <c r="W61" s="14">
        <f>W60/W59</f>
        <v>0.97655779052787417</v>
      </c>
      <c r="Y61" s="14" t="s">
        <v>196</v>
      </c>
      <c r="Z61" s="116">
        <f>SUM(T62:T64)</f>
        <v>2033.4312641282968</v>
      </c>
      <c r="AA61" s="14">
        <f>Z61*W61</f>
        <v>1985.7631424874317</v>
      </c>
      <c r="AB61" s="118">
        <f>AB62-AB60-AB59</f>
        <v>1977.019659209639</v>
      </c>
    </row>
    <row r="62" spans="2:28">
      <c r="F62" s="14" t="s">
        <v>158</v>
      </c>
      <c r="G62" s="14" t="s">
        <v>160</v>
      </c>
      <c r="I62" s="14" t="s">
        <v>35</v>
      </c>
      <c r="J62" s="14">
        <f>$J$61*C29</f>
        <v>504.38040806566124</v>
      </c>
      <c r="K62" s="14" t="s">
        <v>98</v>
      </c>
      <c r="M62" s="73" t="s">
        <v>35</v>
      </c>
      <c r="N62" s="13">
        <f>J62</f>
        <v>504.38040806566124</v>
      </c>
      <c r="O62" s="78">
        <f>D16</f>
        <v>1.2999999999999999E-2</v>
      </c>
      <c r="P62" s="13">
        <f>-(N62*O62)/(O62+1)</f>
        <v>-6.4727989189077952</v>
      </c>
      <c r="Q62" s="78">
        <f>D17</f>
        <v>0.04</v>
      </c>
      <c r="R62" s="76">
        <f>N62/(O62+1)</f>
        <v>497.90760914675349</v>
      </c>
      <c r="S62" s="76">
        <f>R62*Q62</f>
        <v>19.91630436587014</v>
      </c>
      <c r="T62" s="74">
        <f>R62+S62</f>
        <v>517.82391351262368</v>
      </c>
      <c r="Y62" s="14" t="s">
        <v>197</v>
      </c>
      <c r="Z62" s="14">
        <f>SUM(Z59:Z61)</f>
        <v>2406.4116049186578</v>
      </c>
      <c r="AA62" s="14">
        <f>SUM(AA59:AA61)</f>
        <v>2350</v>
      </c>
      <c r="AB62" s="14">
        <f>AA62</f>
        <v>2350</v>
      </c>
    </row>
    <row r="63" spans="2:28">
      <c r="F63" s="14" t="s">
        <v>159</v>
      </c>
      <c r="G63" s="14" t="s">
        <v>160</v>
      </c>
      <c r="I63" s="14" t="s">
        <v>32</v>
      </c>
      <c r="J63" s="14">
        <f>$J$61*C30</f>
        <v>481.04183150367521</v>
      </c>
      <c r="K63" s="14" t="s">
        <v>98</v>
      </c>
      <c r="M63" s="73" t="s">
        <v>32</v>
      </c>
      <c r="N63" s="13">
        <f>J63</f>
        <v>481.04183150367521</v>
      </c>
      <c r="O63" s="78">
        <f>E16</f>
        <v>1.2E-2</v>
      </c>
      <c r="P63" s="13">
        <f t="shared" ref="P63:P64" si="19">-(N63*O63)/(O63+1)</f>
        <v>-5.7040533379882437</v>
      </c>
      <c r="Q63" s="78">
        <f>E17</f>
        <v>0.08</v>
      </c>
      <c r="R63" s="76">
        <f t="shared" ref="R63:R64" si="20">N63/(O63+1)</f>
        <v>475.33777816568698</v>
      </c>
      <c r="S63" s="76">
        <f>R63*Q63</f>
        <v>38.027022253254962</v>
      </c>
      <c r="T63" s="74">
        <f t="shared" ref="T63:T64" si="21">R63+S63</f>
        <v>513.36480041894197</v>
      </c>
    </row>
    <row r="64" spans="2:28">
      <c r="I64" s="14" t="s">
        <v>29</v>
      </c>
      <c r="J64" s="14">
        <f>$J$61*C31</f>
        <v>956.85798188593571</v>
      </c>
      <c r="K64" s="14" t="s">
        <v>98</v>
      </c>
      <c r="M64" s="73" t="s">
        <v>29</v>
      </c>
      <c r="N64" s="13">
        <f>J64</f>
        <v>956.85798188593571</v>
      </c>
      <c r="O64" s="78">
        <f>F16</f>
        <v>1.2E-2</v>
      </c>
      <c r="P64" s="13">
        <f t="shared" si="19"/>
        <v>-11.346142077698842</v>
      </c>
      <c r="Q64" s="78">
        <f>F17</f>
        <v>0.06</v>
      </c>
      <c r="R64" s="76">
        <f t="shared" si="20"/>
        <v>945.51183980823691</v>
      </c>
      <c r="S64" s="76">
        <f t="shared" ref="S64" si="22">R64*Q64</f>
        <v>56.730710388494209</v>
      </c>
      <c r="T64" s="74">
        <f t="shared" si="21"/>
        <v>1002.2425501967311</v>
      </c>
    </row>
    <row r="65" spans="6:23">
      <c r="F65" s="18" t="s">
        <v>164</v>
      </c>
      <c r="G65" s="14" t="s">
        <v>163</v>
      </c>
      <c r="M65" s="79" t="s">
        <v>106</v>
      </c>
      <c r="N65" s="37">
        <f>J59+J60+J62+J63+J64</f>
        <v>2406.4116049186578</v>
      </c>
      <c r="O65" s="37"/>
      <c r="P65" s="37" t="s">
        <v>67</v>
      </c>
      <c r="Q65" s="37"/>
      <c r="R65" s="80"/>
      <c r="S65" s="81">
        <f>-S59</f>
        <v>0</v>
      </c>
      <c r="T65" s="82">
        <f>SUM(T59:T64)</f>
        <v>2406.4116049186578</v>
      </c>
    </row>
    <row r="66" spans="6:23">
      <c r="F66" s="18" t="s">
        <v>165</v>
      </c>
      <c r="G66" s="14">
        <v>4</v>
      </c>
    </row>
    <row r="67" spans="6:23">
      <c r="F67" s="18" t="s">
        <v>166</v>
      </c>
      <c r="G67" s="14">
        <v>4</v>
      </c>
      <c r="I67" s="155" t="s">
        <v>184</v>
      </c>
      <c r="J67" s="135"/>
      <c r="K67" s="135"/>
      <c r="L67" s="135"/>
      <c r="M67" s="136"/>
      <c r="S67" s="155" t="s">
        <v>185</v>
      </c>
      <c r="T67" s="160"/>
      <c r="U67" s="160"/>
      <c r="V67" s="161"/>
    </row>
    <row r="68" spans="6:23" ht="17" customHeight="1">
      <c r="F68" s="18" t="s">
        <v>167</v>
      </c>
      <c r="G68" s="14">
        <v>4</v>
      </c>
      <c r="I68" s="15" t="s">
        <v>63</v>
      </c>
      <c r="J68" s="29" t="s">
        <v>121</v>
      </c>
      <c r="K68" s="15" t="s">
        <v>64</v>
      </c>
      <c r="L68" s="29" t="s">
        <v>65</v>
      </c>
      <c r="M68" s="29" t="s">
        <v>66</v>
      </c>
      <c r="N68" s="29" t="s">
        <v>122</v>
      </c>
      <c r="O68" s="29" t="s">
        <v>123</v>
      </c>
      <c r="P68" s="29" t="s">
        <v>124</v>
      </c>
      <c r="Q68" s="29" t="s">
        <v>125</v>
      </c>
      <c r="R68" s="83"/>
      <c r="S68" s="131" t="s">
        <v>121</v>
      </c>
      <c r="T68" s="131"/>
      <c r="U68" s="156" t="s">
        <v>69</v>
      </c>
      <c r="V68" s="157"/>
      <c r="W68" s="14" t="s">
        <v>111</v>
      </c>
    </row>
    <row r="69" spans="6:23">
      <c r="F69" s="18" t="s">
        <v>168</v>
      </c>
      <c r="G69" s="14">
        <v>4</v>
      </c>
      <c r="I69" s="15">
        <f t="shared" ref="I69:I78" si="23">I26</f>
        <v>80</v>
      </c>
      <c r="J69" s="30">
        <f t="shared" ref="J69:J78" si="24">IF($D$5&lt;=10, AD26,
 IF($D$5&lt;=20, AC26,
  IF($D$5&lt;=40, AB26,
   IF($D$5&lt;=80, AA26, ""))))</f>
        <v>1</v>
      </c>
      <c r="K69" s="15">
        <f t="shared" ref="K69:K83" si="25">I5</f>
        <v>75</v>
      </c>
      <c r="L69" s="30">
        <f>V5</f>
        <v>0.99999999222492197</v>
      </c>
      <c r="M69" s="30" cm="1">
        <f t="array" ref="M69">IF(I69="","",
IF(I69&gt;=MAX($K$69:$K$84),INDEX($L$69:$L$84,1),
IF(I69&lt;=MIN($K$69:$K$84),INDEX($L$69:$L$84,ROWS($K$69:$K$84)),
INDEX($L$69:$L$84,MATCH(I69,$K$69:$K$84,-1))+
(INDEX($L$69:$L$84,MATCH(I69,$K$69:$K$84,-1)+1)-INDEX($L$69:$L$84,MATCH(I69,$K$69:$K$84,-1)))*
(LOG10(I69)-LOG10(INDEX($K$69:$K$84,MATCH(I69,$K$69:$K$84,-1))))/
(LOG10(INDEX($K$69:$K$84,MATCH(I69,$K$69:$K$84,-1)+1))-LOG10(INDEX($K$69:$K$84,MATCH(I69,$K$69:$K$84,-1))))
)
)
)</f>
        <v>0.99999999222492197</v>
      </c>
      <c r="N69" s="85">
        <f>1-L69</f>
        <v>7.7750780258512009E-9</v>
      </c>
      <c r="O69" s="50">
        <f t="shared" ref="O69:O83" si="26">MAX(0,AG4-$D$13)</f>
        <v>0</v>
      </c>
      <c r="P69" s="105">
        <f t="shared" ref="P69:P83" si="27">MIN(O40,MAX(0,AH4+$D$13))</f>
        <v>0</v>
      </c>
      <c r="Q69" s="14">
        <f>IF(AND(ROUND(N69,5)&gt;=ROUND(P69,5), ROUND(N69,5)&lt;=ROUND(O69,5)),1,0)</f>
        <v>1</v>
      </c>
      <c r="R69" s="25"/>
      <c r="S69" s="153">
        <f>MIN(1,POWER(I69/
 CHOOSE(MATCH($D$5,{9.5;12.5;19;25;37.5;50;75},0),
   10,20,20,40,40,80,80),0.5))</f>
        <v>1</v>
      </c>
      <c r="T69" s="119"/>
      <c r="U69" s="158">
        <f t="shared" ref="U69:U78" si="28">M69</f>
        <v>0.99999999222492197</v>
      </c>
      <c r="V69" s="159"/>
      <c r="W69" s="86">
        <f>(S69-U69)^2</f>
        <v>6.0451838308074207E-17</v>
      </c>
    </row>
    <row r="70" spans="6:23" ht="34.049999999999997" customHeight="1">
      <c r="F70" s="18" t="s">
        <v>17</v>
      </c>
      <c r="G70" s="14">
        <v>4</v>
      </c>
      <c r="I70" s="15">
        <f t="shared" si="23"/>
        <v>40</v>
      </c>
      <c r="J70" s="30">
        <f t="shared" si="24"/>
        <v>1</v>
      </c>
      <c r="K70" s="15">
        <f t="shared" si="25"/>
        <v>63</v>
      </c>
      <c r="L70" s="30">
        <f t="shared" ref="L70:L83" si="29">V6</f>
        <v>0.99999999222492197</v>
      </c>
      <c r="M70" s="30" cm="1">
        <f t="array" ref="M70">IF(I70="","",
IF(I70&gt;=MAX($K$69:$K$84),INDEX($L$69:$L$84,1),
IF(I70&lt;=MIN($K$69:$K$84),INDEX($L$69:$L$84,ROWS($K$69:$K$84)),
INDEX($L$69:$L$84,MATCH(I70,$K$69:$K$84,-1))+
(INDEX($L$69:$L$84,MATCH(I70,$K$69:$K$84,-1)+1)-INDEX($L$69:$L$84,MATCH(I70,$K$69:$K$84,-1)))*
(LOG10(I70)-LOG10(INDEX($K$69:$K$84,MATCH(I70,$K$69:$K$84,-1))))/
(LOG10(INDEX($K$69:$K$84,MATCH(I70,$K$69:$K$84,-1)+1))-LOG10(INDEX($K$69:$K$84,MATCH(I70,$K$69:$K$84,-1))))
)
)
)</f>
        <v>0.98672910510527101</v>
      </c>
      <c r="N70" s="85">
        <f>L69-L70</f>
        <v>0</v>
      </c>
      <c r="O70" s="50">
        <f t="shared" si="26"/>
        <v>0</v>
      </c>
      <c r="P70" s="105">
        <f t="shared" si="27"/>
        <v>0</v>
      </c>
      <c r="Q70" s="14">
        <f t="shared" ref="Q70:Q83" si="30">IF(AND(ROUND(N70,5)&gt;=ROUND(P70,5), ROUND(N70,5)&lt;=ROUND(O70,5)),1,0)</f>
        <v>1</v>
      </c>
      <c r="R70" s="25"/>
      <c r="S70" s="153">
        <f>MIN(1,POWER(I70/
 CHOOSE(MATCH($D$5,{9.5;12.5;19;25;37.5;50;75},0),
   10,20,20,40,40,80,80),0.5))</f>
        <v>1</v>
      </c>
      <c r="T70" s="119"/>
      <c r="U70" s="158">
        <f t="shared" si="28"/>
        <v>0.98672910510527101</v>
      </c>
      <c r="V70" s="159"/>
      <c r="W70" s="86">
        <f t="shared" ref="W70:W78" si="31">(S70-U70)^2</f>
        <v>1.7611665130694398E-4</v>
      </c>
    </row>
    <row r="71" spans="6:23">
      <c r="I71" s="15">
        <f t="shared" si="23"/>
        <v>20</v>
      </c>
      <c r="J71" s="30">
        <f t="shared" si="24"/>
        <v>1</v>
      </c>
      <c r="K71" s="15">
        <f t="shared" si="25"/>
        <v>50</v>
      </c>
      <c r="L71" s="30">
        <f t="shared" si="29"/>
        <v>0.99999999222492197</v>
      </c>
      <c r="M71" s="30" cm="1">
        <f t="array" ref="M71">IF(I71="","",
IF(I71&gt;=MAX($K$69:$K$84),INDEX($L$69:$L$84,1),
IF(I71&lt;=MIN($K$69:$K$84),INDEX($L$69:$L$84,ROWS($K$69:$K$84)),
INDEX($L$69:$L$84,MATCH(I71,$K$69:$K$84,-1))+
(INDEX($L$69:$L$84,MATCH(I71,$K$69:$K$84,-1)+1)-INDEX($L$69:$L$84,MATCH(I71,$K$69:$K$84,-1)))*
(LOG10(I71)-LOG10(INDEX($K$69:$K$84,MATCH(I71,$K$69:$K$84,-1))))/
(LOG10(INDEX($K$69:$K$84,MATCH(I71,$K$69:$K$84,-1)+1))-LOG10(INDEX($K$69:$K$84,MATCH(I71,$K$69:$K$84,-1))))
)
)
)</f>
        <v>0.77097231785023812</v>
      </c>
      <c r="N71" s="85">
        <f t="shared" ref="N71:N83" si="32">L70-L71</f>
        <v>0</v>
      </c>
      <c r="O71" s="50">
        <f t="shared" si="26"/>
        <v>0</v>
      </c>
      <c r="P71" s="105">
        <f t="shared" si="27"/>
        <v>0</v>
      </c>
      <c r="Q71" s="14">
        <f t="shared" si="30"/>
        <v>1</v>
      </c>
      <c r="R71" s="25"/>
      <c r="S71" s="153">
        <f>MIN(1,POWER(I71/
 CHOOSE(MATCH($D$5,{9.5;12.5;19;25;37.5;50;75},0),
   10,20,20,40,40,80,80),0.5))</f>
        <v>1</v>
      </c>
      <c r="T71" s="119"/>
      <c r="U71" s="158">
        <f t="shared" si="28"/>
        <v>0.77097231785023812</v>
      </c>
      <c r="V71" s="159"/>
      <c r="W71" s="86">
        <f t="shared" si="31"/>
        <v>5.2453679190892354E-2</v>
      </c>
    </row>
    <row r="72" spans="6:23">
      <c r="I72" s="15">
        <f t="shared" si="23"/>
        <v>10</v>
      </c>
      <c r="J72" s="30">
        <f t="shared" si="24"/>
        <v>1</v>
      </c>
      <c r="K72" s="15">
        <f t="shared" si="25"/>
        <v>37.5</v>
      </c>
      <c r="L72" s="30">
        <f t="shared" si="29"/>
        <v>0.98289084303656404</v>
      </c>
      <c r="M72" s="30" cm="1">
        <f t="array" ref="M72">IF(I72="","",
IF(I72&gt;=MAX($K$69:$K$84),INDEX($L$69:$L$84,1),
IF(I72&lt;=MIN($K$69:$K$84),INDEX($L$69:$L$84,ROWS($K$69:$K$84)),
INDEX($L$69:$L$84,MATCH(I72,$K$69:$K$84,-1))+
(INDEX($L$69:$L$84,MATCH(I72,$K$69:$K$84,-1)+1)-INDEX($L$69:$L$84,MATCH(I72,$K$69:$K$84,-1)))*
(LOG10(I72)-LOG10(INDEX($K$69:$K$84,MATCH(I72,$K$69:$K$84,-1))))/
(LOG10(INDEX($K$69:$K$84,MATCH(I72,$K$69:$K$84,-1)+1))-LOG10(INDEX($K$69:$K$84,MATCH(I72,$K$69:$K$84,-1))))
)
)
)</f>
        <v>0.60432640635609414</v>
      </c>
      <c r="N72" s="85">
        <f t="shared" si="32"/>
        <v>1.7109149188357931E-2</v>
      </c>
      <c r="O72" s="50">
        <f t="shared" si="26"/>
        <v>2.4500000000000001E-2</v>
      </c>
      <c r="P72" s="105">
        <f t="shared" si="27"/>
        <v>5.0000000000000001E-4</v>
      </c>
      <c r="Q72" s="14">
        <f t="shared" si="30"/>
        <v>1</v>
      </c>
      <c r="R72" s="25"/>
      <c r="S72" s="153">
        <f>MIN(1,POWER(I72/
 CHOOSE(MATCH($D$5,{9.5;12.5;19;25;37.5;50;75},0),
   10,20,20,40,40,80,80),0.5))</f>
        <v>1</v>
      </c>
      <c r="T72" s="119"/>
      <c r="U72" s="158">
        <f t="shared" si="28"/>
        <v>0.60432640635609414</v>
      </c>
      <c r="V72" s="159"/>
      <c r="W72" s="86">
        <f t="shared" si="31"/>
        <v>0.15655759270708275</v>
      </c>
    </row>
    <row r="73" spans="6:23">
      <c r="I73" s="15">
        <f t="shared" si="23"/>
        <v>5</v>
      </c>
      <c r="J73" s="30">
        <f t="shared" si="24"/>
        <v>0.63</v>
      </c>
      <c r="K73" s="15">
        <f t="shared" si="25"/>
        <v>25</v>
      </c>
      <c r="L73" s="30">
        <f t="shared" si="29"/>
        <v>0.89164204736532193</v>
      </c>
      <c r="M73" s="30" cm="1">
        <f t="array" ref="M73">IF(I73="","",
IF(I73&gt;=MAX($K$69:$K$84),INDEX($L$69:$L$84,1),
IF(I73&lt;=MIN($K$69:$K$84),INDEX($L$69:$L$84,ROWS($K$69:$K$84)),
INDEX($L$69:$L$84,MATCH(I73,$K$69:$K$84,-1))+
(INDEX($L$69:$L$84,MATCH(I73,$K$69:$K$84,-1)+1)-INDEX($L$69:$L$84,MATCH(I73,$K$69:$K$84,-1)))*
(LOG10(I73)-LOG10(INDEX($K$69:$K$84,MATCH(I73,$K$69:$K$84,-1))))/
(LOG10(INDEX($K$69:$K$84,MATCH(I73,$K$69:$K$84,-1)+1))-LOG10(INDEX($K$69:$K$84,MATCH(I73,$K$69:$K$84,-1))))
)
)
)</f>
        <v>0.38488445963349843</v>
      </c>
      <c r="N73" s="85">
        <f t="shared" si="32"/>
        <v>9.1248795671242111E-2</v>
      </c>
      <c r="O73" s="50">
        <f t="shared" si="26"/>
        <v>0.14949999999999999</v>
      </c>
      <c r="P73" s="105">
        <f t="shared" si="27"/>
        <v>5.0000000000000001E-4</v>
      </c>
      <c r="Q73" s="14">
        <f t="shared" si="30"/>
        <v>1</v>
      </c>
      <c r="R73" s="25"/>
      <c r="S73" s="153">
        <f>MIN(1,POWER(I73/
 CHOOSE(MATCH($D$5,{9.5;12.5;19;25;37.5;50;75},0),
   10,20,20,40,40,80,80),0.5))</f>
        <v>0.70710678118654757</v>
      </c>
      <c r="T73" s="119"/>
      <c r="U73" s="158">
        <f t="shared" si="28"/>
        <v>0.38488445963349843</v>
      </c>
      <c r="V73" s="159"/>
      <c r="W73" s="86">
        <f t="shared" si="31"/>
        <v>0.1038272245070366</v>
      </c>
    </row>
    <row r="74" spans="6:23">
      <c r="I74" s="15">
        <f t="shared" si="23"/>
        <v>2.5</v>
      </c>
      <c r="J74" s="30">
        <f t="shared" si="24"/>
        <v>0.49000000000000005</v>
      </c>
      <c r="K74" s="15">
        <f t="shared" si="25"/>
        <v>19</v>
      </c>
      <c r="L74" s="30">
        <f t="shared" si="29"/>
        <v>0.74323435310409225</v>
      </c>
      <c r="M74" s="30" cm="1">
        <f t="array" ref="M74">IF(I74="","",
IF(I74&gt;=MAX($K$69:$K$84),INDEX($L$69:$L$84,1),
IF(I74&lt;=MIN($K$69:$K$84),INDEX($L$69:$L$84,ROWS($K$69:$K$84)),
INDEX($L$69:$L$84,MATCH(I74,$K$69:$K$84,-1))+
(INDEX($L$69:$L$84,MATCH(I74,$K$69:$K$84,-1)+1)-INDEX($L$69:$L$84,MATCH(I74,$K$69:$K$84,-1)))*
(LOG10(I74)-LOG10(INDEX($K$69:$K$84,MATCH(I74,$K$69:$K$84,-1))))/
(LOG10(INDEX($K$69:$K$84,MATCH(I74,$K$69:$K$84,-1)+1))-LOG10(INDEX($K$69:$K$84,MATCH(I74,$K$69:$K$84,-1))))
)
)
)</f>
        <v>0.27375290422488902</v>
      </c>
      <c r="N74" s="85">
        <f t="shared" si="32"/>
        <v>0.14840769426122968</v>
      </c>
      <c r="O74" s="50">
        <f t="shared" si="26"/>
        <v>0.19950000000000001</v>
      </c>
      <c r="P74" s="105">
        <f t="shared" si="27"/>
        <v>5.0000000000000001E-4</v>
      </c>
      <c r="Q74" s="14">
        <f t="shared" si="30"/>
        <v>1</v>
      </c>
      <c r="R74" s="25"/>
      <c r="S74" s="153">
        <f>MIN(1,POWER(I74/
 CHOOSE(MATCH($D$5,{9.5;12.5;19;25;37.5;50;75},0),
   10,20,20,40,40,80,80),0.5))</f>
        <v>0.5</v>
      </c>
      <c r="T74" s="119"/>
      <c r="U74" s="158">
        <f t="shared" si="28"/>
        <v>0.27375290422488902</v>
      </c>
      <c r="V74" s="159"/>
      <c r="W74" s="86">
        <f t="shared" si="31"/>
        <v>5.1187748346672245E-2</v>
      </c>
    </row>
    <row r="75" spans="6:23">
      <c r="I75" s="15">
        <f t="shared" si="23"/>
        <v>1.25</v>
      </c>
      <c r="J75" s="30">
        <f t="shared" si="24"/>
        <v>0.38</v>
      </c>
      <c r="K75" s="15">
        <f t="shared" si="25"/>
        <v>12.5</v>
      </c>
      <c r="L75" s="30">
        <f t="shared" si="29"/>
        <v>0.6453836986351682</v>
      </c>
      <c r="M75" s="30" cm="1">
        <f t="array" ref="M75">IF(I75="","",
IF(I75&gt;=MAX($K$69:$K$84),INDEX($L$69:$L$84,1),
IF(I75&lt;=MIN($K$69:$K$84),INDEX($L$69:$L$84,ROWS($K$69:$K$84)),
INDEX($L$69:$L$84,MATCH(I75,$K$69:$K$84,-1))+
(INDEX($L$69:$L$84,MATCH(I75,$K$69:$K$84,-1)+1)-INDEX($L$69:$L$84,MATCH(I75,$K$69:$K$84,-1)))*
(LOG10(I75)-LOG10(INDEX($K$69:$K$84,MATCH(I75,$K$69:$K$84,-1))))/
(LOG10(INDEX($K$69:$K$84,MATCH(I75,$K$69:$K$84,-1)+1))-LOG10(INDEX($K$69:$K$84,MATCH(I75,$K$69:$K$84,-1))))
)
)
)</f>
        <v>0.19082293326782201</v>
      </c>
      <c r="N75" s="85">
        <f t="shared" si="32"/>
        <v>9.7850654468924048E-2</v>
      </c>
      <c r="O75" s="50">
        <f t="shared" si="26"/>
        <v>0.19950000000000001</v>
      </c>
      <c r="P75" s="105">
        <f t="shared" si="27"/>
        <v>5.0500000000000003E-2</v>
      </c>
      <c r="Q75" s="14">
        <f t="shared" si="30"/>
        <v>1</v>
      </c>
      <c r="R75" s="25"/>
      <c r="S75" s="153">
        <f>MIN(1,POWER(I75/
 CHOOSE(MATCH($D$5,{9.5;12.5;19;25;37.5;50;75},0),
   10,20,20,40,40,80,80),0.5))</f>
        <v>0.35355339059327379</v>
      </c>
      <c r="T75" s="119"/>
      <c r="U75" s="158">
        <f t="shared" si="28"/>
        <v>0.19082293326782201</v>
      </c>
      <c r="V75" s="159"/>
      <c r="W75" s="86">
        <f t="shared" si="31"/>
        <v>2.6481201741350682E-2</v>
      </c>
    </row>
    <row r="76" spans="6:23">
      <c r="I76" s="15">
        <f t="shared" si="23"/>
        <v>0.63</v>
      </c>
      <c r="J76" s="30">
        <f t="shared" si="24"/>
        <v>0.20750000000000002</v>
      </c>
      <c r="K76" s="15">
        <f t="shared" si="25"/>
        <v>9.5</v>
      </c>
      <c r="L76" s="30">
        <f t="shared" si="29"/>
        <v>0.59488869790687782</v>
      </c>
      <c r="M76" s="30" cm="1">
        <f t="array" ref="M76">IF(I76="","",
IF(I76&gt;=MAX($K$69:$K$84),INDEX($L$69:$L$84,1),
IF(I76&lt;=MIN($K$69:$K$84),INDEX($L$69:$L$84,ROWS($K$69:$K$84)),
INDEX($L$69:$L$84,MATCH(I76,$K$69:$K$84,-1))+
(INDEX($L$69:$L$84,MATCH(I76,$K$69:$K$84,-1)+1)-INDEX($L$69:$L$84,MATCH(I76,$K$69:$K$84,-1)))*
(LOG10(I76)-LOG10(INDEX($K$69:$K$84,MATCH(I76,$K$69:$K$84,-1))))/
(LOG10(INDEX($K$69:$K$84,MATCH(I76,$K$69:$K$84,-1)+1))-LOG10(INDEX($K$69:$K$84,MATCH(I76,$K$69:$K$84,-1))))
)
)
)</f>
        <v>0.13456442646383748</v>
      </c>
      <c r="N76" s="85">
        <f t="shared" si="32"/>
        <v>5.0495000728290385E-2</v>
      </c>
      <c r="O76" s="50">
        <f t="shared" si="26"/>
        <v>0.19950000000000001</v>
      </c>
      <c r="P76" s="105">
        <f t="shared" si="27"/>
        <v>5.0500000000000003E-2</v>
      </c>
      <c r="Q76" s="14">
        <f t="shared" si="30"/>
        <v>1</v>
      </c>
      <c r="R76" s="25"/>
      <c r="S76" s="153">
        <f>MIN(1,POWER(I76/
 CHOOSE(MATCH($D$5,{9.5;12.5;19;25;37.5;50;75},0),
   10,20,20,40,40,80,80),0.5))</f>
        <v>0.25099800796022265</v>
      </c>
      <c r="T76" s="119"/>
      <c r="U76" s="158">
        <f t="shared" si="28"/>
        <v>0.13456442646383748</v>
      </c>
      <c r="V76" s="159"/>
      <c r="W76" s="86">
        <f t="shared" si="31"/>
        <v>1.3556778900075365E-2</v>
      </c>
    </row>
    <row r="77" spans="6:23">
      <c r="I77" s="15">
        <f t="shared" si="23"/>
        <v>0.315</v>
      </c>
      <c r="J77" s="30">
        <f t="shared" si="24"/>
        <v>0.11</v>
      </c>
      <c r="K77" s="15">
        <f t="shared" si="25"/>
        <v>6.3</v>
      </c>
      <c r="L77" s="30">
        <f t="shared" si="29"/>
        <v>0.51092919405582649</v>
      </c>
      <c r="M77" s="30" cm="1">
        <f t="array" ref="M77">IF(I77="","",
IF(I77&gt;=MAX($K$69:$K$84),INDEX($L$69:$L$84,1),
IF(I77&lt;=MIN($K$69:$K$84),INDEX($L$69:$L$84,ROWS($K$69:$K$84)),
INDEX($L$69:$L$84,MATCH(I77,$K$69:$K$84,-1))+
(INDEX($L$69:$L$84,MATCH(I77,$K$69:$K$84,-1)+1)-INDEX($L$69:$L$84,MATCH(I77,$K$69:$K$84,-1)))*
(LOG10(I77)-LOG10(INDEX($K$69:$K$84,MATCH(I77,$K$69:$K$84,-1))))/
(LOG10(INDEX($K$69:$K$84,MATCH(I77,$K$69:$K$84,-1)+1))-LOG10(INDEX($K$69:$K$84,MATCH(I77,$K$69:$K$84,-1))))
)
)
)</f>
        <v>5.4209267527949551E-2</v>
      </c>
      <c r="N77" s="85">
        <f t="shared" si="32"/>
        <v>8.3959503851051331E-2</v>
      </c>
      <c r="O77" s="50">
        <f t="shared" si="26"/>
        <v>0.19950000000000001</v>
      </c>
      <c r="P77" s="105">
        <f t="shared" si="27"/>
        <v>5.0500000000000003E-2</v>
      </c>
      <c r="Q77" s="14">
        <f t="shared" si="30"/>
        <v>1</v>
      </c>
      <c r="R77" s="25"/>
      <c r="S77" s="153">
        <f>MIN(1,POWER(I77/
 CHOOSE(MATCH($D$5,{9.5;12.5;19;25;37.5;50;75},0),
   10,20,20,40,40,80,80),0.5))</f>
        <v>0.17748239349298847</v>
      </c>
      <c r="T77" s="119"/>
      <c r="U77" s="158">
        <f t="shared" si="28"/>
        <v>5.4209267527949551E-2</v>
      </c>
      <c r="V77" s="159"/>
      <c r="W77" s="86">
        <f t="shared" si="31"/>
        <v>1.5196263585192353E-2</v>
      </c>
    </row>
    <row r="78" spans="6:23">
      <c r="I78" s="15">
        <f t="shared" si="23"/>
        <v>0.16</v>
      </c>
      <c r="J78" s="30">
        <f t="shared" si="24"/>
        <v>0.05</v>
      </c>
      <c r="K78" s="15">
        <f t="shared" si="25"/>
        <v>4.75</v>
      </c>
      <c r="L78" s="30">
        <f t="shared" si="29"/>
        <v>0.35690989546265156</v>
      </c>
      <c r="M78" s="30" cm="1">
        <f t="array" ref="M78">IF(I78="","",
IF(I78&gt;=MAX($K$69:$K$84),INDEX($L$69:$L$84,1),
IF(I78&lt;=MIN($K$69:$K$84),INDEX($L$69:$L$84,ROWS($K$69:$K$84)),
INDEX($L$69:$L$84,MATCH(I78,$K$69:$K$84,-1))+
(INDEX($L$69:$L$84,MATCH(I78,$K$69:$K$84,-1)+1)-INDEX($L$69:$L$84,MATCH(I78,$K$69:$K$84,-1)))*
(LOG10(I78)-LOG10(INDEX($K$69:$K$84,MATCH(I78,$K$69:$K$84,-1))))/
(LOG10(INDEX($K$69:$K$84,MATCH(I78,$K$69:$K$84,-1)+1))-LOG10(INDEX($K$69:$K$84,MATCH(I78,$K$69:$K$84,-1))))
)
)
)</f>
        <v>2.207107656184765E-2</v>
      </c>
      <c r="N78" s="85">
        <f t="shared" si="32"/>
        <v>0.15401929859317492</v>
      </c>
      <c r="O78" s="50">
        <f t="shared" si="26"/>
        <v>0.19950000000000001</v>
      </c>
      <c r="P78" s="105">
        <f t="shared" si="27"/>
        <v>5.0500000000000003E-2</v>
      </c>
      <c r="Q78" s="14">
        <f t="shared" si="30"/>
        <v>1</v>
      </c>
      <c r="R78" s="25"/>
      <c r="S78" s="153">
        <f>MIN(1,POWER(I78/
 CHOOSE(MATCH($D$5,{9.5;12.5;19;25;37.5;50;75},0),
   10,20,20,40,40,80,80),0.5))</f>
        <v>0.12649110640673517</v>
      </c>
      <c r="T78" s="119"/>
      <c r="U78" s="158">
        <f t="shared" si="28"/>
        <v>2.207107656184765E-2</v>
      </c>
      <c r="V78" s="159"/>
      <c r="W78" s="86">
        <f t="shared" si="31"/>
        <v>1.0903542632807199E-2</v>
      </c>
    </row>
    <row r="79" spans="6:23">
      <c r="I79" s="15"/>
      <c r="J79" s="30"/>
      <c r="K79" s="15">
        <f t="shared" si="25"/>
        <v>2.36</v>
      </c>
      <c r="L79" s="30">
        <f t="shared" si="29"/>
        <v>0.26628661986572716</v>
      </c>
      <c r="M79" s="15"/>
      <c r="N79" s="85">
        <f t="shared" si="32"/>
        <v>9.0623275596924402E-2</v>
      </c>
      <c r="O79" s="50">
        <f t="shared" si="26"/>
        <v>0.1245</v>
      </c>
      <c r="P79" s="105">
        <f t="shared" si="27"/>
        <v>5.0000000000000001E-4</v>
      </c>
      <c r="Q79" s="14">
        <f t="shared" si="30"/>
        <v>1</v>
      </c>
      <c r="R79" s="25"/>
      <c r="U79" s="19"/>
      <c r="V79" s="19"/>
    </row>
    <row r="80" spans="6:23">
      <c r="I80" s="15"/>
      <c r="J80" s="30"/>
      <c r="K80" s="15">
        <f t="shared" si="25"/>
        <v>1.18</v>
      </c>
      <c r="L80" s="30">
        <f t="shared" si="29"/>
        <v>0.1839798464526842</v>
      </c>
      <c r="M80" s="15"/>
      <c r="N80" s="85">
        <f t="shared" si="32"/>
        <v>8.2306773413042961E-2</v>
      </c>
      <c r="O80" s="50">
        <f t="shared" si="26"/>
        <v>0.1245</v>
      </c>
      <c r="P80" s="105">
        <f t="shared" si="27"/>
        <v>5.0000000000000001E-4</v>
      </c>
      <c r="Q80" s="14">
        <f t="shared" si="30"/>
        <v>1</v>
      </c>
      <c r="R80" s="25"/>
      <c r="S80" s="119" t="s">
        <v>71</v>
      </c>
      <c r="T80" s="119"/>
      <c r="U80" s="19"/>
      <c r="V80" s="18" t="s">
        <v>191</v>
      </c>
    </row>
    <row r="81" spans="9:28">
      <c r="I81" s="15"/>
      <c r="J81" s="30"/>
      <c r="K81" s="15">
        <f t="shared" si="25"/>
        <v>0.6</v>
      </c>
      <c r="L81" s="30">
        <f t="shared" si="29"/>
        <v>0.13072252247953878</v>
      </c>
      <c r="M81" s="15"/>
      <c r="N81" s="85">
        <f t="shared" si="32"/>
        <v>5.3257323973145421E-2</v>
      </c>
      <c r="O81" s="50">
        <f t="shared" si="26"/>
        <v>0.19950000000000001</v>
      </c>
      <c r="P81" s="105">
        <f t="shared" si="27"/>
        <v>5.0500000000000003E-2</v>
      </c>
      <c r="Q81" s="14">
        <f t="shared" si="30"/>
        <v>1</v>
      </c>
      <c r="R81" s="25"/>
      <c r="S81" s="169">
        <f>SUM(W69:W78)</f>
        <v>0.43034014826241646</v>
      </c>
      <c r="T81" s="169"/>
      <c r="U81" s="19"/>
      <c r="V81" s="115">
        <f>MIN($S$81)</f>
        <v>0.43034014826241646</v>
      </c>
    </row>
    <row r="82" spans="9:28">
      <c r="I82" s="15"/>
      <c r="J82" s="30"/>
      <c r="K82" s="15">
        <f t="shared" si="25"/>
        <v>0.3</v>
      </c>
      <c r="L82" s="30">
        <f t="shared" si="29"/>
        <v>4.8415749066495845E-2</v>
      </c>
      <c r="M82" s="15"/>
      <c r="N82" s="85">
        <f t="shared" si="32"/>
        <v>8.2306773413042933E-2</v>
      </c>
      <c r="O82" s="50">
        <f t="shared" si="26"/>
        <v>0.19950000000000001</v>
      </c>
      <c r="P82" s="105">
        <f t="shared" si="27"/>
        <v>5.0500000000000003E-2</v>
      </c>
      <c r="Q82" s="14">
        <f t="shared" si="30"/>
        <v>1</v>
      </c>
      <c r="R82" s="25"/>
      <c r="U82" s="19"/>
      <c r="V82" s="18">
        <f>COUNT($E$29:$E$31)</f>
        <v>3</v>
      </c>
    </row>
    <row r="83" spans="9:28">
      <c r="I83" s="15"/>
      <c r="J83" s="15"/>
      <c r="K83" s="15">
        <f t="shared" si="25"/>
        <v>0.15</v>
      </c>
      <c r="L83" s="30">
        <f t="shared" si="29"/>
        <v>1.9366299626598336E-2</v>
      </c>
      <c r="M83" s="15"/>
      <c r="N83" s="85">
        <f t="shared" si="32"/>
        <v>2.9049449439897509E-2</v>
      </c>
      <c r="O83" s="50">
        <f t="shared" si="26"/>
        <v>9.9500000000000005E-2</v>
      </c>
      <c r="P83" s="105">
        <f t="shared" si="27"/>
        <v>5.0000000000000001E-4</v>
      </c>
      <c r="Q83" s="14">
        <f t="shared" si="30"/>
        <v>1</v>
      </c>
      <c r="R83" s="25"/>
      <c r="U83" s="19"/>
      <c r="V83" s="18" t="b">
        <f>$E$33=$E$32</f>
        <v>0</v>
      </c>
    </row>
    <row r="84" spans="9:28">
      <c r="V84" s="14" t="b">
        <f t="array" ref="V84">$Q$69:$Q$83=1</f>
        <v>1</v>
      </c>
    </row>
    <row r="85" spans="9:28">
      <c r="V85" s="14">
        <f>{32767;32767;0.000001;1;FALSE;FALSE;TRUE;1;1;1;"""""""""""""""""""""""""""""""0,0001""""""""""""""""""""""""""""""";TRUE}</f>
        <v>32767</v>
      </c>
    </row>
    <row r="86" spans="9:28">
      <c r="I86" s="155" t="s">
        <v>186</v>
      </c>
      <c r="J86" s="135"/>
      <c r="K86" s="136"/>
      <c r="M86" s="155" t="s">
        <v>187</v>
      </c>
      <c r="N86" s="160"/>
      <c r="O86" s="160"/>
      <c r="P86" s="160"/>
      <c r="Q86" s="160"/>
      <c r="R86" s="160"/>
      <c r="S86" s="160"/>
      <c r="T86" s="161"/>
      <c r="V86" s="14">
        <f>{0;0;0;100;0;FALSE;TRUE;"""""""""""""""""""""""""""""""0,075""""""""""""""""""""""""""""""";0;0;FALSE;30}</f>
        <v>0</v>
      </c>
      <c r="Y86" s="137" t="s">
        <v>202</v>
      </c>
      <c r="Z86" s="119"/>
      <c r="AA86" s="119"/>
      <c r="AB86" s="119"/>
    </row>
    <row r="87" spans="9:28" ht="31.5">
      <c r="I87" s="14" t="s">
        <v>95</v>
      </c>
      <c r="J87" s="14">
        <f>(J89/G19)+(J88/1000) +((J90*E29)/D19)+((J90*E30)/E19)+((J90*E31)/F19)</f>
        <v>1</v>
      </c>
      <c r="K87" s="14" t="s">
        <v>96</v>
      </c>
      <c r="M87" s="14" t="s">
        <v>100</v>
      </c>
      <c r="N87" s="18" t="s">
        <v>101</v>
      </c>
      <c r="O87" s="18" t="s">
        <v>107</v>
      </c>
      <c r="P87" s="18" t="s">
        <v>102</v>
      </c>
      <c r="Q87" s="18" t="s">
        <v>108</v>
      </c>
      <c r="R87" s="18" t="s">
        <v>109</v>
      </c>
      <c r="S87" s="18" t="s">
        <v>112</v>
      </c>
      <c r="T87" s="18" t="s">
        <v>110</v>
      </c>
      <c r="U87" s="19"/>
      <c r="V87" s="19"/>
      <c r="Y87" s="14"/>
      <c r="Z87" s="14" t="s">
        <v>198</v>
      </c>
      <c r="AA87" s="14" t="s">
        <v>199</v>
      </c>
      <c r="AB87" s="14" t="s">
        <v>200</v>
      </c>
    </row>
    <row r="88" spans="9:28">
      <c r="I88" s="14" t="s">
        <v>97</v>
      </c>
      <c r="J88" s="14">
        <f>C57*0.593276</f>
        <v>177.9828</v>
      </c>
      <c r="K88" s="14" t="s">
        <v>98</v>
      </c>
      <c r="M88" s="71" t="s">
        <v>103</v>
      </c>
      <c r="N88" s="38">
        <f>J89</f>
        <v>286.14858346338553</v>
      </c>
      <c r="O88" s="38"/>
      <c r="P88" s="38" t="s">
        <v>67</v>
      </c>
      <c r="Q88" s="38"/>
      <c r="R88" s="38"/>
      <c r="S88" s="39"/>
      <c r="T88" s="72">
        <f>N88</f>
        <v>286.14858346338553</v>
      </c>
      <c r="V88" s="14" t="s">
        <v>192</v>
      </c>
      <c r="W88" s="14">
        <f>T94</f>
        <v>2403.3397060239377</v>
      </c>
      <c r="Y88" s="14" t="s">
        <v>103</v>
      </c>
      <c r="Z88" s="14">
        <f>T88</f>
        <v>286.14858346338553</v>
      </c>
      <c r="AA88" s="14">
        <f>Z88*$W$90</f>
        <v>279.79780363694385</v>
      </c>
      <c r="AB88" s="14">
        <f>Z88</f>
        <v>286.14858346338553</v>
      </c>
    </row>
    <row r="89" spans="9:28">
      <c r="I89" s="14" t="s">
        <v>93</v>
      </c>
      <c r="J89" s="14">
        <f>C58*0.593276</f>
        <v>286.14858346338553</v>
      </c>
      <c r="K89" s="14" t="s">
        <v>98</v>
      </c>
      <c r="M89" s="73" t="s">
        <v>104</v>
      </c>
      <c r="N89" s="13">
        <f>J88</f>
        <v>177.9828</v>
      </c>
      <c r="P89" s="13" t="s">
        <v>67</v>
      </c>
      <c r="Q89" s="13">
        <f>P90+N89</f>
        <v>201.51676599962545</v>
      </c>
      <c r="S89" s="13">
        <f>-P90</f>
        <v>-23.533965999625444</v>
      </c>
      <c r="T89" s="74">
        <f>Q89+S90</f>
        <v>88.652751342686287</v>
      </c>
      <c r="V89" s="14" t="s">
        <v>201</v>
      </c>
      <c r="W89" s="14">
        <f>2350</f>
        <v>2350</v>
      </c>
      <c r="Y89" s="14" t="s">
        <v>195</v>
      </c>
      <c r="Z89" s="116">
        <f>T89</f>
        <v>88.652751342686287</v>
      </c>
      <c r="AA89" s="14">
        <f t="shared" ref="AA89:AA91" si="33">Z89*$W$90</f>
        <v>86.685192747877707</v>
      </c>
      <c r="AB89" s="116">
        <f>Z89</f>
        <v>88.652751342686287</v>
      </c>
    </row>
    <row r="90" spans="9:28">
      <c r="I90" s="67" t="s">
        <v>99</v>
      </c>
      <c r="J90" s="67">
        <v>1939.2083376380483</v>
      </c>
      <c r="K90" s="67" t="s">
        <v>98</v>
      </c>
      <c r="M90" s="73" t="s">
        <v>105</v>
      </c>
      <c r="N90" s="13" t="s">
        <v>67</v>
      </c>
      <c r="P90" s="75">
        <f>-SUM(P91:P94)</f>
        <v>23.533965999625444</v>
      </c>
      <c r="Q90" s="75"/>
      <c r="R90" s="75"/>
      <c r="S90" s="76">
        <f>-SUM(S91:S93)</f>
        <v>-112.86401465693916</v>
      </c>
      <c r="T90" s="77"/>
      <c r="V90" s="14" t="s">
        <v>194</v>
      </c>
      <c r="W90" s="14">
        <f>W89/W88</f>
        <v>0.97780600641255899</v>
      </c>
      <c r="Y90" s="14" t="s">
        <v>196</v>
      </c>
      <c r="Z90" s="116">
        <f>SUM(T91:T93)</f>
        <v>2028.5383712178659</v>
      </c>
      <c r="AA90" s="14">
        <f t="shared" si="33"/>
        <v>1983.5170036151785</v>
      </c>
      <c r="AB90" s="118">
        <f>AB91-AB89-AB88</f>
        <v>1975.1986651939283</v>
      </c>
    </row>
    <row r="91" spans="9:28">
      <c r="I91" s="14" t="s">
        <v>35</v>
      </c>
      <c r="J91" s="14">
        <f>$J$90*E29</f>
        <v>552.97007926594779</v>
      </c>
      <c r="K91" s="14" t="s">
        <v>98</v>
      </c>
      <c r="M91" s="73" t="s">
        <v>35</v>
      </c>
      <c r="N91" s="13">
        <f>J91</f>
        <v>552.97007926594779</v>
      </c>
      <c r="O91" s="78">
        <f>O62</f>
        <v>1.2999999999999999E-2</v>
      </c>
      <c r="P91" s="13">
        <f>-(N91*O91)/(O91+1)</f>
        <v>-7.0963583716261809</v>
      </c>
      <c r="Q91" s="78">
        <f>Q62</f>
        <v>0.04</v>
      </c>
      <c r="R91" s="76">
        <f>N91/(O91+1)</f>
        <v>545.87372089432165</v>
      </c>
      <c r="S91" s="76">
        <f>R91*Q91</f>
        <v>21.834948835772867</v>
      </c>
      <c r="T91" s="74">
        <f>R91+S91</f>
        <v>567.70866973009447</v>
      </c>
      <c r="Y91" s="14" t="s">
        <v>197</v>
      </c>
      <c r="Z91" s="14">
        <f>T94</f>
        <v>2403.3397060239377</v>
      </c>
      <c r="AA91" s="14">
        <f t="shared" si="33"/>
        <v>2350</v>
      </c>
      <c r="AB91" s="14">
        <f>AA91</f>
        <v>2350</v>
      </c>
    </row>
    <row r="92" spans="9:28">
      <c r="I92" s="14" t="s">
        <v>32</v>
      </c>
      <c r="J92" s="14">
        <f>$J$90*E30</f>
        <v>447.35600066720156</v>
      </c>
      <c r="K92" s="14" t="s">
        <v>98</v>
      </c>
      <c r="M92" s="73" t="s">
        <v>32</v>
      </c>
      <c r="N92" s="13">
        <f>J92</f>
        <v>447.35600066720156</v>
      </c>
      <c r="O92" s="78">
        <f>O63</f>
        <v>1.2E-2</v>
      </c>
      <c r="P92" s="13">
        <f t="shared" ref="P92:P93" si="34">-(N92*O92)/(O92+1)</f>
        <v>-5.3046166087019948</v>
      </c>
      <c r="Q92" s="78">
        <f t="shared" ref="Q92:Q93" si="35">Q63</f>
        <v>0.08</v>
      </c>
      <c r="R92" s="76">
        <f t="shared" ref="R92:R93" si="36">N92/(O92+1)</f>
        <v>442.05138405849954</v>
      </c>
      <c r="S92" s="76">
        <f>R92*Q92</f>
        <v>35.364110724679961</v>
      </c>
      <c r="T92" s="74">
        <f t="shared" ref="T92:T93" si="37">R92+S92</f>
        <v>477.4154947831795</v>
      </c>
    </row>
    <row r="93" spans="9:28">
      <c r="I93" s="14" t="s">
        <v>29</v>
      </c>
      <c r="J93" s="14">
        <f>$J$90*E31</f>
        <v>938.88224262740289</v>
      </c>
      <c r="K93" s="14" t="s">
        <v>98</v>
      </c>
      <c r="M93" s="73" t="s">
        <v>29</v>
      </c>
      <c r="N93" s="13">
        <f>J93</f>
        <v>938.88224262740289</v>
      </c>
      <c r="O93" s="78">
        <f>O64</f>
        <v>1.2E-2</v>
      </c>
      <c r="P93" s="13">
        <f t="shared" si="34"/>
        <v>-11.132991019297268</v>
      </c>
      <c r="Q93" s="78">
        <f t="shared" si="35"/>
        <v>0.06</v>
      </c>
      <c r="R93" s="76">
        <f t="shared" si="36"/>
        <v>927.74925160810562</v>
      </c>
      <c r="S93" s="76">
        <f t="shared" ref="S93" si="38">R93*Q93</f>
        <v>55.664955096486338</v>
      </c>
      <c r="T93" s="74">
        <f t="shared" si="37"/>
        <v>983.41420670459195</v>
      </c>
    </row>
    <row r="94" spans="9:28">
      <c r="M94" s="79" t="s">
        <v>106</v>
      </c>
      <c r="N94" s="37">
        <f>J88+J89+J91+J92+J93</f>
        <v>2403.3397060239377</v>
      </c>
      <c r="O94" s="37"/>
      <c r="P94" s="37" t="s">
        <v>67</v>
      </c>
      <c r="Q94" s="37"/>
      <c r="R94" s="80"/>
      <c r="S94" s="81">
        <f>-S88</f>
        <v>0</v>
      </c>
      <c r="T94" s="82">
        <f>SUM(T88:T93)</f>
        <v>2403.3397060239377</v>
      </c>
    </row>
  </sheetData>
  <mergeCells count="105">
    <mergeCell ref="Y86:AB86"/>
    <mergeCell ref="Y57:AB57"/>
    <mergeCell ref="S81:T81"/>
    <mergeCell ref="I86:K86"/>
    <mergeCell ref="M86:T86"/>
    <mergeCell ref="E13:G13"/>
    <mergeCell ref="AG2:AH2"/>
    <mergeCell ref="S77:T77"/>
    <mergeCell ref="U77:V77"/>
    <mergeCell ref="S78:T78"/>
    <mergeCell ref="U78:V78"/>
    <mergeCell ref="S80:T80"/>
    <mergeCell ref="S74:T74"/>
    <mergeCell ref="U74:V74"/>
    <mergeCell ref="S75:T75"/>
    <mergeCell ref="U75:V75"/>
    <mergeCell ref="S76:T76"/>
    <mergeCell ref="U76:V76"/>
    <mergeCell ref="S71:T71"/>
    <mergeCell ref="U71:V71"/>
    <mergeCell ref="S72:T72"/>
    <mergeCell ref="U72:V72"/>
    <mergeCell ref="S73:T73"/>
    <mergeCell ref="U73:V73"/>
    <mergeCell ref="S68:T68"/>
    <mergeCell ref="U68:V68"/>
    <mergeCell ref="S70:T70"/>
    <mergeCell ref="U70:V70"/>
    <mergeCell ref="I67:M67"/>
    <mergeCell ref="S67:V67"/>
    <mergeCell ref="B42:D43"/>
    <mergeCell ref="S40:T40"/>
    <mergeCell ref="U40:V40"/>
    <mergeCell ref="S41:T41"/>
    <mergeCell ref="U44:V44"/>
    <mergeCell ref="U69:V69"/>
    <mergeCell ref="S52:T52"/>
    <mergeCell ref="B52:D52"/>
    <mergeCell ref="M57:T57"/>
    <mergeCell ref="B60:D60"/>
    <mergeCell ref="B47:D47"/>
    <mergeCell ref="S51:T51"/>
    <mergeCell ref="I57:K57"/>
    <mergeCell ref="S69:T69"/>
    <mergeCell ref="S49:T49"/>
    <mergeCell ref="U49:V49"/>
    <mergeCell ref="S45:T45"/>
    <mergeCell ref="U45:V45"/>
    <mergeCell ref="C32:D32"/>
    <mergeCell ref="C33:D33"/>
    <mergeCell ref="B35:D35"/>
    <mergeCell ref="C24:D24"/>
    <mergeCell ref="C25:D25"/>
    <mergeCell ref="C26:D26"/>
    <mergeCell ref="C28:D28"/>
    <mergeCell ref="AA24:AD24"/>
    <mergeCell ref="S48:T48"/>
    <mergeCell ref="U48:V48"/>
    <mergeCell ref="U41:V41"/>
    <mergeCell ref="I38:M38"/>
    <mergeCell ref="S38:V38"/>
    <mergeCell ref="S39:T39"/>
    <mergeCell ref="U39:V39"/>
    <mergeCell ref="S46:T46"/>
    <mergeCell ref="U46:V46"/>
    <mergeCell ref="S47:T47"/>
    <mergeCell ref="U47:V47"/>
    <mergeCell ref="S42:T42"/>
    <mergeCell ref="U42:V42"/>
    <mergeCell ref="S43:T43"/>
    <mergeCell ref="U43:V43"/>
    <mergeCell ref="S44:T44"/>
    <mergeCell ref="B20:C20"/>
    <mergeCell ref="B21:C21"/>
    <mergeCell ref="E11:G11"/>
    <mergeCell ref="E12:G12"/>
    <mergeCell ref="I20:J20"/>
    <mergeCell ref="C29:D29"/>
    <mergeCell ref="C30:D30"/>
    <mergeCell ref="C31:D31"/>
    <mergeCell ref="C23:D23"/>
    <mergeCell ref="I21:J21"/>
    <mergeCell ref="I24:Y24"/>
    <mergeCell ref="B16:C16"/>
    <mergeCell ref="B17:C17"/>
    <mergeCell ref="B18:C18"/>
    <mergeCell ref="B19:C19"/>
    <mergeCell ref="X1:AD1"/>
    <mergeCell ref="Q2:S2"/>
    <mergeCell ref="B3:B12"/>
    <mergeCell ref="I3:J3"/>
    <mergeCell ref="K3:L3"/>
    <mergeCell ref="N3:O3"/>
    <mergeCell ref="Q3:R3"/>
    <mergeCell ref="E3:G3"/>
    <mergeCell ref="E4:G4"/>
    <mergeCell ref="E2:G2"/>
    <mergeCell ref="E6:G6"/>
    <mergeCell ref="E7:G7"/>
    <mergeCell ref="E8:G8"/>
    <mergeCell ref="E9:G9"/>
    <mergeCell ref="E10:G10"/>
    <mergeCell ref="K2:M2"/>
    <mergeCell ref="N2:P2"/>
    <mergeCell ref="E5:G5"/>
  </mergeCells>
  <conditionalFormatting sqref="Q40:Q54">
    <cfRule type="colorScale" priority="2">
      <colorScale>
        <cfvo type="min"/>
        <cfvo type="max"/>
        <color theme="5" tint="0.59999389629810485"/>
        <color theme="9" tint="0.59999389629810485"/>
      </colorScale>
    </cfRule>
    <cfRule type="colorScale" priority="4">
      <colorScale>
        <cfvo type="min"/>
        <cfvo type="max"/>
        <color rgb="FFFF0000"/>
        <color rgb="FF00B050"/>
      </colorScale>
    </cfRule>
  </conditionalFormatting>
  <conditionalFormatting sqref="Q69:Q83">
    <cfRule type="colorScale" priority="1">
      <colorScale>
        <cfvo type="min"/>
        <cfvo type="max"/>
        <color theme="5" tint="0.59999389629810485"/>
        <color theme="9" tint="0.59999389629810485"/>
      </colorScale>
    </cfRule>
    <cfRule type="colorScale" priority="3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F192-B2CD-6D45-A645-CE094576B461}">
  <dimension ref="A1"/>
  <sheetViews>
    <sheetView zoomScale="62" zoomScaleNormal="100" workbookViewId="0">
      <selection activeCell="Q11" sqref="Q11"/>
    </sheetView>
  </sheetViews>
  <sheetFormatPr baseColWidth="10"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felipe vicencio</cp:lastModifiedBy>
  <dcterms:created xsi:type="dcterms:W3CDTF">2025-08-16T14:06:29Z</dcterms:created>
  <dcterms:modified xsi:type="dcterms:W3CDTF">2025-08-19T06:43:27Z</dcterms:modified>
</cp:coreProperties>
</file>