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wolff/Desktop/25_20/TECNOLOGIAS_DEL_HORMIGON/TAREAS/TH_TALLER_1/"/>
    </mc:Choice>
  </mc:AlternateContent>
  <xr:revisionPtr revIDLastSave="0" documentId="13_ncr:1_{6494D2BA-8B60-BE47-B466-B5395024AB9C}" xr6:coauthVersionLast="47" xr6:coauthVersionMax="47" xr10:uidLastSave="{00000000-0000-0000-0000-000000000000}"/>
  <bookViews>
    <workbookView xWindow="0" yWindow="740" windowWidth="30240" windowHeight="18900" activeTab="3" xr2:uid="{31D304DE-4E80-7E49-B756-D776838E9ED7}"/>
  </bookViews>
  <sheets>
    <sheet name="TMA" sheetId="1" r:id="rId1"/>
    <sheet name="THOMSON" sheetId="3" r:id="rId2"/>
    <sheet name="TARANTULA" sheetId="4" r:id="rId3"/>
    <sheet name="GRAFICOS" sheetId="5" r:id="rId4"/>
  </sheets>
  <definedNames>
    <definedName name="_xlchart.v1.0" hidden="1">THOMSON!$I$39</definedName>
    <definedName name="_xlchart.v1.1" hidden="1">THOMSON!$I$40:$I$49</definedName>
    <definedName name="_xlchart.v1.2" hidden="1">THOMSON!$I$39</definedName>
    <definedName name="_xlchart.v1.3" hidden="1">THOMSON!$I$40:$I$49</definedName>
    <definedName name="_xlchart.v1.4" hidden="1">THOMSON!$I$39</definedName>
    <definedName name="_xlchart.v1.5" hidden="1">THOMSON!$I$40:$I$49</definedName>
    <definedName name="solver_adj" localSheetId="1" hidden="1">THOMSON!$C$27:$D$29</definedName>
    <definedName name="solver_adj" localSheetId="0" hidden="1">TMA!$C$27:$D$29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0" hidden="1">"""""""""""""""""""""""""""""""""""""""""""""""""""""""""""""""0,0001"""""""""""""""""""""""""""""""""""""""""""""""""""""""""""""""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THOMSON!$C$27:$D$29</definedName>
    <definedName name="solver_lhs1" localSheetId="0" hidden="1">TMA!$C$27:$D$29</definedName>
    <definedName name="solver_lhs2" localSheetId="1" hidden="1">THOMSON!$C$31</definedName>
    <definedName name="solver_lhs2" localSheetId="0" hidden="1">TMA!$M$40</definedName>
    <definedName name="solver_lhs3" localSheetId="1" hidden="1">THOMSON!$Q$40</definedName>
    <definedName name="solver_lhs3" localSheetId="0" hidden="1">TMA!$M$41</definedName>
    <definedName name="solver_lin" localSheetId="1" hidden="1">2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0" hidden="1">"""""""""""""""""""""""""""""""""""""""""""""""""""""""""""""""0,075"""""""""""""""""""""""""""""""""""""""""""""""""""""""""""""""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3</definedName>
    <definedName name="solver_num" localSheetId="0" hidden="1">3</definedName>
    <definedName name="solver_opt" localSheetId="1" hidden="1">THOMSON!$S$51</definedName>
    <definedName name="solver_opt" localSheetId="0" hidden="1">TMA!$O$52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2" localSheetId="1" hidden="1">2</definedName>
    <definedName name="solver_rel2" localSheetId="0" hidden="1">2</definedName>
    <definedName name="solver_rel3" localSheetId="1" hidden="1">2</definedName>
    <definedName name="solver_rel3" localSheetId="0" hidden="1">2</definedName>
    <definedName name="solver_rhs1" localSheetId="1" hidden="1">THOMSON!$C$30</definedName>
    <definedName name="solver_rhs1" localSheetId="0" hidden="1">TMA!$C$30</definedName>
    <definedName name="solver_rhs2" localSheetId="1" hidden="1">1</definedName>
    <definedName name="solver_rhs2" localSheetId="0" hidden="1">TMA!$O$40</definedName>
    <definedName name="solver_rhs3" localSheetId="1" hidden="1">1</definedName>
    <definedName name="solver_rhs3" localSheetId="0" hidden="1">TMA!$O$40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1</definedName>
    <definedName name="solver_tol" localSheetId="0" hidden="1">1</definedName>
    <definedName name="solver_typ" localSheetId="1" hidden="1">2</definedName>
    <definedName name="solver_typ" localSheetId="0" hidden="1">3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0" i="3" l="1"/>
  <c r="O45" i="3"/>
  <c r="Q44" i="3"/>
  <c r="P65" i="3"/>
  <c r="P64" i="3"/>
  <c r="P63" i="3"/>
  <c r="P62" i="3"/>
  <c r="P60" i="3"/>
  <c r="P59" i="3"/>
  <c r="P65" i="1"/>
  <c r="P63" i="1"/>
  <c r="P64" i="1"/>
  <c r="C31" i="3"/>
  <c r="C69" i="3"/>
  <c r="J64" i="3" s="1"/>
  <c r="C68" i="3"/>
  <c r="J63" i="3" s="1"/>
  <c r="N63" i="3" s="1"/>
  <c r="C67" i="3"/>
  <c r="J62" i="3" s="1"/>
  <c r="L62" i="3" s="1"/>
  <c r="O65" i="3"/>
  <c r="M64" i="3"/>
  <c r="K64" i="3"/>
  <c r="C64" i="3"/>
  <c r="J60" i="3" s="1"/>
  <c r="M63" i="3"/>
  <c r="K63" i="3"/>
  <c r="M62" i="3"/>
  <c r="K62" i="3"/>
  <c r="K54" i="3"/>
  <c r="K53" i="3"/>
  <c r="K52" i="3"/>
  <c r="K51" i="3"/>
  <c r="K50" i="3"/>
  <c r="K49" i="3"/>
  <c r="I49" i="3"/>
  <c r="K48" i="3"/>
  <c r="I48" i="3"/>
  <c r="K47" i="3"/>
  <c r="I47" i="3"/>
  <c r="K46" i="3"/>
  <c r="I46" i="3"/>
  <c r="C46" i="3"/>
  <c r="K45" i="3"/>
  <c r="I45" i="3"/>
  <c r="K44" i="3"/>
  <c r="I44" i="3"/>
  <c r="O44" i="3" s="1"/>
  <c r="K43" i="3"/>
  <c r="J43" i="3"/>
  <c r="I43" i="3"/>
  <c r="O43" i="3" s="1"/>
  <c r="K42" i="3"/>
  <c r="I42" i="3"/>
  <c r="K41" i="3"/>
  <c r="I41" i="3"/>
  <c r="Q40" i="3"/>
  <c r="K40" i="3"/>
  <c r="I40" i="3"/>
  <c r="C38" i="3"/>
  <c r="C48" i="3" s="1"/>
  <c r="C57" i="3" s="1"/>
  <c r="C59" i="3" s="1"/>
  <c r="C65" i="3" s="1"/>
  <c r="AA35" i="3"/>
  <c r="J49" i="3" s="1"/>
  <c r="AA34" i="3"/>
  <c r="J48" i="3" s="1"/>
  <c r="AA33" i="3"/>
  <c r="J47" i="3" s="1"/>
  <c r="AA32" i="3"/>
  <c r="J46" i="3" s="1"/>
  <c r="AA31" i="3"/>
  <c r="J45" i="3" s="1"/>
  <c r="AA30" i="3"/>
  <c r="J44" i="3" s="1"/>
  <c r="AA29" i="3"/>
  <c r="B29" i="3"/>
  <c r="AA28" i="3"/>
  <c r="J42" i="3" s="1"/>
  <c r="B28" i="3"/>
  <c r="AA27" i="3"/>
  <c r="J41" i="3" s="1"/>
  <c r="B27" i="3"/>
  <c r="AA26" i="3"/>
  <c r="J40" i="3" s="1"/>
  <c r="U19" i="3"/>
  <c r="L54" i="3" s="1"/>
  <c r="T19" i="3"/>
  <c r="F19" i="3"/>
  <c r="E19" i="3"/>
  <c r="D19" i="3"/>
  <c r="U18" i="3"/>
  <c r="L53" i="3" s="1"/>
  <c r="T18" i="3"/>
  <c r="U17" i="3"/>
  <c r="L52" i="3" s="1"/>
  <c r="T17" i="3"/>
  <c r="U16" i="3"/>
  <c r="L51" i="3" s="1"/>
  <c r="T16" i="3"/>
  <c r="U15" i="3"/>
  <c r="L50" i="3" s="1"/>
  <c r="T15" i="3"/>
  <c r="U14" i="3"/>
  <c r="L49" i="3" s="1"/>
  <c r="T14" i="3"/>
  <c r="U13" i="3"/>
  <c r="L48" i="3" s="1"/>
  <c r="T13" i="3"/>
  <c r="U12" i="3"/>
  <c r="L47" i="3" s="1"/>
  <c r="T12" i="3"/>
  <c r="U11" i="3"/>
  <c r="L46" i="3" s="1"/>
  <c r="T11" i="3"/>
  <c r="U10" i="3"/>
  <c r="L45" i="3" s="1"/>
  <c r="T10" i="3"/>
  <c r="U9" i="3"/>
  <c r="L44" i="3" s="1"/>
  <c r="T9" i="3"/>
  <c r="U8" i="3"/>
  <c r="L43" i="3" s="1"/>
  <c r="T8" i="3"/>
  <c r="U7" i="3"/>
  <c r="L42" i="3" s="1"/>
  <c r="T7" i="3"/>
  <c r="U6" i="3"/>
  <c r="L41" i="3" s="1"/>
  <c r="T6" i="3"/>
  <c r="U5" i="3"/>
  <c r="L40" i="3" s="1"/>
  <c r="T5" i="3"/>
  <c r="U4" i="3"/>
  <c r="U3" i="3"/>
  <c r="M64" i="1"/>
  <c r="M63" i="1"/>
  <c r="M62" i="1"/>
  <c r="K64" i="1"/>
  <c r="K63" i="1"/>
  <c r="K62" i="1"/>
  <c r="C68" i="1"/>
  <c r="C69" i="1"/>
  <c r="J64" i="1" s="1"/>
  <c r="L64" i="1" s="1"/>
  <c r="C67" i="1"/>
  <c r="J62" i="1" s="1"/>
  <c r="C64" i="1"/>
  <c r="J60" i="1" s="1"/>
  <c r="C46" i="1"/>
  <c r="C38" i="1"/>
  <c r="C31" i="1"/>
  <c r="Q40" i="1"/>
  <c r="AA27" i="1"/>
  <c r="J41" i="1" s="1"/>
  <c r="O41" i="1" s="1"/>
  <c r="AA28" i="1"/>
  <c r="J42" i="1" s="1"/>
  <c r="AA29" i="1"/>
  <c r="J43" i="1" s="1"/>
  <c r="AA30" i="1"/>
  <c r="J44" i="1" s="1"/>
  <c r="O44" i="1" s="1"/>
  <c r="AA31" i="1"/>
  <c r="J45" i="1" s="1"/>
  <c r="O45" i="1" s="1"/>
  <c r="AA32" i="1"/>
  <c r="J46" i="1" s="1"/>
  <c r="O46" i="1" s="1"/>
  <c r="AA33" i="1"/>
  <c r="J47" i="1" s="1"/>
  <c r="O47" i="1" s="1"/>
  <c r="AA34" i="1"/>
  <c r="J48" i="1" s="1"/>
  <c r="O48" i="1" s="1"/>
  <c r="AA35" i="1"/>
  <c r="J49" i="1" s="1"/>
  <c r="O49" i="1" s="1"/>
  <c r="AA26" i="1"/>
  <c r="J40" i="1" s="1"/>
  <c r="U19" i="1"/>
  <c r="L54" i="1" s="1"/>
  <c r="U6" i="1"/>
  <c r="L41" i="1" s="1"/>
  <c r="U7" i="1"/>
  <c r="L42" i="1" s="1"/>
  <c r="U8" i="1"/>
  <c r="L43" i="1" s="1"/>
  <c r="U9" i="1"/>
  <c r="L44" i="1" s="1"/>
  <c r="U10" i="1"/>
  <c r="L45" i="1" s="1"/>
  <c r="U11" i="1"/>
  <c r="L46" i="1" s="1"/>
  <c r="U12" i="1"/>
  <c r="L47" i="1" s="1"/>
  <c r="U13" i="1"/>
  <c r="L48" i="1" s="1"/>
  <c r="U14" i="1"/>
  <c r="L49" i="1" s="1"/>
  <c r="U15" i="1"/>
  <c r="L50" i="1" s="1"/>
  <c r="U16" i="1"/>
  <c r="L51" i="1" s="1"/>
  <c r="U17" i="1"/>
  <c r="L52" i="1" s="1"/>
  <c r="U18" i="1"/>
  <c r="L53" i="1" s="1"/>
  <c r="U5" i="1"/>
  <c r="L40" i="1" s="1"/>
  <c r="U4" i="1"/>
  <c r="U3" i="1"/>
  <c r="B28" i="1"/>
  <c r="B29" i="1"/>
  <c r="B27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40" i="1"/>
  <c r="I41" i="1"/>
  <c r="I42" i="1"/>
  <c r="I43" i="1"/>
  <c r="I44" i="1"/>
  <c r="I45" i="1"/>
  <c r="I46" i="1"/>
  <c r="I47" i="1"/>
  <c r="I48" i="1"/>
  <c r="I49" i="1"/>
  <c r="I40" i="1"/>
  <c r="T9" i="1"/>
  <c r="T16" i="1"/>
  <c r="T6" i="1"/>
  <c r="T7" i="1"/>
  <c r="T8" i="1"/>
  <c r="T10" i="1"/>
  <c r="T11" i="1"/>
  <c r="T12" i="1"/>
  <c r="T13" i="1"/>
  <c r="T14" i="1"/>
  <c r="T15" i="1"/>
  <c r="T17" i="1"/>
  <c r="T18" i="1"/>
  <c r="T19" i="1"/>
  <c r="T5" i="1"/>
  <c r="F19" i="1"/>
  <c r="E19" i="1"/>
  <c r="D19" i="1"/>
  <c r="O48" i="3" l="1"/>
  <c r="O47" i="3"/>
  <c r="O63" i="3"/>
  <c r="O46" i="3"/>
  <c r="O49" i="3"/>
  <c r="M48" i="3"/>
  <c r="Q48" i="3" s="1"/>
  <c r="S48" i="3" s="1"/>
  <c r="N62" i="3"/>
  <c r="O62" i="3" s="1"/>
  <c r="M47" i="3"/>
  <c r="Q47" i="3" s="1"/>
  <c r="S47" i="3" s="1"/>
  <c r="M43" i="3"/>
  <c r="Q43" i="3" s="1"/>
  <c r="S43" i="3" s="1"/>
  <c r="N64" i="3"/>
  <c r="O64" i="3" s="1"/>
  <c r="M41" i="3"/>
  <c r="Q41" i="3" s="1"/>
  <c r="S41" i="3" s="1"/>
  <c r="M45" i="3"/>
  <c r="Q45" i="3" s="1"/>
  <c r="S45" i="3" s="1"/>
  <c r="M46" i="3"/>
  <c r="Q46" i="3" s="1"/>
  <c r="M42" i="3"/>
  <c r="Q42" i="3" s="1"/>
  <c r="S42" i="3" s="1"/>
  <c r="M49" i="3"/>
  <c r="Q49" i="3" s="1"/>
  <c r="J59" i="3"/>
  <c r="J65" i="3"/>
  <c r="C63" i="3"/>
  <c r="M44" i="3"/>
  <c r="S44" i="3" s="1"/>
  <c r="L64" i="3"/>
  <c r="L63" i="3"/>
  <c r="N62" i="1"/>
  <c r="N64" i="1"/>
  <c r="O64" i="1" s="1"/>
  <c r="L62" i="1"/>
  <c r="J63" i="1"/>
  <c r="C48" i="1"/>
  <c r="C57" i="1" s="1"/>
  <c r="C59" i="1" s="1"/>
  <c r="C65" i="1" s="1"/>
  <c r="M45" i="1"/>
  <c r="Q45" i="1" s="1"/>
  <c r="M46" i="1"/>
  <c r="Q46" i="1" s="1"/>
  <c r="M47" i="1"/>
  <c r="Q47" i="1" s="1"/>
  <c r="M42" i="1"/>
  <c r="Q42" i="1" s="1"/>
  <c r="M49" i="1"/>
  <c r="Q49" i="1" s="1"/>
  <c r="M43" i="1"/>
  <c r="Q43" i="1" s="1"/>
  <c r="M41" i="1"/>
  <c r="Q41" i="1" s="1"/>
  <c r="M44" i="1"/>
  <c r="Q44" i="1" s="1"/>
  <c r="M48" i="1"/>
  <c r="Q48" i="1" s="1"/>
  <c r="O40" i="1"/>
  <c r="O43" i="1"/>
  <c r="O42" i="1"/>
  <c r="O62" i="1" l="1"/>
  <c r="P62" i="1"/>
  <c r="S49" i="3"/>
  <c r="S46" i="3"/>
  <c r="O61" i="3"/>
  <c r="S51" i="3"/>
  <c r="L61" i="3"/>
  <c r="O60" i="3" s="1"/>
  <c r="L63" i="1"/>
  <c r="L61" i="1" s="1"/>
  <c r="O60" i="1" s="1"/>
  <c r="N63" i="1"/>
  <c r="C63" i="1"/>
  <c r="J65" i="1"/>
  <c r="J59" i="1"/>
  <c r="P59" i="1" s="1"/>
  <c r="O52" i="1"/>
  <c r="O65" i="1" l="1"/>
  <c r="O63" i="1"/>
  <c r="O61" i="1"/>
  <c r="M60" i="3"/>
  <c r="M60" i="1"/>
  <c r="P60" i="1" s="1"/>
</calcChain>
</file>

<file path=xl/sharedStrings.xml><?xml version="1.0" encoding="utf-8"?>
<sst xmlns="http://schemas.openxmlformats.org/spreadsheetml/2006/main" count="327" uniqueCount="130">
  <si>
    <t>GRAVA 1</t>
  </si>
  <si>
    <t>GRAVILLA 2</t>
  </si>
  <si>
    <t>ARENA 3</t>
  </si>
  <si>
    <t>G5</t>
  </si>
  <si>
    <t>Resistencia</t>
  </si>
  <si>
    <t>G15</t>
  </si>
  <si>
    <t>APERTURA</t>
  </si>
  <si>
    <t>RETENIDO</t>
  </si>
  <si>
    <t>PASA</t>
  </si>
  <si>
    <t>Probabilidad defectuoso</t>
  </si>
  <si>
    <t>[mm]</t>
  </si>
  <si>
    <t>ASTM</t>
  </si>
  <si>
    <t>[g]</t>
  </si>
  <si>
    <t>[%]</t>
  </si>
  <si>
    <t>TMA</t>
  </si>
  <si>
    <t>3''</t>
  </si>
  <si>
    <t>Elemento a homigonar</t>
  </si>
  <si>
    <t>Zapata de Fundación</t>
  </si>
  <si>
    <t>2 1/2''</t>
  </si>
  <si>
    <t>Condiciones de ejecución en obra</t>
  </si>
  <si>
    <t>Buenas</t>
  </si>
  <si>
    <t>2''</t>
  </si>
  <si>
    <t>Tipo de cemento</t>
  </si>
  <si>
    <t>Melón Extra</t>
  </si>
  <si>
    <t>1 1/2''</t>
  </si>
  <si>
    <t>Clase de exposición de la obra</t>
  </si>
  <si>
    <t>C0</t>
  </si>
  <si>
    <t>1''</t>
  </si>
  <si>
    <t>Arena</t>
  </si>
  <si>
    <t>Arena 3</t>
  </si>
  <si>
    <t>3/4''</t>
  </si>
  <si>
    <t>Gravilla</t>
  </si>
  <si>
    <t>Gravilla 2</t>
  </si>
  <si>
    <t>1/2''</t>
  </si>
  <si>
    <t>Grava</t>
  </si>
  <si>
    <t>Grava 1</t>
  </si>
  <si>
    <t>3/8''</t>
  </si>
  <si>
    <t>1/4''</t>
  </si>
  <si>
    <t>N°4</t>
  </si>
  <si>
    <t>N°8</t>
  </si>
  <si>
    <t>ABORCIÓN</t>
  </si>
  <si>
    <t>N°16</t>
  </si>
  <si>
    <t>HUMEDAD</t>
  </si>
  <si>
    <t>N°30</t>
  </si>
  <si>
    <t>PESO ESPECÍFICO ()</t>
  </si>
  <si>
    <t>N°50</t>
  </si>
  <si>
    <t>DENSIDAD</t>
  </si>
  <si>
    <t>N°100</t>
  </si>
  <si>
    <t>RESIDUO</t>
  </si>
  <si>
    <t>TOTAL</t>
  </si>
  <si>
    <t>Curva Sugerida por la Norma</t>
  </si>
  <si>
    <t>Tamiz mm</t>
  </si>
  <si>
    <t>80-A</t>
  </si>
  <si>
    <t>80-B</t>
  </si>
  <si>
    <t>80-C</t>
  </si>
  <si>
    <t>80-D</t>
  </si>
  <si>
    <t>40-A</t>
  </si>
  <si>
    <t>40-B</t>
  </si>
  <si>
    <t>40-C</t>
  </si>
  <si>
    <t>40-D</t>
  </si>
  <si>
    <t>20-A</t>
  </si>
  <si>
    <t>20-B</t>
  </si>
  <si>
    <t>20-C</t>
  </si>
  <si>
    <t>20-D</t>
  </si>
  <si>
    <t>Tamiz NCh</t>
  </si>
  <si>
    <t>Granulometria Sugerida (40)</t>
  </si>
  <si>
    <t>Tamiz Lab</t>
  </si>
  <si>
    <t>Granulometria Ar Comb</t>
  </si>
  <si>
    <t>Granulometria Interpolacion</t>
  </si>
  <si>
    <t>-</t>
  </si>
  <si>
    <t>Interpolacion</t>
  </si>
  <si>
    <t>Ponderaciones Finales</t>
  </si>
  <si>
    <t>Ponderaciones Iniciales</t>
  </si>
  <si>
    <t>Funcion Objetivo</t>
  </si>
  <si>
    <t>Granulometria Sujerida</t>
  </si>
  <si>
    <t>Granulometria Optimizda</t>
  </si>
  <si>
    <t>Combinacion Inicial</t>
  </si>
  <si>
    <t>Combinacion FInal</t>
  </si>
  <si>
    <t>Objetivo</t>
  </si>
  <si>
    <t>10-A</t>
  </si>
  <si>
    <t>10-B</t>
  </si>
  <si>
    <t>10_C</t>
  </si>
  <si>
    <t>10-D</t>
  </si>
  <si>
    <t>Promedio</t>
  </si>
  <si>
    <t>Curva 10</t>
  </si>
  <si>
    <t>Suma</t>
  </si>
  <si>
    <t>Relacion Agua Cemento</t>
  </si>
  <si>
    <t>Condiciones de Obra buenas</t>
  </si>
  <si>
    <t>s</t>
  </si>
  <si>
    <t>t</t>
  </si>
  <si>
    <t>fc</t>
  </si>
  <si>
    <t>Mpa</t>
  </si>
  <si>
    <t>fm</t>
  </si>
  <si>
    <t>MPa</t>
  </si>
  <si>
    <t>PSI</t>
  </si>
  <si>
    <t>La tabla Tabla 6.3.4 expone las distintas relaciones agua cemento, por lo tanto, se puede hacer la siguiente interpolacion lineal</t>
  </si>
  <si>
    <t>pendiente</t>
  </si>
  <si>
    <t>w/c</t>
  </si>
  <si>
    <t>min</t>
  </si>
  <si>
    <t>max</t>
  </si>
  <si>
    <t>Solicitud por exposicion segun NCh 170-180</t>
  </si>
  <si>
    <t>Por lo tanto la relacion agua cemento a usar es</t>
  </si>
  <si>
    <t>c</t>
  </si>
  <si>
    <t>lb/yd3</t>
  </si>
  <si>
    <t>Tabla 5.3.3</t>
  </si>
  <si>
    <t>Calculo de factor K segun agregados</t>
  </si>
  <si>
    <t>Volumen</t>
  </si>
  <si>
    <t>m3</t>
  </si>
  <si>
    <t>w</t>
  </si>
  <si>
    <t>kg/m3</t>
  </si>
  <si>
    <t>k</t>
  </si>
  <si>
    <t>Material</t>
  </si>
  <si>
    <t>Disificacion de Aridos SSS (kg/m3)</t>
  </si>
  <si>
    <t>Agua Absorcion (kg/m3)</t>
  </si>
  <si>
    <t>Correccion por Humedad</t>
  </si>
  <si>
    <t>Cemento</t>
  </si>
  <si>
    <t>Agua de Amasado</t>
  </si>
  <si>
    <t>Agua de Abs de Aridos</t>
  </si>
  <si>
    <t>Peso Hormigon (kg)</t>
  </si>
  <si>
    <t>Absorcion</t>
  </si>
  <si>
    <t>Humedad</t>
  </si>
  <si>
    <t>Peso Seco</t>
  </si>
  <si>
    <t>Agua Abs</t>
  </si>
  <si>
    <t>Dosificacion Aridos Huemdos (kg/m3)</t>
  </si>
  <si>
    <t>Granulometria Sugerida (10)</t>
  </si>
  <si>
    <t>Granulometria Objetivo</t>
  </si>
  <si>
    <t xml:space="preserve">Granulometria </t>
  </si>
  <si>
    <t>Diferencia</t>
  </si>
  <si>
    <t>Agua Total</t>
  </si>
  <si>
    <t xml:space="preserve">Interpolacion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</si>
</sst>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7" formatCode="0.000%"/>
  </numFmts>
  <fonts count="1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Overpass"/>
    </font>
    <font>
      <sz val="11"/>
      <color rgb="FF000000"/>
      <name val="Overpass"/>
    </font>
    <font>
      <b/>
      <sz val="11"/>
      <color rgb="FF000000"/>
      <name val="Overpass"/>
    </font>
    <font>
      <sz val="10"/>
      <name val="Arial"/>
      <family val="2"/>
    </font>
    <font>
      <sz val="11"/>
      <color rgb="FF000000"/>
      <name val="Arial"/>
      <family val="2"/>
    </font>
    <font>
      <sz val="12"/>
      <color rgb="FF000000"/>
      <name val="Overpass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DEBF7"/>
        <bgColor rgb="FFDDEBF7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theme="0" tint="-4.9989318521683403E-2"/>
        <bgColor rgb="FFEAD1DC"/>
      </patternFill>
    </fill>
    <fill>
      <patternFill patternType="solid">
        <fgColor theme="3" tint="0.89999084444715716"/>
        <bgColor rgb="FFEAD1DC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theme="5"/>
      </patternFill>
    </fill>
    <fill>
      <patternFill patternType="solid">
        <fgColor rgb="FFEBD1DD"/>
        <bgColor indexed="64"/>
      </patternFill>
    </fill>
    <fill>
      <patternFill patternType="solid">
        <fgColor theme="0" tint="-4.9989318521683403E-2"/>
        <bgColor rgb="FF3C7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D1DD"/>
        <bgColor rgb="FFFFD966"/>
      </patternFill>
    </fill>
    <fill>
      <patternFill patternType="solid">
        <fgColor rgb="FF93C57D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9" fontId="4" fillId="0" borderId="4" xfId="0" applyNumberFormat="1" applyFont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9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9" fontId="5" fillId="2" borderId="6" xfId="0" applyNumberFormat="1" applyFont="1" applyFill="1" applyBorder="1" applyAlignment="1">
      <alignment horizontal="center"/>
    </xf>
    <xf numFmtId="0" fontId="4" fillId="7" borderId="4" xfId="0" applyFont="1" applyFill="1" applyBorder="1"/>
    <xf numFmtId="0" fontId="4" fillId="7" borderId="4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9" fontId="5" fillId="8" borderId="6" xfId="0" applyNumberFormat="1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9" fontId="5" fillId="4" borderId="6" xfId="0" applyNumberFormat="1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10" fontId="5" fillId="0" borderId="6" xfId="0" applyNumberFormat="1" applyFont="1" applyBorder="1" applyAlignment="1">
      <alignment horizontal="center"/>
    </xf>
    <xf numFmtId="1" fontId="10" fillId="0" borderId="4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/>
    <xf numFmtId="0" fontId="10" fillId="2" borderId="4" xfId="0" applyFont="1" applyFill="1" applyBorder="1"/>
    <xf numFmtId="0" fontId="10" fillId="8" borderId="4" xfId="0" applyFont="1" applyFill="1" applyBorder="1"/>
    <xf numFmtId="0" fontId="10" fillId="4" borderId="4" xfId="0" applyFont="1" applyFill="1" applyBorder="1"/>
    <xf numFmtId="0" fontId="0" fillId="0" borderId="0" xfId="0" applyAlignment="1">
      <alignment horizontal="center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10" fillId="4" borderId="1" xfId="0" applyFont="1" applyFill="1" applyBorder="1"/>
    <xf numFmtId="0" fontId="0" fillId="0" borderId="10" xfId="0" applyBorder="1" applyAlignment="1">
      <alignment horizontal="center"/>
    </xf>
    <xf numFmtId="0" fontId="10" fillId="9" borderId="10" xfId="0" applyFont="1" applyFill="1" applyBorder="1"/>
    <xf numFmtId="0" fontId="10" fillId="10" borderId="10" xfId="0" applyFont="1" applyFill="1" applyBorder="1"/>
    <xf numFmtId="0" fontId="10" fillId="4" borderId="10" xfId="0" applyFont="1" applyFill="1" applyBorder="1"/>
    <xf numFmtId="9" fontId="10" fillId="0" borderId="0" xfId="0" applyNumberFormat="1" applyFont="1"/>
    <xf numFmtId="9" fontId="12" fillId="0" borderId="0" xfId="0" applyNumberFormat="1" applyFont="1" applyAlignment="1">
      <alignment horizontal="right"/>
    </xf>
    <xf numFmtId="9" fontId="0" fillId="0" borderId="0" xfId="0" applyNumberFormat="1"/>
    <xf numFmtId="9" fontId="0" fillId="0" borderId="15" xfId="0" applyNumberFormat="1" applyBorder="1"/>
    <xf numFmtId="0" fontId="10" fillId="0" borderId="10" xfId="0" applyFont="1" applyBorder="1" applyAlignment="1">
      <alignment horizontal="center"/>
    </xf>
    <xf numFmtId="164" fontId="10" fillId="0" borderId="0" xfId="0" applyNumberFormat="1" applyFont="1"/>
    <xf numFmtId="9" fontId="0" fillId="0" borderId="10" xfId="0" applyNumberFormat="1" applyBorder="1" applyAlignment="1">
      <alignment horizontal="center"/>
    </xf>
    <xf numFmtId="0" fontId="0" fillId="0" borderId="10" xfId="0" applyBorder="1"/>
    <xf numFmtId="0" fontId="0" fillId="11" borderId="10" xfId="0" applyFill="1" applyBorder="1"/>
    <xf numFmtId="0" fontId="11" fillId="12" borderId="1" xfId="0" applyFont="1" applyFill="1" applyBorder="1"/>
    <xf numFmtId="0" fontId="0" fillId="13" borderId="10" xfId="0" applyFill="1" applyBorder="1"/>
    <xf numFmtId="0" fontId="11" fillId="14" borderId="1" xfId="0" applyFont="1" applyFill="1" applyBorder="1"/>
    <xf numFmtId="0" fontId="0" fillId="15" borderId="10" xfId="0" applyFill="1" applyBorder="1"/>
    <xf numFmtId="0" fontId="11" fillId="16" borderId="1" xfId="0" applyFont="1" applyFill="1" applyBorder="1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5" borderId="1" xfId="0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18" borderId="10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9" fontId="10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9" fontId="10" fillId="0" borderId="10" xfId="0" applyNumberFormat="1" applyFont="1" applyBorder="1" applyAlignment="1">
      <alignment horizontal="center"/>
    </xf>
    <xf numFmtId="0" fontId="10" fillId="0" borderId="0" xfId="0" applyFont="1"/>
    <xf numFmtId="0" fontId="10" fillId="0" borderId="24" xfId="0" applyFont="1" applyBorder="1"/>
    <xf numFmtId="0" fontId="10" fillId="0" borderId="11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164" fontId="10" fillId="0" borderId="16" xfId="0" applyNumberFormat="1" applyFont="1" applyBorder="1" applyAlignment="1">
      <alignment horizontal="center"/>
    </xf>
    <xf numFmtId="9" fontId="10" fillId="0" borderId="17" xfId="0" applyNumberFormat="1" applyFont="1" applyBorder="1" applyAlignment="1">
      <alignment horizontal="center"/>
    </xf>
    <xf numFmtId="9" fontId="12" fillId="0" borderId="17" xfId="0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2" fillId="0" borderId="0" xfId="0" applyFont="1"/>
    <xf numFmtId="0" fontId="0" fillId="0" borderId="17" xfId="0" applyBorder="1" applyAlignment="1">
      <alignment horizontal="center"/>
    </xf>
    <xf numFmtId="10" fontId="0" fillId="0" borderId="0" xfId="0" applyNumberFormat="1"/>
    <xf numFmtId="165" fontId="0" fillId="0" borderId="0" xfId="0" applyNumberFormat="1"/>
    <xf numFmtId="0" fontId="0" fillId="0" borderId="13" xfId="0" applyBorder="1"/>
    <xf numFmtId="10" fontId="0" fillId="0" borderId="17" xfId="0" applyNumberFormat="1" applyBorder="1"/>
    <xf numFmtId="165" fontId="0" fillId="0" borderId="17" xfId="0" applyNumberFormat="1" applyBorder="1"/>
    <xf numFmtId="0" fontId="0" fillId="0" borderId="13" xfId="0" applyBorder="1" applyAlignment="1">
      <alignment horizontal="center"/>
    </xf>
    <xf numFmtId="0" fontId="0" fillId="0" borderId="12" xfId="0" applyBorder="1"/>
    <xf numFmtId="165" fontId="0" fillId="0" borderId="13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9" fontId="11" fillId="0" borderId="10" xfId="0" applyNumberFormat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9" fontId="0" fillId="0" borderId="10" xfId="0" applyNumberFormat="1" applyBorder="1" applyAlignment="1">
      <alignment horizontal="center"/>
    </xf>
    <xf numFmtId="0" fontId="11" fillId="18" borderId="1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7" fillId="0" borderId="23" xfId="0" applyFont="1" applyBorder="1"/>
    <xf numFmtId="0" fontId="11" fillId="17" borderId="1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3" xfId="0" applyFont="1" applyBorder="1"/>
    <xf numFmtId="0" fontId="6" fillId="2" borderId="1" xfId="0" applyFont="1" applyFill="1" applyBorder="1" applyAlignment="1">
      <alignment horizontal="center"/>
    </xf>
    <xf numFmtId="0" fontId="7" fillId="0" borderId="2" xfId="0" applyFont="1" applyBorder="1"/>
    <xf numFmtId="0" fontId="6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7" fillId="0" borderId="7" xfId="0" applyFont="1" applyBorder="1"/>
    <xf numFmtId="0" fontId="7" fillId="0" borderId="8" xfId="0" applyFont="1" applyBorder="1"/>
    <xf numFmtId="0" fontId="6" fillId="6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165" fontId="0" fillId="0" borderId="15" xfId="0" applyNumberFormat="1" applyBorder="1" applyAlignment="1">
      <alignment vertical="center"/>
    </xf>
    <xf numFmtId="167" fontId="0" fillId="0" borderId="10" xfId="1" applyNumberFormat="1" applyFont="1" applyBorder="1"/>
    <xf numFmtId="1" fontId="10" fillId="0" borderId="10" xfId="0" applyNumberFormat="1" applyFont="1" applyBorder="1" applyAlignment="1">
      <alignment horizontal="center"/>
    </xf>
    <xf numFmtId="2" fontId="10" fillId="0" borderId="10" xfId="0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3C57D"/>
      <color rgb="FFEBD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Fuller</a:t>
            </a:r>
            <a:r>
              <a:rPr lang="es-MX" baseline="0"/>
              <a:t> Thomson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Optimizada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THOMSON!$I$40:$I$49</c:f>
              <c:numCache>
                <c:formatCode>0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 formatCode="0.00">
                  <c:v>2.5</c:v>
                </c:pt>
                <c:pt idx="6" formatCode="0.00">
                  <c:v>1.25</c:v>
                </c:pt>
                <c:pt idx="7" formatCode="0.00">
                  <c:v>0.63</c:v>
                </c:pt>
                <c:pt idx="8" formatCode="0.00">
                  <c:v>0.315</c:v>
                </c:pt>
                <c:pt idx="9" formatCode="0.00">
                  <c:v>0.16</c:v>
                </c:pt>
              </c:numCache>
            </c:numRef>
          </c:xVal>
          <c:yVal>
            <c:numRef>
              <c:f>THOMSON!$Q$40:$Q$49</c:f>
              <c:numCache>
                <c:formatCode>0%</c:formatCode>
                <c:ptCount val="10"/>
                <c:pt idx="0">
                  <c:v>1</c:v>
                </c:pt>
                <c:pt idx="1">
                  <c:v>1.0000000130881068</c:v>
                </c:pt>
                <c:pt idx="2">
                  <c:v>0.99809888779284284</c:v>
                </c:pt>
                <c:pt idx="3">
                  <c:v>0.97718650954493924</c:v>
                </c:pt>
                <c:pt idx="4">
                  <c:v>0.69813833690695248</c:v>
                </c:pt>
                <c:pt idx="5">
                  <c:v>0.5324934890450258</c:v>
                </c:pt>
                <c:pt idx="6">
                  <c:v>0.37228635140899613</c:v>
                </c:pt>
                <c:pt idx="7">
                  <c:v>0.26311076493048841</c:v>
                </c:pt>
                <c:pt idx="8">
                  <c:v>0.10354947115119226</c:v>
                </c:pt>
                <c:pt idx="9">
                  <c:v>4.1992412264077954E-2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1A-3142-9A7A-D388770B6C10}"/>
            </c:ext>
          </c:extLst>
        </c:ser>
        <c:ser>
          <c:idx val="0"/>
          <c:order val="1"/>
          <c:tx>
            <c:v>Thomson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THOMSON!$I$40:$I$49</c:f>
              <c:numCache>
                <c:formatCode>0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 formatCode="0.00">
                  <c:v>2.5</c:v>
                </c:pt>
                <c:pt idx="6" formatCode="0.00">
                  <c:v>1.25</c:v>
                </c:pt>
                <c:pt idx="7" formatCode="0.00">
                  <c:v>0.63</c:v>
                </c:pt>
                <c:pt idx="8" formatCode="0.00">
                  <c:v>0.315</c:v>
                </c:pt>
                <c:pt idx="9" formatCode="0.00">
                  <c:v>0.16</c:v>
                </c:pt>
              </c:numCache>
            </c:numRef>
          </c:xVal>
          <c:yVal>
            <c:numRef>
              <c:f>THOMSON!$O$40:$O$49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0.70710678118654757</c:v>
                </c:pt>
                <c:pt idx="5">
                  <c:v>0.5</c:v>
                </c:pt>
                <c:pt idx="6">
                  <c:v>0.35355339059327379</c:v>
                </c:pt>
                <c:pt idx="7">
                  <c:v>0.25099800796022265</c:v>
                </c:pt>
                <c:pt idx="8">
                  <c:v>0.17748239349298847</c:v>
                </c:pt>
                <c:pt idx="9">
                  <c:v>0.12649110640673517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1A-3142-9A7A-D388770B6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437472"/>
        <c:axId val="1298032496"/>
      </c:scatterChart>
      <c:valAx>
        <c:axId val="12974374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98032496"/>
        <c:crosses val="autoZero"/>
        <c:crossBetween val="midCat"/>
      </c:valAx>
      <c:valAx>
        <c:axId val="12980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9743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Granulometrias</a:t>
            </a:r>
            <a:r>
              <a:rPr lang="es-MX" baseline="0"/>
              <a:t> Entregadas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Grava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TMA!$I$5:$I$19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TMA!$M$5:$M$19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0.94</c:v>
                </c:pt>
                <c:pt idx="4">
                  <c:v>0.62</c:v>
                </c:pt>
                <c:pt idx="5">
                  <c:v>0.14000000000000001</c:v>
                </c:pt>
                <c:pt idx="6">
                  <c:v>0.08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A2-DB46-9A39-3EB416404E4E}"/>
            </c:ext>
          </c:extLst>
        </c:ser>
        <c:ser>
          <c:idx val="1"/>
          <c:order val="1"/>
          <c:tx>
            <c:v>Gravilla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TMA!$P$5:$P$19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0.95</c:v>
                </c:pt>
                <c:pt idx="6">
                  <c:v>0.6</c:v>
                </c:pt>
                <c:pt idx="7">
                  <c:v>0.48</c:v>
                </c:pt>
                <c:pt idx="8">
                  <c:v>0.2</c:v>
                </c:pt>
                <c:pt idx="9">
                  <c:v>0.12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A2-DB46-9A39-3EB416404E4E}"/>
            </c:ext>
          </c:extLst>
        </c:ser>
        <c:ser>
          <c:idx val="2"/>
          <c:order val="2"/>
          <c:tx>
            <c:v>Arena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TMA!$I$5:$I$19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TMA!$S$5:$S$19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0.96</c:v>
                </c:pt>
                <c:pt idx="9">
                  <c:v>0.68</c:v>
                </c:pt>
                <c:pt idx="10">
                  <c:v>0.55000000000000004</c:v>
                </c:pt>
                <c:pt idx="11">
                  <c:v>0.38</c:v>
                </c:pt>
                <c:pt idx="12">
                  <c:v>0.27</c:v>
                </c:pt>
                <c:pt idx="13">
                  <c:v>0.1</c:v>
                </c:pt>
                <c:pt idx="14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A2-DB46-9A39-3EB416404E4E}"/>
            </c:ext>
          </c:extLst>
        </c:ser>
        <c:ser>
          <c:idx val="3"/>
          <c:order val="3"/>
          <c:tx>
            <c:v>Inicial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TMA!$I$5:$I$19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TMA!$T$5:$T$19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0.98799999999999999</c:v>
                </c:pt>
                <c:pt idx="4">
                  <c:v>0.92399999999999993</c:v>
                </c:pt>
                <c:pt idx="5">
                  <c:v>0.81299999999999994</c:v>
                </c:pt>
                <c:pt idx="6">
                  <c:v>0.69599999999999995</c:v>
                </c:pt>
                <c:pt idx="7">
                  <c:v>0.64400000000000002</c:v>
                </c:pt>
                <c:pt idx="8">
                  <c:v>0.54</c:v>
                </c:pt>
                <c:pt idx="9">
                  <c:v>0.376</c:v>
                </c:pt>
                <c:pt idx="10">
                  <c:v>0.27500000000000002</c:v>
                </c:pt>
                <c:pt idx="11">
                  <c:v>0.19</c:v>
                </c:pt>
                <c:pt idx="12">
                  <c:v>0.13500000000000001</c:v>
                </c:pt>
                <c:pt idx="13">
                  <c:v>0.05</c:v>
                </c:pt>
                <c:pt idx="14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A2-DB46-9A39-3EB416404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535968"/>
        <c:axId val="139891408"/>
      </c:scatterChart>
      <c:valAx>
        <c:axId val="20055359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9891408"/>
        <c:crosses val="autoZero"/>
        <c:crossBetween val="midCat"/>
      </c:valAx>
      <c:valAx>
        <c:axId val="1398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0553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Optimizacion con Banda</a:t>
            </a:r>
            <a:r>
              <a:rPr lang="es-MX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Objetivo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TMA!$I$40:$I$49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TMA!$O$40:$O$49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0.63</c:v>
                </c:pt>
                <c:pt idx="5">
                  <c:v>0.49000000000000005</c:v>
                </c:pt>
                <c:pt idx="6">
                  <c:v>0.38</c:v>
                </c:pt>
                <c:pt idx="7">
                  <c:v>0.27666666666666667</c:v>
                </c:pt>
                <c:pt idx="8">
                  <c:v>0.14666666666666667</c:v>
                </c:pt>
                <c:pt idx="9">
                  <c:v>6.6666666666666666E-2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D8-5E4C-A154-7B79D7E27CDC}"/>
            </c:ext>
          </c:extLst>
        </c:ser>
        <c:ser>
          <c:idx val="1"/>
          <c:order val="1"/>
          <c:tx>
            <c:v>Optimizada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TMA!$I$40:$I$49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TMA!$Q$40:$Q$49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0.99726263386727987</c:v>
                </c:pt>
                <c:pt idx="3">
                  <c:v>0.96715160640735898</c:v>
                </c:pt>
                <c:pt idx="4">
                  <c:v>0.68625183829929748</c:v>
                </c:pt>
                <c:pt idx="5">
                  <c:v>0.52144334633593614</c:v>
                </c:pt>
                <c:pt idx="6">
                  <c:v>0.36445743123611418</c:v>
                </c:pt>
                <c:pt idx="7">
                  <c:v>0.25757773056736794</c:v>
                </c:pt>
                <c:pt idx="8">
                  <c:v>0.10137189859039691</c:v>
                </c:pt>
                <c:pt idx="9">
                  <c:v>4.1109341363847599E-2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D8-5E4C-A154-7B79D7E27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311984"/>
        <c:axId val="595961792"/>
      </c:scatterChart>
      <c:valAx>
        <c:axId val="10033119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95961792"/>
        <c:crosses val="autoZero"/>
        <c:crossBetween val="midCat"/>
      </c:valAx>
      <c:valAx>
        <c:axId val="5959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331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31</xdr:row>
      <xdr:rowOff>190500</xdr:rowOff>
    </xdr:from>
    <xdr:to>
      <xdr:col>7</xdr:col>
      <xdr:colOff>50800</xdr:colOff>
      <xdr:row>45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23C6300-E83F-29C6-E706-1602F767D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445043</xdr:colOff>
      <xdr:row>2</xdr:row>
      <xdr:rowOff>19647</xdr:rowOff>
    </xdr:from>
    <xdr:to>
      <xdr:col>7</xdr:col>
      <xdr:colOff>66757</xdr:colOff>
      <xdr:row>15</xdr:row>
      <xdr:rowOff>81736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0EB0D9-A574-1C4B-906D-B4D06BDAB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444500</xdr:colOff>
      <xdr:row>16</xdr:row>
      <xdr:rowOff>127000</xdr:rowOff>
    </xdr:from>
    <xdr:to>
      <xdr:col>7</xdr:col>
      <xdr:colOff>63500</xdr:colOff>
      <xdr:row>30</xdr:row>
      <xdr:rowOff>25400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C956496-3477-EE82-27C2-5EE62F893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07C5-E9AF-5C4F-9271-B99265D0697C}">
  <dimension ref="B1:AD69"/>
  <sheetViews>
    <sheetView topLeftCell="B19" zoomScale="66" workbookViewId="0">
      <selection activeCell="P59" sqref="P59"/>
    </sheetView>
  </sheetViews>
  <sheetFormatPr baseColWidth="10" defaultRowHeight="16"/>
  <cols>
    <col min="2" max="2" width="13.6640625" bestFit="1" customWidth="1"/>
    <col min="3" max="3" width="24" bestFit="1" customWidth="1"/>
    <col min="4" max="4" width="15.1640625" bestFit="1" customWidth="1"/>
    <col min="5" max="5" width="12.1640625" bestFit="1" customWidth="1"/>
    <col min="6" max="6" width="9.1640625" bestFit="1" customWidth="1"/>
    <col min="7" max="7" width="10.83203125" customWidth="1"/>
    <col min="9" max="9" width="18.83203125" customWidth="1"/>
    <col min="10" max="10" width="16.83203125" customWidth="1"/>
    <col min="11" max="11" width="13.1640625" customWidth="1"/>
    <col min="12" max="12" width="18.6640625" customWidth="1"/>
    <col min="13" max="13" width="13.83203125" customWidth="1"/>
    <col min="14" max="14" width="18" customWidth="1"/>
    <col min="15" max="15" width="14.6640625" customWidth="1"/>
    <col min="16" max="16" width="18.83203125" customWidth="1"/>
    <col min="17" max="17" width="14.83203125" customWidth="1"/>
    <col min="18" max="18" width="16.83203125" customWidth="1"/>
    <col min="19" max="19" width="6.1640625" bestFit="1" customWidth="1"/>
    <col min="20" max="20" width="17" bestFit="1" customWidth="1"/>
    <col min="21" max="21" width="15.5" bestFit="1" customWidth="1"/>
    <col min="22" max="25" width="5.83203125" bestFit="1" customWidth="1"/>
    <col min="27" max="27" width="8.33203125" bestFit="1" customWidth="1"/>
  </cols>
  <sheetData>
    <row r="1" spans="2:2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2:21">
      <c r="B2" s="1"/>
      <c r="C2" s="2"/>
      <c r="D2" s="1"/>
      <c r="F2" s="1"/>
      <c r="I2" s="3"/>
      <c r="J2" s="3"/>
      <c r="K2" s="127" t="s">
        <v>0</v>
      </c>
      <c r="L2" s="128"/>
      <c r="M2" s="126"/>
      <c r="N2" s="129" t="s">
        <v>1</v>
      </c>
      <c r="O2" s="128"/>
      <c r="P2" s="126"/>
      <c r="Q2" s="130" t="s">
        <v>2</v>
      </c>
      <c r="R2" s="128"/>
      <c r="S2" s="126"/>
      <c r="T2" s="69" t="s">
        <v>76</v>
      </c>
      <c r="U2" s="71" t="s">
        <v>77</v>
      </c>
    </row>
    <row r="3" spans="2:21">
      <c r="B3" s="131" t="s">
        <v>3</v>
      </c>
      <c r="C3" s="4" t="s">
        <v>4</v>
      </c>
      <c r="D3" s="5" t="s">
        <v>5</v>
      </c>
      <c r="F3" s="1"/>
      <c r="I3" s="134" t="s">
        <v>6</v>
      </c>
      <c r="J3" s="126"/>
      <c r="K3" s="135" t="s">
        <v>7</v>
      </c>
      <c r="L3" s="126"/>
      <c r="M3" s="6" t="s">
        <v>8</v>
      </c>
      <c r="N3" s="129" t="s">
        <v>7</v>
      </c>
      <c r="O3" s="126"/>
      <c r="P3" s="7" t="s">
        <v>8</v>
      </c>
      <c r="Q3" s="130" t="s">
        <v>7</v>
      </c>
      <c r="R3" s="126"/>
      <c r="S3" s="8" t="s">
        <v>8</v>
      </c>
      <c r="T3" s="69" t="s">
        <v>8</v>
      </c>
      <c r="U3" s="72" t="str">
        <f>T3</f>
        <v>PASA</v>
      </c>
    </row>
    <row r="4" spans="2:21">
      <c r="B4" s="132"/>
      <c r="C4" s="4" t="s">
        <v>9</v>
      </c>
      <c r="D4" s="9">
        <v>0.01</v>
      </c>
      <c r="F4" s="1"/>
      <c r="I4" s="10" t="s">
        <v>10</v>
      </c>
      <c r="J4" s="11" t="s">
        <v>11</v>
      </c>
      <c r="K4" s="12" t="s">
        <v>12</v>
      </c>
      <c r="L4" s="6" t="s">
        <v>13</v>
      </c>
      <c r="M4" s="6" t="s">
        <v>13</v>
      </c>
      <c r="N4" s="7" t="s">
        <v>12</v>
      </c>
      <c r="O4" s="7" t="s">
        <v>13</v>
      </c>
      <c r="P4" s="7" t="s">
        <v>13</v>
      </c>
      <c r="Q4" s="8" t="s">
        <v>12</v>
      </c>
      <c r="R4" s="8" t="s">
        <v>13</v>
      </c>
      <c r="S4" s="8" t="s">
        <v>13</v>
      </c>
      <c r="T4" s="69" t="s">
        <v>13</v>
      </c>
      <c r="U4" s="72" t="str">
        <f>T4</f>
        <v>[%]</v>
      </c>
    </row>
    <row r="5" spans="2:21">
      <c r="B5" s="132"/>
      <c r="C5" s="4" t="s">
        <v>14</v>
      </c>
      <c r="D5" s="5">
        <v>9.5</v>
      </c>
      <c r="F5" s="1"/>
      <c r="I5" s="13">
        <v>75</v>
      </c>
      <c r="J5" s="14" t="s">
        <v>15</v>
      </c>
      <c r="K5" s="15">
        <v>0</v>
      </c>
      <c r="L5" s="16">
        <v>0</v>
      </c>
      <c r="M5" s="16">
        <v>1</v>
      </c>
      <c r="N5" s="17">
        <v>0</v>
      </c>
      <c r="O5" s="16">
        <v>0</v>
      </c>
      <c r="P5" s="16">
        <v>1</v>
      </c>
      <c r="Q5" s="17">
        <v>0</v>
      </c>
      <c r="R5" s="16">
        <v>0</v>
      </c>
      <c r="S5" s="16">
        <v>1</v>
      </c>
      <c r="T5" s="70">
        <f t="shared" ref="T5:T19" si="0">$C$22*M5+$C$23*P5+$C$24*S5</f>
        <v>1</v>
      </c>
      <c r="U5" s="58">
        <f>$C$27*M5+$C$28*P5+$C$29*S5</f>
        <v>1</v>
      </c>
    </row>
    <row r="6" spans="2:21" ht="16" customHeight="1">
      <c r="B6" s="132"/>
      <c r="C6" s="45" t="s">
        <v>16</v>
      </c>
      <c r="D6" s="46" t="s">
        <v>17</v>
      </c>
      <c r="F6" s="1"/>
      <c r="I6" s="13">
        <v>63</v>
      </c>
      <c r="J6" s="14" t="s">
        <v>18</v>
      </c>
      <c r="K6" s="15">
        <v>0</v>
      </c>
      <c r="L6" s="16">
        <v>0</v>
      </c>
      <c r="M6" s="16">
        <v>1</v>
      </c>
      <c r="N6" s="17">
        <v>0</v>
      </c>
      <c r="O6" s="16">
        <v>0</v>
      </c>
      <c r="P6" s="16">
        <v>1</v>
      </c>
      <c r="Q6" s="17">
        <v>0</v>
      </c>
      <c r="R6" s="16">
        <v>0</v>
      </c>
      <c r="S6" s="16">
        <v>1</v>
      </c>
      <c r="T6" s="70">
        <f t="shared" si="0"/>
        <v>1</v>
      </c>
      <c r="U6" s="58">
        <f t="shared" ref="U6:U18" si="1">$C$27*M6+$C$28*P6+$C$29*S6</f>
        <v>1</v>
      </c>
    </row>
    <row r="7" spans="2:21">
      <c r="B7" s="132"/>
      <c r="C7" s="4" t="s">
        <v>19</v>
      </c>
      <c r="D7" s="5" t="s">
        <v>20</v>
      </c>
      <c r="F7" s="1"/>
      <c r="I7" s="13">
        <v>50</v>
      </c>
      <c r="J7" s="14" t="s">
        <v>21</v>
      </c>
      <c r="K7" s="15">
        <v>0</v>
      </c>
      <c r="L7" s="16">
        <v>0</v>
      </c>
      <c r="M7" s="16">
        <v>1</v>
      </c>
      <c r="N7" s="17">
        <v>0</v>
      </c>
      <c r="O7" s="16">
        <v>0</v>
      </c>
      <c r="P7" s="16">
        <v>1</v>
      </c>
      <c r="Q7" s="17">
        <v>0</v>
      </c>
      <c r="R7" s="16">
        <v>0</v>
      </c>
      <c r="S7" s="16">
        <v>1</v>
      </c>
      <c r="T7" s="70">
        <f t="shared" si="0"/>
        <v>1</v>
      </c>
      <c r="U7" s="58">
        <f t="shared" si="1"/>
        <v>1</v>
      </c>
    </row>
    <row r="8" spans="2:21">
      <c r="B8" s="132"/>
      <c r="C8" s="4" t="s">
        <v>22</v>
      </c>
      <c r="D8" s="5" t="s">
        <v>23</v>
      </c>
      <c r="F8" s="1"/>
      <c r="I8" s="13">
        <v>37.5</v>
      </c>
      <c r="J8" s="18" t="s">
        <v>24</v>
      </c>
      <c r="K8" s="19">
        <v>60</v>
      </c>
      <c r="L8" s="20">
        <v>0.06</v>
      </c>
      <c r="M8" s="16">
        <v>0.94</v>
      </c>
      <c r="N8" s="17">
        <v>0</v>
      </c>
      <c r="O8" s="16">
        <v>0</v>
      </c>
      <c r="P8" s="16">
        <v>1</v>
      </c>
      <c r="Q8" s="17">
        <v>0</v>
      </c>
      <c r="R8" s="16">
        <v>0</v>
      </c>
      <c r="S8" s="16">
        <v>1</v>
      </c>
      <c r="T8" s="70">
        <f t="shared" si="0"/>
        <v>0.98799999999999999</v>
      </c>
      <c r="U8" s="58">
        <f t="shared" si="1"/>
        <v>1</v>
      </c>
    </row>
    <row r="9" spans="2:21">
      <c r="B9" s="132"/>
      <c r="C9" s="4" t="s">
        <v>25</v>
      </c>
      <c r="D9" s="5" t="s">
        <v>26</v>
      </c>
      <c r="F9" s="1"/>
      <c r="I9" s="13">
        <v>25</v>
      </c>
      <c r="J9" s="14" t="s">
        <v>27</v>
      </c>
      <c r="K9" s="15">
        <v>320</v>
      </c>
      <c r="L9" s="16">
        <v>0.32</v>
      </c>
      <c r="M9" s="16">
        <v>0.62</v>
      </c>
      <c r="N9" s="17">
        <v>0</v>
      </c>
      <c r="O9" s="16">
        <v>0</v>
      </c>
      <c r="P9" s="16">
        <v>1</v>
      </c>
      <c r="Q9" s="17">
        <v>0</v>
      </c>
      <c r="R9" s="16">
        <v>0</v>
      </c>
      <c r="S9" s="16">
        <v>1</v>
      </c>
      <c r="T9" s="70">
        <f t="shared" si="0"/>
        <v>0.92399999999999993</v>
      </c>
      <c r="U9" s="58">
        <f t="shared" si="1"/>
        <v>1</v>
      </c>
    </row>
    <row r="10" spans="2:21">
      <c r="B10" s="132"/>
      <c r="C10" s="21" t="s">
        <v>28</v>
      </c>
      <c r="D10" s="22" t="s">
        <v>29</v>
      </c>
      <c r="F10" s="1"/>
      <c r="I10" s="13">
        <v>19</v>
      </c>
      <c r="J10" s="23" t="s">
        <v>30</v>
      </c>
      <c r="K10" s="24">
        <v>480</v>
      </c>
      <c r="L10" s="25">
        <v>0.48</v>
      </c>
      <c r="M10" s="25">
        <v>0.14000000000000001</v>
      </c>
      <c r="N10" s="26">
        <v>50</v>
      </c>
      <c r="O10" s="25">
        <v>0.05</v>
      </c>
      <c r="P10" s="16">
        <v>0.95</v>
      </c>
      <c r="Q10" s="17">
        <v>0</v>
      </c>
      <c r="R10" s="16">
        <v>0</v>
      </c>
      <c r="S10" s="16">
        <v>1</v>
      </c>
      <c r="T10" s="70">
        <f t="shared" si="0"/>
        <v>0.81299999999999994</v>
      </c>
      <c r="U10" s="58">
        <f t="shared" si="1"/>
        <v>0.99671516064073584</v>
      </c>
    </row>
    <row r="11" spans="2:21">
      <c r="B11" s="132"/>
      <c r="C11" s="21" t="s">
        <v>31</v>
      </c>
      <c r="D11" s="22" t="s">
        <v>32</v>
      </c>
      <c r="F11" s="1"/>
      <c r="I11" s="13">
        <v>12.5</v>
      </c>
      <c r="J11" s="14" t="s">
        <v>33</v>
      </c>
      <c r="K11" s="15">
        <v>60</v>
      </c>
      <c r="L11" s="16">
        <v>0.06</v>
      </c>
      <c r="M11" s="16">
        <v>0.08</v>
      </c>
      <c r="N11" s="17">
        <v>350</v>
      </c>
      <c r="O11" s="16">
        <v>0.35</v>
      </c>
      <c r="P11" s="16">
        <v>0.6</v>
      </c>
      <c r="Q11" s="17">
        <v>0</v>
      </c>
      <c r="R11" s="16">
        <v>0</v>
      </c>
      <c r="S11" s="16">
        <v>1</v>
      </c>
      <c r="T11" s="70">
        <f t="shared" si="0"/>
        <v>0.69599999999999995</v>
      </c>
      <c r="U11" s="58">
        <f t="shared" si="1"/>
        <v>0.97372128512588718</v>
      </c>
    </row>
    <row r="12" spans="2:21">
      <c r="B12" s="133"/>
      <c r="C12" s="21" t="s">
        <v>34</v>
      </c>
      <c r="D12" s="22" t="s">
        <v>35</v>
      </c>
      <c r="F12" s="1"/>
      <c r="I12" s="13">
        <v>9.5</v>
      </c>
      <c r="J12" s="14" t="s">
        <v>36</v>
      </c>
      <c r="K12" s="15">
        <v>80</v>
      </c>
      <c r="L12" s="16">
        <v>0.08</v>
      </c>
      <c r="M12" s="16">
        <v>0</v>
      </c>
      <c r="N12" s="17">
        <v>120</v>
      </c>
      <c r="O12" s="16">
        <v>0.12</v>
      </c>
      <c r="P12" s="16">
        <v>0.48</v>
      </c>
      <c r="Q12" s="17">
        <v>0</v>
      </c>
      <c r="R12" s="16">
        <v>0</v>
      </c>
      <c r="S12" s="16">
        <v>1</v>
      </c>
      <c r="T12" s="70">
        <f t="shared" si="0"/>
        <v>0.64400000000000002</v>
      </c>
      <c r="U12" s="58">
        <f t="shared" si="1"/>
        <v>0.96583767066365334</v>
      </c>
    </row>
    <row r="13" spans="2:21">
      <c r="B13" s="1"/>
      <c r="C13" s="1"/>
      <c r="D13" s="1"/>
      <c r="F13" s="1"/>
      <c r="I13" s="13">
        <v>6.3</v>
      </c>
      <c r="J13" s="27" t="s">
        <v>37</v>
      </c>
      <c r="K13" s="28">
        <v>0</v>
      </c>
      <c r="L13" s="29">
        <v>0</v>
      </c>
      <c r="M13" s="29">
        <v>0</v>
      </c>
      <c r="N13" s="30">
        <v>280</v>
      </c>
      <c r="O13" s="29">
        <v>0.28000000000000003</v>
      </c>
      <c r="P13" s="29">
        <v>0.2</v>
      </c>
      <c r="Q13" s="30">
        <v>40</v>
      </c>
      <c r="R13" s="29">
        <v>0.04</v>
      </c>
      <c r="S13" s="16">
        <v>0.96</v>
      </c>
      <c r="T13" s="70">
        <f t="shared" si="0"/>
        <v>0.54</v>
      </c>
      <c r="U13" s="58">
        <f t="shared" si="1"/>
        <v>0.91007044173918561</v>
      </c>
    </row>
    <row r="14" spans="2:21">
      <c r="B14" s="1"/>
      <c r="C14" s="1"/>
      <c r="D14" s="1"/>
      <c r="F14" s="1"/>
      <c r="I14" s="13">
        <v>4.75</v>
      </c>
      <c r="J14" s="14" t="s">
        <v>38</v>
      </c>
      <c r="K14" s="15">
        <v>0</v>
      </c>
      <c r="L14" s="16">
        <v>0</v>
      </c>
      <c r="M14" s="16">
        <v>0</v>
      </c>
      <c r="N14" s="17">
        <v>80</v>
      </c>
      <c r="O14" s="16">
        <v>0.08</v>
      </c>
      <c r="P14" s="16">
        <v>0.12</v>
      </c>
      <c r="Q14" s="17">
        <v>280</v>
      </c>
      <c r="R14" s="16">
        <v>0.28000000000000003</v>
      </c>
      <c r="S14" s="16">
        <v>0.68</v>
      </c>
      <c r="T14" s="70">
        <f t="shared" si="0"/>
        <v>0.376</v>
      </c>
      <c r="U14" s="58">
        <f t="shared" si="1"/>
        <v>0.6432097991762421</v>
      </c>
    </row>
    <row r="15" spans="2:21">
      <c r="B15" s="3"/>
      <c r="C15" s="3"/>
      <c r="D15" s="31" t="s">
        <v>0</v>
      </c>
      <c r="E15" s="32" t="s">
        <v>1</v>
      </c>
      <c r="F15" s="33" t="s">
        <v>2</v>
      </c>
      <c r="I15" s="13">
        <v>2.36</v>
      </c>
      <c r="J15" s="14" t="s">
        <v>39</v>
      </c>
      <c r="K15" s="15">
        <v>0</v>
      </c>
      <c r="L15" s="16">
        <v>0</v>
      </c>
      <c r="M15" s="16">
        <v>0</v>
      </c>
      <c r="N15" s="17">
        <v>120</v>
      </c>
      <c r="O15" s="16">
        <v>0.12</v>
      </c>
      <c r="P15" s="16">
        <v>0</v>
      </c>
      <c r="Q15" s="17">
        <v>130</v>
      </c>
      <c r="R15" s="16">
        <v>0.13</v>
      </c>
      <c r="S15" s="16">
        <v>0.55000000000000004</v>
      </c>
      <c r="T15" s="70">
        <f t="shared" si="0"/>
        <v>0.27500000000000002</v>
      </c>
      <c r="U15" s="58">
        <f t="shared" si="1"/>
        <v>0.51386676704809486</v>
      </c>
    </row>
    <row r="16" spans="2:21">
      <c r="B16" s="125" t="s">
        <v>40</v>
      </c>
      <c r="C16" s="126"/>
      <c r="D16" s="34">
        <v>1.2999999999999999E-2</v>
      </c>
      <c r="E16" s="34">
        <v>1.2E-2</v>
      </c>
      <c r="F16" s="34">
        <v>1.2E-2</v>
      </c>
      <c r="I16" s="13">
        <v>1.18</v>
      </c>
      <c r="J16" s="14" t="s">
        <v>41</v>
      </c>
      <c r="K16" s="15">
        <v>0</v>
      </c>
      <c r="L16" s="16">
        <v>0</v>
      </c>
      <c r="M16" s="16">
        <v>0</v>
      </c>
      <c r="N16" s="17">
        <v>0</v>
      </c>
      <c r="O16" s="16">
        <v>0</v>
      </c>
      <c r="P16" s="16">
        <v>0</v>
      </c>
      <c r="Q16" s="17">
        <v>170</v>
      </c>
      <c r="R16" s="16">
        <v>0.17</v>
      </c>
      <c r="S16" s="16">
        <v>0.38</v>
      </c>
      <c r="T16" s="70">
        <f t="shared" si="0"/>
        <v>0.19</v>
      </c>
      <c r="U16" s="58">
        <f t="shared" si="1"/>
        <v>0.35503522086959283</v>
      </c>
    </row>
    <row r="17" spans="2:30">
      <c r="B17" s="125" t="s">
        <v>42</v>
      </c>
      <c r="C17" s="126"/>
      <c r="D17" s="34">
        <v>0.04</v>
      </c>
      <c r="E17" s="34">
        <v>0.08</v>
      </c>
      <c r="F17" s="34">
        <v>0.06</v>
      </c>
      <c r="I17" s="13">
        <v>0.6</v>
      </c>
      <c r="J17" s="14" t="s">
        <v>43</v>
      </c>
      <c r="K17" s="15">
        <v>0</v>
      </c>
      <c r="L17" s="16">
        <v>0</v>
      </c>
      <c r="M17" s="16">
        <v>0</v>
      </c>
      <c r="N17" s="17">
        <v>0</v>
      </c>
      <c r="O17" s="16">
        <v>0</v>
      </c>
      <c r="P17" s="16">
        <v>0</v>
      </c>
      <c r="Q17" s="17">
        <v>110</v>
      </c>
      <c r="R17" s="16">
        <v>0.11</v>
      </c>
      <c r="S17" s="16">
        <v>0.27</v>
      </c>
      <c r="T17" s="70">
        <f t="shared" si="0"/>
        <v>0.13500000000000001</v>
      </c>
      <c r="U17" s="58">
        <f t="shared" si="1"/>
        <v>0.25226186745997387</v>
      </c>
    </row>
    <row r="18" spans="2:30">
      <c r="B18" s="125" t="s">
        <v>44</v>
      </c>
      <c r="C18" s="126"/>
      <c r="D18" s="17">
        <v>2.6</v>
      </c>
      <c r="E18" s="17">
        <v>2.8</v>
      </c>
      <c r="F18" s="17">
        <v>2.7</v>
      </c>
      <c r="I18" s="13">
        <v>0.3</v>
      </c>
      <c r="J18" s="14" t="s">
        <v>45</v>
      </c>
      <c r="K18" s="15">
        <v>0</v>
      </c>
      <c r="L18" s="16">
        <v>0</v>
      </c>
      <c r="M18" s="16">
        <v>0</v>
      </c>
      <c r="N18" s="17">
        <v>0</v>
      </c>
      <c r="O18" s="16">
        <v>0</v>
      </c>
      <c r="P18" s="16">
        <v>0</v>
      </c>
      <c r="Q18" s="17">
        <v>170</v>
      </c>
      <c r="R18" s="16">
        <v>0.17</v>
      </c>
      <c r="S18" s="16">
        <v>0.1</v>
      </c>
      <c r="T18" s="70">
        <f t="shared" si="0"/>
        <v>0.05</v>
      </c>
      <c r="U18" s="58">
        <f t="shared" si="1"/>
        <v>9.3430321281471801E-2</v>
      </c>
    </row>
    <row r="19" spans="2:30">
      <c r="B19" s="125" t="s">
        <v>46</v>
      </c>
      <c r="C19" s="126"/>
      <c r="D19" s="35">
        <f t="shared" ref="D19:F19" si="2">D18*1000</f>
        <v>2600</v>
      </c>
      <c r="E19" s="35">
        <f t="shared" si="2"/>
        <v>2800</v>
      </c>
      <c r="F19" s="35">
        <f t="shared" si="2"/>
        <v>2700</v>
      </c>
      <c r="I19" s="36">
        <v>0.15</v>
      </c>
      <c r="J19" s="37" t="s">
        <v>47</v>
      </c>
      <c r="K19" s="15">
        <v>0</v>
      </c>
      <c r="L19" s="16">
        <v>0</v>
      </c>
      <c r="M19" s="16">
        <v>0</v>
      </c>
      <c r="N19" s="17">
        <v>0</v>
      </c>
      <c r="O19" s="16">
        <v>0</v>
      </c>
      <c r="P19" s="16">
        <v>0</v>
      </c>
      <c r="Q19" s="17">
        <v>60</v>
      </c>
      <c r="R19" s="16">
        <v>0.06</v>
      </c>
      <c r="S19" s="16">
        <v>0.04</v>
      </c>
      <c r="T19" s="70">
        <f t="shared" si="0"/>
        <v>0.02</v>
      </c>
      <c r="U19" s="58">
        <f>$C$27*M19+$C$28*P19+$C$29*S19</f>
        <v>3.7372128512588719E-2</v>
      </c>
    </row>
    <row r="20" spans="2:30">
      <c r="I20" s="125" t="s">
        <v>48</v>
      </c>
      <c r="J20" s="126"/>
      <c r="K20" s="17">
        <v>0</v>
      </c>
      <c r="L20" s="38"/>
      <c r="M20" s="38"/>
      <c r="N20" s="15">
        <v>0</v>
      </c>
      <c r="O20" s="38"/>
      <c r="P20" s="38"/>
      <c r="Q20" s="15">
        <v>40</v>
      </c>
      <c r="R20" s="38"/>
      <c r="S20" s="3"/>
      <c r="T20" s="1"/>
      <c r="U20" s="1"/>
    </row>
    <row r="21" spans="2:30">
      <c r="C21" s="124" t="s">
        <v>72</v>
      </c>
      <c r="D21" s="124"/>
      <c r="F21" s="1"/>
      <c r="I21" s="125" t="s">
        <v>49</v>
      </c>
      <c r="J21" s="126"/>
      <c r="K21" s="17">
        <v>1000</v>
      </c>
      <c r="L21" s="3"/>
      <c r="M21" s="3"/>
      <c r="N21" s="39">
        <v>1000</v>
      </c>
      <c r="O21" s="3"/>
      <c r="P21" s="3"/>
      <c r="Q21" s="15">
        <v>1000</v>
      </c>
      <c r="R21" s="3"/>
      <c r="S21" s="3"/>
      <c r="T21" s="1"/>
      <c r="U21" s="1"/>
    </row>
    <row r="22" spans="2:30">
      <c r="B22" s="63" t="s">
        <v>35</v>
      </c>
      <c r="C22" s="108">
        <v>0.2</v>
      </c>
      <c r="D22" s="10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30">
      <c r="B23" s="61" t="s">
        <v>32</v>
      </c>
      <c r="C23" s="108">
        <v>0.3</v>
      </c>
      <c r="D23" s="108"/>
      <c r="E23" s="1"/>
      <c r="F23" s="1"/>
      <c r="G23" s="1"/>
      <c r="H23" s="1"/>
    </row>
    <row r="24" spans="2:30">
      <c r="B24" s="65" t="s">
        <v>29</v>
      </c>
      <c r="C24" s="108">
        <v>0.5</v>
      </c>
      <c r="D24" s="108"/>
      <c r="I24" s="122" t="s">
        <v>50</v>
      </c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10"/>
      <c r="W24" s="111"/>
      <c r="X24" s="111"/>
      <c r="Y24" s="48"/>
      <c r="Z24" s="81"/>
      <c r="AA24" s="56" t="s">
        <v>83</v>
      </c>
      <c r="AB24" s="81"/>
      <c r="AC24" s="81"/>
      <c r="AD24" s="81"/>
    </row>
    <row r="25" spans="2:30">
      <c r="D25" s="40"/>
      <c r="E25" s="40"/>
      <c r="F25" s="40"/>
      <c r="I25" s="82" t="s">
        <v>51</v>
      </c>
      <c r="J25" s="41" t="s">
        <v>52</v>
      </c>
      <c r="K25" s="41" t="s">
        <v>53</v>
      </c>
      <c r="L25" s="41" t="s">
        <v>54</v>
      </c>
      <c r="M25" s="41" t="s">
        <v>55</v>
      </c>
      <c r="N25" s="42" t="s">
        <v>56</v>
      </c>
      <c r="O25" s="42" t="s">
        <v>57</v>
      </c>
      <c r="P25" s="42" t="s">
        <v>58</v>
      </c>
      <c r="Q25" s="42" t="s">
        <v>59</v>
      </c>
      <c r="R25" s="43" t="s">
        <v>60</v>
      </c>
      <c r="S25" s="43" t="s">
        <v>61</v>
      </c>
      <c r="T25" s="43" t="s">
        <v>62</v>
      </c>
      <c r="U25" s="47" t="s">
        <v>63</v>
      </c>
      <c r="V25" s="49" t="s">
        <v>79</v>
      </c>
      <c r="W25" s="50" t="s">
        <v>80</v>
      </c>
      <c r="X25" s="51" t="s">
        <v>81</v>
      </c>
      <c r="Y25" s="51" t="s">
        <v>82</v>
      </c>
      <c r="AA25" s="88" t="s">
        <v>84</v>
      </c>
      <c r="AB25" s="75"/>
      <c r="AC25" s="75"/>
    </row>
    <row r="26" spans="2:30">
      <c r="C26" s="121" t="s">
        <v>71</v>
      </c>
      <c r="D26" s="121"/>
      <c r="E26" s="40"/>
      <c r="F26" s="40"/>
      <c r="I26" s="83">
        <v>80</v>
      </c>
      <c r="J26" s="73">
        <v>1</v>
      </c>
      <c r="K26" s="73">
        <v>1</v>
      </c>
      <c r="L26" s="73">
        <v>1</v>
      </c>
      <c r="M26" s="73">
        <v>1</v>
      </c>
      <c r="N26" s="73">
        <v>1</v>
      </c>
      <c r="O26" s="73">
        <v>1</v>
      </c>
      <c r="P26" s="73">
        <v>1</v>
      </c>
      <c r="Q26" s="73">
        <v>1</v>
      </c>
      <c r="R26" s="73">
        <v>1</v>
      </c>
      <c r="S26" s="73">
        <v>1</v>
      </c>
      <c r="T26" s="73">
        <v>1</v>
      </c>
      <c r="U26" s="73">
        <v>1</v>
      </c>
      <c r="V26" s="75">
        <v>1</v>
      </c>
      <c r="W26" s="75">
        <v>1</v>
      </c>
      <c r="X26" s="75">
        <v>1</v>
      </c>
      <c r="Y26" s="76">
        <v>1</v>
      </c>
      <c r="AA26" s="58">
        <f>AVERAGE(V26:Y26)</f>
        <v>1</v>
      </c>
      <c r="AB26" s="75"/>
      <c r="AC26" s="75"/>
    </row>
    <row r="27" spans="2:30">
      <c r="B27" s="64" t="str">
        <f>B22</f>
        <v>Grava 1</v>
      </c>
      <c r="C27" s="108">
        <v>0</v>
      </c>
      <c r="D27" s="108"/>
      <c r="E27" s="40"/>
      <c r="F27" s="40"/>
      <c r="I27" s="83">
        <v>40</v>
      </c>
      <c r="J27" s="73">
        <v>0.7</v>
      </c>
      <c r="K27" s="73">
        <v>0.8</v>
      </c>
      <c r="L27" s="73">
        <v>0.9</v>
      </c>
      <c r="M27" s="73">
        <v>0.3</v>
      </c>
      <c r="N27" s="73">
        <v>1</v>
      </c>
      <c r="O27" s="73">
        <v>1</v>
      </c>
      <c r="P27" s="73">
        <v>1</v>
      </c>
      <c r="Q27" s="73">
        <v>1</v>
      </c>
      <c r="R27" s="74">
        <v>1</v>
      </c>
      <c r="S27" s="74">
        <v>1</v>
      </c>
      <c r="T27" s="74">
        <v>1</v>
      </c>
      <c r="U27" s="74">
        <v>1</v>
      </c>
      <c r="V27" s="75">
        <v>1</v>
      </c>
      <c r="W27" s="75">
        <v>1</v>
      </c>
      <c r="X27" s="75">
        <v>1</v>
      </c>
      <c r="Y27" s="76">
        <v>1</v>
      </c>
      <c r="AA27" s="58">
        <f t="shared" ref="AA27:AA35" si="3">AVERAGE(V27:Y27)</f>
        <v>1</v>
      </c>
      <c r="AB27" s="75"/>
      <c r="AC27" s="75"/>
    </row>
    <row r="28" spans="2:30">
      <c r="B28" s="60" t="str">
        <f t="shared" ref="B28:B29" si="4">B23</f>
        <v>Gravilla 2</v>
      </c>
      <c r="C28" s="120">
        <v>6.5696787185282005E-2</v>
      </c>
      <c r="D28" s="120"/>
      <c r="I28" s="83">
        <v>20</v>
      </c>
      <c r="J28" s="73">
        <v>0.45</v>
      </c>
      <c r="K28" s="73">
        <v>0.65</v>
      </c>
      <c r="L28" s="73">
        <v>0.8</v>
      </c>
      <c r="M28" s="73">
        <v>0.3</v>
      </c>
      <c r="N28" s="73">
        <v>0.6</v>
      </c>
      <c r="O28" s="73">
        <v>0.8</v>
      </c>
      <c r="P28" s="73">
        <v>0.9</v>
      </c>
      <c r="Q28" s="73">
        <v>0.3</v>
      </c>
      <c r="R28" s="74">
        <v>1</v>
      </c>
      <c r="S28" s="74">
        <v>1</v>
      </c>
      <c r="T28" s="74">
        <v>1</v>
      </c>
      <c r="U28" s="74">
        <v>1</v>
      </c>
      <c r="V28" s="75">
        <v>1</v>
      </c>
      <c r="W28" s="75">
        <v>1</v>
      </c>
      <c r="X28" s="75">
        <v>1</v>
      </c>
      <c r="Y28" s="76">
        <v>1</v>
      </c>
      <c r="AA28" s="58">
        <f t="shared" si="3"/>
        <v>1</v>
      </c>
      <c r="AB28" s="75"/>
      <c r="AC28" s="75"/>
    </row>
    <row r="29" spans="2:30">
      <c r="B29" s="62" t="str">
        <f t="shared" si="4"/>
        <v>Arena 3</v>
      </c>
      <c r="C29" s="120">
        <v>0.93430321281471795</v>
      </c>
      <c r="D29" s="120"/>
      <c r="I29" s="83">
        <v>10</v>
      </c>
      <c r="J29" s="73">
        <v>0.3</v>
      </c>
      <c r="K29" s="73">
        <v>0.5</v>
      </c>
      <c r="L29" s="73">
        <v>0.7</v>
      </c>
      <c r="M29" s="73">
        <v>0.3</v>
      </c>
      <c r="N29" s="73">
        <v>0.4</v>
      </c>
      <c r="O29" s="73">
        <v>0.61</v>
      </c>
      <c r="P29" s="73">
        <v>0.8</v>
      </c>
      <c r="Q29" s="73">
        <v>0.3</v>
      </c>
      <c r="R29" s="74">
        <v>0.62</v>
      </c>
      <c r="S29" s="74">
        <v>0.77</v>
      </c>
      <c r="T29" s="74">
        <v>0.88</v>
      </c>
      <c r="U29" s="74">
        <v>0.3</v>
      </c>
      <c r="V29" s="75">
        <v>1</v>
      </c>
      <c r="W29" s="75">
        <v>1</v>
      </c>
      <c r="X29" s="75">
        <v>1</v>
      </c>
      <c r="Y29" s="55">
        <v>1</v>
      </c>
      <c r="AA29" s="58">
        <f t="shared" si="3"/>
        <v>1</v>
      </c>
      <c r="AB29" s="75"/>
      <c r="AC29" s="75"/>
    </row>
    <row r="30" spans="2:30">
      <c r="B30" s="59" t="s">
        <v>78</v>
      </c>
      <c r="C30" s="109">
        <v>1</v>
      </c>
      <c r="D30" s="109"/>
      <c r="I30" s="83">
        <v>5</v>
      </c>
      <c r="J30" s="73">
        <v>0.2</v>
      </c>
      <c r="K30" s="73">
        <v>0.4</v>
      </c>
      <c r="L30" s="73">
        <v>0.6</v>
      </c>
      <c r="M30" s="73">
        <v>0.3</v>
      </c>
      <c r="N30" s="73">
        <v>0.24</v>
      </c>
      <c r="O30" s="73">
        <v>0.48</v>
      </c>
      <c r="P30" s="73">
        <v>0.66</v>
      </c>
      <c r="Q30" s="73">
        <v>0.3</v>
      </c>
      <c r="R30" s="74">
        <v>0.37</v>
      </c>
      <c r="S30" s="74">
        <v>0.57999999999999996</v>
      </c>
      <c r="T30" s="74">
        <v>0.75</v>
      </c>
      <c r="U30" s="74">
        <v>0.3</v>
      </c>
      <c r="V30" s="75">
        <v>0.61</v>
      </c>
      <c r="W30" s="75">
        <v>0.74</v>
      </c>
      <c r="X30" s="75">
        <v>0.87</v>
      </c>
      <c r="Y30" s="55">
        <v>0.3</v>
      </c>
      <c r="AA30" s="58">
        <f t="shared" si="3"/>
        <v>0.63</v>
      </c>
      <c r="AB30" s="75"/>
      <c r="AC30" s="75"/>
    </row>
    <row r="31" spans="2:30">
      <c r="B31" s="59" t="s">
        <v>85</v>
      </c>
      <c r="C31" s="108">
        <f>SUM(C27:D29)</f>
        <v>1</v>
      </c>
      <c r="D31" s="108"/>
      <c r="I31" s="83">
        <v>2.5</v>
      </c>
      <c r="J31" s="73">
        <v>0.12</v>
      </c>
      <c r="K31" s="73">
        <v>0.3</v>
      </c>
      <c r="L31" s="73">
        <v>0.5</v>
      </c>
      <c r="M31" s="73">
        <v>0</v>
      </c>
      <c r="N31" s="73">
        <v>0.15</v>
      </c>
      <c r="O31" s="73">
        <v>0.37</v>
      </c>
      <c r="P31" s="73">
        <v>0.55000000000000004</v>
      </c>
      <c r="Q31" s="73">
        <v>0</v>
      </c>
      <c r="R31" s="74">
        <v>0.22</v>
      </c>
      <c r="S31" s="74">
        <v>0.43</v>
      </c>
      <c r="T31" s="74">
        <v>0.63</v>
      </c>
      <c r="U31" s="74">
        <v>0.3</v>
      </c>
      <c r="V31" s="75">
        <v>0.37</v>
      </c>
      <c r="W31" s="75">
        <v>0.56000000000000005</v>
      </c>
      <c r="X31" s="75">
        <v>0.73</v>
      </c>
      <c r="Y31" s="55">
        <v>0.3</v>
      </c>
      <c r="AA31" s="58">
        <f t="shared" si="3"/>
        <v>0.49000000000000005</v>
      </c>
      <c r="AB31" s="75"/>
      <c r="AC31" s="75"/>
    </row>
    <row r="32" spans="2:30">
      <c r="I32" s="84">
        <v>1.25</v>
      </c>
      <c r="J32" s="73">
        <v>7.0000000000000007E-2</v>
      </c>
      <c r="K32" s="73">
        <v>0.25</v>
      </c>
      <c r="L32" s="73">
        <v>0.4</v>
      </c>
      <c r="M32" s="73">
        <v>0</v>
      </c>
      <c r="N32" s="73">
        <v>0.1</v>
      </c>
      <c r="O32" s="73">
        <v>0.28000000000000003</v>
      </c>
      <c r="P32" s="73">
        <v>0.42</v>
      </c>
      <c r="Q32" s="73">
        <v>0</v>
      </c>
      <c r="R32" s="74">
        <v>0.13</v>
      </c>
      <c r="S32" s="74">
        <v>0.33</v>
      </c>
      <c r="T32" s="74">
        <v>0.52</v>
      </c>
      <c r="U32" s="73">
        <v>0</v>
      </c>
      <c r="V32" s="75">
        <v>0.22</v>
      </c>
      <c r="W32" s="75">
        <v>0.41</v>
      </c>
      <c r="X32" s="75">
        <v>0.59</v>
      </c>
      <c r="Y32" s="55">
        <v>0.3</v>
      </c>
      <c r="AA32" s="58">
        <f t="shared" si="3"/>
        <v>0.38</v>
      </c>
    </row>
    <row r="33" spans="2:29">
      <c r="B33" s="110" t="s">
        <v>86</v>
      </c>
      <c r="C33" s="111"/>
      <c r="D33" s="111"/>
      <c r="I33" s="84">
        <v>0.63</v>
      </c>
      <c r="J33" s="73">
        <v>0.04</v>
      </c>
      <c r="K33" s="73">
        <v>0.17</v>
      </c>
      <c r="L33" s="73">
        <v>0.28000000000000003</v>
      </c>
      <c r="M33" s="73">
        <v>0</v>
      </c>
      <c r="N33" s="73">
        <v>0.06</v>
      </c>
      <c r="O33" s="73">
        <v>0.19</v>
      </c>
      <c r="P33" s="73">
        <v>0.3</v>
      </c>
      <c r="Q33" s="73">
        <v>0</v>
      </c>
      <c r="R33" s="74">
        <v>0.08</v>
      </c>
      <c r="S33" s="74">
        <v>0.23</v>
      </c>
      <c r="T33" s="74">
        <v>0.38</v>
      </c>
      <c r="U33" s="73">
        <v>0</v>
      </c>
      <c r="V33" s="75">
        <v>0.13</v>
      </c>
      <c r="W33" s="75">
        <v>0.27</v>
      </c>
      <c r="X33" s="75">
        <v>0.43</v>
      </c>
      <c r="Y33" s="76"/>
      <c r="AA33" s="58">
        <f t="shared" si="3"/>
        <v>0.27666666666666667</v>
      </c>
      <c r="AB33" s="75"/>
      <c r="AC33" s="75"/>
    </row>
    <row r="34" spans="2:29" ht="34">
      <c r="B34" s="89" t="s">
        <v>87</v>
      </c>
      <c r="C34" s="59">
        <v>4</v>
      </c>
      <c r="D34" s="59" t="s">
        <v>88</v>
      </c>
      <c r="I34" s="84">
        <v>0.315</v>
      </c>
      <c r="J34" s="73">
        <v>0.03</v>
      </c>
      <c r="K34" s="73">
        <v>0.09</v>
      </c>
      <c r="L34" s="73">
        <v>0.17</v>
      </c>
      <c r="M34" s="73">
        <v>0</v>
      </c>
      <c r="N34" s="73">
        <v>0.03</v>
      </c>
      <c r="O34" s="73">
        <v>0.11</v>
      </c>
      <c r="P34" s="73">
        <v>0.19</v>
      </c>
      <c r="Q34" s="73">
        <v>0</v>
      </c>
      <c r="R34" s="74">
        <v>0.04</v>
      </c>
      <c r="S34" s="74">
        <v>0.12</v>
      </c>
      <c r="T34" s="74">
        <v>0.23</v>
      </c>
      <c r="U34" s="73">
        <v>0</v>
      </c>
      <c r="V34" s="75">
        <v>0.05</v>
      </c>
      <c r="W34" s="75">
        <v>0.13</v>
      </c>
      <c r="X34" s="75">
        <v>0.26</v>
      </c>
      <c r="Y34" s="76"/>
      <c r="AA34" s="58">
        <f t="shared" si="3"/>
        <v>0.14666666666666667</v>
      </c>
      <c r="AB34" s="75"/>
      <c r="AC34" s="75"/>
    </row>
    <row r="35" spans="2:29">
      <c r="B35" s="59" t="s">
        <v>89</v>
      </c>
      <c r="C35" s="59">
        <v>2.33</v>
      </c>
      <c r="D35" s="59"/>
      <c r="I35" s="85">
        <v>0.16</v>
      </c>
      <c r="J35" s="86">
        <v>0.02</v>
      </c>
      <c r="K35" s="86">
        <v>0.04</v>
      </c>
      <c r="L35" s="86">
        <v>7.0000000000000007E-2</v>
      </c>
      <c r="M35" s="86">
        <v>0</v>
      </c>
      <c r="N35" s="86">
        <v>0.02</v>
      </c>
      <c r="O35" s="86">
        <v>0.05</v>
      </c>
      <c r="P35" s="86">
        <v>0.08</v>
      </c>
      <c r="Q35" s="86">
        <v>0</v>
      </c>
      <c r="R35" s="87">
        <v>0.03</v>
      </c>
      <c r="S35" s="87">
        <v>0.06</v>
      </c>
      <c r="T35" s="87">
        <v>0.09</v>
      </c>
      <c r="U35" s="86">
        <v>0</v>
      </c>
      <c r="V35" s="77">
        <v>0.03</v>
      </c>
      <c r="W35" s="77">
        <v>7.0000000000000007E-2</v>
      </c>
      <c r="X35" s="77">
        <v>0.1</v>
      </c>
      <c r="Y35" s="78"/>
      <c r="AA35" s="58">
        <f t="shared" si="3"/>
        <v>6.6666666666666666E-2</v>
      </c>
      <c r="AB35" s="75"/>
      <c r="AC35" s="75"/>
    </row>
    <row r="36" spans="2:29">
      <c r="B36" s="59" t="s">
        <v>90</v>
      </c>
      <c r="C36" s="59">
        <v>15</v>
      </c>
      <c r="D36" s="59" t="s">
        <v>91</v>
      </c>
      <c r="I36" s="57"/>
      <c r="J36" s="52"/>
      <c r="K36" s="52"/>
      <c r="L36" s="52"/>
      <c r="M36" s="52"/>
      <c r="N36" s="52"/>
      <c r="O36" s="52"/>
      <c r="P36" s="52"/>
      <c r="Q36" s="52"/>
      <c r="R36" s="53"/>
      <c r="S36" s="53"/>
      <c r="T36" s="53"/>
      <c r="U36" s="52"/>
      <c r="V36" s="54"/>
      <c r="W36" s="54"/>
      <c r="X36" s="54"/>
      <c r="Y36" s="54"/>
    </row>
    <row r="37" spans="2:29">
      <c r="B37" s="59" t="s">
        <v>92</v>
      </c>
      <c r="C37" s="59">
        <v>24.32</v>
      </c>
      <c r="D37" s="59" t="s">
        <v>93</v>
      </c>
      <c r="I37" s="57"/>
      <c r="J37" s="52"/>
      <c r="K37" s="52"/>
      <c r="L37" s="52"/>
      <c r="M37" s="52"/>
      <c r="N37" s="52"/>
      <c r="O37" s="52"/>
      <c r="P37" s="52"/>
      <c r="Q37" s="52"/>
      <c r="R37" s="53"/>
      <c r="S37" s="53"/>
      <c r="T37" s="53"/>
      <c r="U37" s="52"/>
      <c r="V37" s="54"/>
      <c r="W37" s="54"/>
      <c r="X37" s="54"/>
      <c r="Y37" s="54"/>
    </row>
    <row r="38" spans="2:29" ht="17" customHeight="1">
      <c r="C38" s="59">
        <f>C37*145.038</f>
        <v>3527.3241600000001</v>
      </c>
      <c r="D38" s="59" t="s">
        <v>94</v>
      </c>
      <c r="I38" s="106" t="s">
        <v>70</v>
      </c>
      <c r="J38" s="104"/>
      <c r="K38" s="104"/>
      <c r="L38" s="104"/>
      <c r="M38" s="105"/>
      <c r="O38" s="110" t="s">
        <v>73</v>
      </c>
      <c r="P38" s="111"/>
      <c r="Q38" s="111"/>
      <c r="R38" s="111"/>
    </row>
    <row r="39" spans="2:29" ht="36" customHeight="1">
      <c r="I39" s="56" t="s">
        <v>64</v>
      </c>
      <c r="J39" s="79" t="s">
        <v>65</v>
      </c>
      <c r="K39" s="56" t="s">
        <v>66</v>
      </c>
      <c r="L39" s="79" t="s">
        <v>67</v>
      </c>
      <c r="M39" s="79" t="s">
        <v>68</v>
      </c>
      <c r="N39" s="44"/>
      <c r="O39" s="119" t="s">
        <v>74</v>
      </c>
      <c r="P39" s="119"/>
      <c r="Q39" s="119" t="s">
        <v>75</v>
      </c>
      <c r="R39" s="119"/>
    </row>
    <row r="40" spans="2:29">
      <c r="B40" s="112" t="s">
        <v>95</v>
      </c>
      <c r="C40" s="113"/>
      <c r="D40" s="114"/>
      <c r="I40" s="56">
        <f>I26</f>
        <v>80</v>
      </c>
      <c r="J40" s="80">
        <f>AA26</f>
        <v>1</v>
      </c>
      <c r="K40" s="56">
        <f>I5</f>
        <v>75</v>
      </c>
      <c r="L40" s="80">
        <f>U5</f>
        <v>1</v>
      </c>
      <c r="M40" s="80">
        <v>1</v>
      </c>
      <c r="N40" s="44"/>
      <c r="O40" s="120">
        <f>J40</f>
        <v>1</v>
      </c>
      <c r="P40" s="111"/>
      <c r="Q40" s="118">
        <f>M40</f>
        <v>1</v>
      </c>
      <c r="R40" s="119"/>
    </row>
    <row r="41" spans="2:29">
      <c r="B41" s="115"/>
      <c r="C41" s="116"/>
      <c r="D41" s="117"/>
      <c r="I41" s="56">
        <f t="shared" ref="I41:I49" si="5">I27</f>
        <v>40</v>
      </c>
      <c r="J41" s="80">
        <f t="shared" ref="J41:J49" si="6">AA27</f>
        <v>1</v>
      </c>
      <c r="K41" s="56">
        <f t="shared" ref="K41:K54" si="7">I6</f>
        <v>63</v>
      </c>
      <c r="L41" s="80">
        <f t="shared" ref="L41:L54" si="8">U6</f>
        <v>1</v>
      </c>
      <c r="M41" s="80">
        <f>((L42-L43)/(K42-K43))*(I41-K42)+L42</f>
        <v>1</v>
      </c>
      <c r="N41" s="44"/>
      <c r="O41" s="120">
        <f t="shared" ref="O41:O49" si="9">J41</f>
        <v>1</v>
      </c>
      <c r="P41" s="111"/>
      <c r="Q41" s="118">
        <f t="shared" ref="Q41:Q49" si="10">M41</f>
        <v>1</v>
      </c>
      <c r="R41" s="119"/>
    </row>
    <row r="42" spans="2:29">
      <c r="I42" s="56">
        <f t="shared" si="5"/>
        <v>20</v>
      </c>
      <c r="J42" s="80">
        <f t="shared" si="6"/>
        <v>1</v>
      </c>
      <c r="K42" s="56">
        <f t="shared" si="7"/>
        <v>50</v>
      </c>
      <c r="L42" s="80">
        <f t="shared" si="8"/>
        <v>1</v>
      </c>
      <c r="M42" s="80">
        <f>((L44-L45)/(K44-K45))*(I42-K44)+L44</f>
        <v>0.99726263386727987</v>
      </c>
      <c r="N42" s="44"/>
      <c r="O42" s="120">
        <f t="shared" si="9"/>
        <v>1</v>
      </c>
      <c r="P42" s="111"/>
      <c r="Q42" s="118">
        <f t="shared" si="10"/>
        <v>0.99726263386727987</v>
      </c>
      <c r="R42" s="119"/>
    </row>
    <row r="43" spans="2:29">
      <c r="B43">
        <v>3000</v>
      </c>
      <c r="C43">
        <v>0.59</v>
      </c>
      <c r="I43" s="56">
        <f t="shared" si="5"/>
        <v>10</v>
      </c>
      <c r="J43" s="80">
        <f t="shared" si="6"/>
        <v>1</v>
      </c>
      <c r="K43" s="56">
        <f t="shared" si="7"/>
        <v>37.5</v>
      </c>
      <c r="L43" s="80">
        <f t="shared" si="8"/>
        <v>1</v>
      </c>
      <c r="M43" s="80">
        <f>((L46-L47)/(K46-K47))*(I43-K46)+L46</f>
        <v>0.96715160640735898</v>
      </c>
      <c r="N43" s="44"/>
      <c r="O43" s="120">
        <f t="shared" si="9"/>
        <v>1</v>
      </c>
      <c r="P43" s="111"/>
      <c r="Q43" s="118">
        <f t="shared" si="10"/>
        <v>0.96715160640735898</v>
      </c>
      <c r="R43" s="119"/>
    </row>
    <row r="44" spans="2:29">
      <c r="B44">
        <v>4000</v>
      </c>
      <c r="C44">
        <v>0.48</v>
      </c>
      <c r="I44" s="56">
        <f t="shared" si="5"/>
        <v>5</v>
      </c>
      <c r="J44" s="80">
        <f t="shared" si="6"/>
        <v>0.63</v>
      </c>
      <c r="K44" s="56">
        <f t="shared" si="7"/>
        <v>25</v>
      </c>
      <c r="L44" s="80">
        <f t="shared" si="8"/>
        <v>1</v>
      </c>
      <c r="M44" s="80">
        <f t="shared" ref="M44:M49" si="11">((L48-L49)/(K48-K49))*(I44-K48)+L48</f>
        <v>0.68625183829929748</v>
      </c>
      <c r="N44" s="44"/>
      <c r="O44" s="120">
        <f t="shared" si="9"/>
        <v>0.63</v>
      </c>
      <c r="P44" s="111"/>
      <c r="Q44" s="118">
        <f t="shared" si="10"/>
        <v>0.68625183829929748</v>
      </c>
      <c r="R44" s="119"/>
    </row>
    <row r="45" spans="2:29">
      <c r="I45" s="56">
        <f t="shared" si="5"/>
        <v>2.5</v>
      </c>
      <c r="J45" s="80">
        <f t="shared" si="6"/>
        <v>0.49000000000000005</v>
      </c>
      <c r="K45" s="56">
        <f t="shared" si="7"/>
        <v>19</v>
      </c>
      <c r="L45" s="80">
        <f t="shared" si="8"/>
        <v>0.99671516064073584</v>
      </c>
      <c r="M45" s="80">
        <f t="shared" si="11"/>
        <v>0.52144334633593614</v>
      </c>
      <c r="N45" s="44"/>
      <c r="O45" s="120">
        <f t="shared" si="9"/>
        <v>0.49000000000000005</v>
      </c>
      <c r="P45" s="111"/>
      <c r="Q45" s="118">
        <f t="shared" si="10"/>
        <v>0.52144334633593614</v>
      </c>
      <c r="R45" s="119"/>
    </row>
    <row r="46" spans="2:29">
      <c r="B46" t="s">
        <v>96</v>
      </c>
      <c r="C46">
        <f>(B44-B43)/(C44-C43)</f>
        <v>-9090.9090909090919</v>
      </c>
      <c r="I46" s="56">
        <f t="shared" si="5"/>
        <v>1.25</v>
      </c>
      <c r="J46" s="80">
        <f t="shared" si="6"/>
        <v>0.38</v>
      </c>
      <c r="K46" s="56">
        <f t="shared" si="7"/>
        <v>12.5</v>
      </c>
      <c r="L46" s="80">
        <f t="shared" si="8"/>
        <v>0.97372128512588718</v>
      </c>
      <c r="M46" s="80">
        <f t="shared" si="11"/>
        <v>0.36445743123611418</v>
      </c>
      <c r="N46" s="44"/>
      <c r="O46" s="120">
        <f t="shared" si="9"/>
        <v>0.38</v>
      </c>
      <c r="P46" s="111"/>
      <c r="Q46" s="118">
        <f t="shared" si="10"/>
        <v>0.36445743123611418</v>
      </c>
      <c r="R46" s="119"/>
    </row>
    <row r="47" spans="2:29">
      <c r="I47" s="56">
        <f t="shared" si="5"/>
        <v>0.63</v>
      </c>
      <c r="J47" s="80">
        <f t="shared" si="6"/>
        <v>0.27666666666666667</v>
      </c>
      <c r="K47" s="56">
        <f t="shared" si="7"/>
        <v>9.5</v>
      </c>
      <c r="L47" s="80">
        <f t="shared" si="8"/>
        <v>0.96583767066365334</v>
      </c>
      <c r="M47" s="80">
        <f t="shared" si="11"/>
        <v>0.25757773056736794</v>
      </c>
      <c r="N47" s="44"/>
      <c r="O47" s="120">
        <f t="shared" si="9"/>
        <v>0.27666666666666667</v>
      </c>
      <c r="P47" s="111"/>
      <c r="Q47" s="118">
        <f t="shared" si="10"/>
        <v>0.25757773056736794</v>
      </c>
      <c r="R47" s="119"/>
    </row>
    <row r="48" spans="2:29">
      <c r="B48" t="s">
        <v>97</v>
      </c>
      <c r="C48">
        <f>(C38-B43)/C46+C43</f>
        <v>0.53199434239999999</v>
      </c>
      <c r="I48" s="56">
        <f t="shared" si="5"/>
        <v>0.315</v>
      </c>
      <c r="J48" s="80">
        <f t="shared" si="6"/>
        <v>0.14666666666666667</v>
      </c>
      <c r="K48" s="56">
        <f t="shared" si="7"/>
        <v>6.3</v>
      </c>
      <c r="L48" s="80">
        <f t="shared" si="8"/>
        <v>0.91007044173918561</v>
      </c>
      <c r="M48" s="80">
        <f t="shared" si="11"/>
        <v>0.10137189859039691</v>
      </c>
      <c r="N48" s="44"/>
      <c r="O48" s="120">
        <f t="shared" si="9"/>
        <v>0.14666666666666667</v>
      </c>
      <c r="P48" s="111"/>
      <c r="Q48" s="118">
        <f t="shared" si="10"/>
        <v>0.10137189859039691</v>
      </c>
      <c r="R48" s="119"/>
    </row>
    <row r="49" spans="2:18">
      <c r="I49" s="56">
        <f t="shared" si="5"/>
        <v>0.16</v>
      </c>
      <c r="J49" s="80">
        <f t="shared" si="6"/>
        <v>6.6666666666666666E-2</v>
      </c>
      <c r="K49" s="56">
        <f t="shared" si="7"/>
        <v>4.75</v>
      </c>
      <c r="L49" s="80">
        <f t="shared" si="8"/>
        <v>0.6432097991762421</v>
      </c>
      <c r="M49" s="80">
        <f t="shared" si="11"/>
        <v>4.1109341363847599E-2</v>
      </c>
      <c r="N49" s="44"/>
      <c r="O49" s="120">
        <f t="shared" si="9"/>
        <v>6.6666666666666666E-2</v>
      </c>
      <c r="P49" s="111"/>
      <c r="Q49" s="118">
        <f t="shared" si="10"/>
        <v>4.1109341363847599E-2</v>
      </c>
      <c r="R49" s="119"/>
    </row>
    <row r="50" spans="2:18">
      <c r="B50" s="103" t="s">
        <v>100</v>
      </c>
      <c r="C50" s="104"/>
      <c r="D50" s="105"/>
      <c r="I50" s="56"/>
      <c r="J50" s="80"/>
      <c r="K50" s="56">
        <f t="shared" si="7"/>
        <v>2.36</v>
      </c>
      <c r="L50" s="80">
        <f t="shared" si="8"/>
        <v>0.51386676704809486</v>
      </c>
      <c r="M50" s="56"/>
      <c r="N50" s="44"/>
      <c r="O50" s="44"/>
      <c r="P50" s="44"/>
      <c r="Q50" s="67"/>
      <c r="R50" s="67"/>
    </row>
    <row r="51" spans="2:18">
      <c r="I51" s="56"/>
      <c r="J51" s="80"/>
      <c r="K51" s="56">
        <f t="shared" si="7"/>
        <v>1.18</v>
      </c>
      <c r="L51" s="80">
        <f t="shared" si="8"/>
        <v>0.35503522086959283</v>
      </c>
      <c r="M51" s="56"/>
      <c r="N51" s="44"/>
      <c r="O51" s="111" t="s">
        <v>78</v>
      </c>
      <c r="P51" s="111"/>
      <c r="Q51" s="67"/>
      <c r="R51" s="67"/>
    </row>
    <row r="52" spans="2:18">
      <c r="C52" t="s">
        <v>98</v>
      </c>
      <c r="D52" t="s">
        <v>99</v>
      </c>
      <c r="I52" s="56"/>
      <c r="J52" s="80"/>
      <c r="K52" s="56">
        <f t="shared" si="7"/>
        <v>0.6</v>
      </c>
      <c r="L52" s="80">
        <f t="shared" si="8"/>
        <v>0.25226186745997387</v>
      </c>
      <c r="M52" s="56"/>
      <c r="N52" s="44"/>
      <c r="O52" s="111">
        <f>SUMX2MY2(O41:P50,Q41:R50)</f>
        <v>-1.4859300770404121E-6</v>
      </c>
      <c r="P52" s="111"/>
      <c r="Q52" s="67"/>
      <c r="R52" s="67"/>
    </row>
    <row r="53" spans="2:18">
      <c r="B53" t="s">
        <v>26</v>
      </c>
      <c r="C53">
        <v>0.4</v>
      </c>
      <c r="D53">
        <v>0.6</v>
      </c>
      <c r="I53" s="56"/>
      <c r="J53" s="80"/>
      <c r="K53" s="56">
        <f t="shared" si="7"/>
        <v>0.3</v>
      </c>
      <c r="L53" s="80">
        <f t="shared" si="8"/>
        <v>9.3430321281471801E-2</v>
      </c>
      <c r="M53" s="56"/>
      <c r="N53" s="44"/>
      <c r="O53" s="44"/>
      <c r="P53" s="44"/>
      <c r="Q53" s="67"/>
      <c r="R53" s="67"/>
    </row>
    <row r="54" spans="2:18">
      <c r="I54" s="56"/>
      <c r="J54" s="56"/>
      <c r="K54" s="56">
        <f t="shared" si="7"/>
        <v>0.15</v>
      </c>
      <c r="L54" s="80">
        <f t="shared" si="8"/>
        <v>3.7372128512588719E-2</v>
      </c>
      <c r="M54" s="56"/>
      <c r="N54" s="44"/>
      <c r="O54" s="44"/>
      <c r="P54" s="44"/>
      <c r="Q54" s="67"/>
      <c r="R54" s="67"/>
    </row>
    <row r="55" spans="2:18">
      <c r="B55" s="103" t="s">
        <v>101</v>
      </c>
      <c r="C55" s="104"/>
      <c r="D55" s="105"/>
    </row>
    <row r="57" spans="2:18">
      <c r="B57" t="s">
        <v>97</v>
      </c>
      <c r="C57">
        <f>C48</f>
        <v>0.53199434239999999</v>
      </c>
      <c r="I57" s="106" t="s">
        <v>114</v>
      </c>
      <c r="J57" s="107"/>
      <c r="K57" s="107"/>
      <c r="L57" s="107"/>
      <c r="M57" s="107"/>
      <c r="N57" s="107"/>
      <c r="O57" s="107"/>
      <c r="P57" s="107"/>
    </row>
    <row r="58" spans="2:18" ht="49" customHeight="1">
      <c r="B58" t="s">
        <v>108</v>
      </c>
      <c r="C58">
        <v>300</v>
      </c>
      <c r="D58" t="s">
        <v>103</v>
      </c>
      <c r="E58" t="s">
        <v>104</v>
      </c>
      <c r="I58" s="59" t="s">
        <v>111</v>
      </c>
      <c r="J58" s="89" t="s">
        <v>112</v>
      </c>
      <c r="K58" s="89" t="s">
        <v>119</v>
      </c>
      <c r="L58" s="89" t="s">
        <v>113</v>
      </c>
      <c r="M58" s="89" t="s">
        <v>120</v>
      </c>
      <c r="N58" s="89" t="s">
        <v>121</v>
      </c>
      <c r="O58" s="89" t="s">
        <v>128</v>
      </c>
      <c r="P58" s="89" t="s">
        <v>123</v>
      </c>
      <c r="Q58" s="68"/>
      <c r="R58" s="68"/>
    </row>
    <row r="59" spans="2:18">
      <c r="B59" t="s">
        <v>102</v>
      </c>
      <c r="C59">
        <f>C58/C57</f>
        <v>563.9157714471213</v>
      </c>
      <c r="D59" t="s">
        <v>103</v>
      </c>
      <c r="I59" s="101" t="s">
        <v>115</v>
      </c>
      <c r="J59" s="97">
        <f>C65</f>
        <v>334.55769322106238</v>
      </c>
      <c r="K59" s="97"/>
      <c r="L59" s="100" t="s">
        <v>69</v>
      </c>
      <c r="M59" s="97"/>
      <c r="N59" s="100"/>
      <c r="O59" s="102"/>
      <c r="P59" s="137">
        <f>J59</f>
        <v>334.55769322106238</v>
      </c>
    </row>
    <row r="60" spans="2:18">
      <c r="I60" s="90" t="s">
        <v>116</v>
      </c>
      <c r="J60">
        <f>C64</f>
        <v>177.9828</v>
      </c>
      <c r="L60" s="44" t="s">
        <v>69</v>
      </c>
      <c r="M60" s="44">
        <f>L61+J60</f>
        <v>200.54148443246262</v>
      </c>
      <c r="N60" s="44"/>
      <c r="O60" s="44">
        <f>-L61</f>
        <v>-22.55868443246262</v>
      </c>
      <c r="P60" s="140">
        <f>M60+O61</f>
        <v>85.278007119583819</v>
      </c>
    </row>
    <row r="61" spans="2:18">
      <c r="B61" s="103" t="s">
        <v>105</v>
      </c>
      <c r="C61" s="104"/>
      <c r="D61" s="105"/>
      <c r="I61" s="90" t="s">
        <v>117</v>
      </c>
      <c r="J61" s="44" t="s">
        <v>69</v>
      </c>
      <c r="K61" s="44"/>
      <c r="L61" s="93">
        <f>-SUM(L62:L65)</f>
        <v>22.55868443246262</v>
      </c>
      <c r="M61" s="93"/>
      <c r="N61" s="93"/>
      <c r="O61" s="96">
        <f>-SUM(O62:O64)</f>
        <v>-115.26347731287881</v>
      </c>
      <c r="P61" s="138"/>
    </row>
    <row r="62" spans="2:18">
      <c r="I62" s="90" t="s">
        <v>35</v>
      </c>
      <c r="J62">
        <f>C67</f>
        <v>0</v>
      </c>
      <c r="K62" s="95">
        <f>D16</f>
        <v>1.2999999999999999E-2</v>
      </c>
      <c r="L62">
        <f>-(J62*K62)/(K62+1)</f>
        <v>0</v>
      </c>
      <c r="M62" s="95">
        <f>D17</f>
        <v>0.04</v>
      </c>
      <c r="N62" s="96">
        <f>J62/(K62+1)</f>
        <v>0</v>
      </c>
      <c r="O62" s="96">
        <f>N62*M62</f>
        <v>0</v>
      </c>
      <c r="P62" s="140">
        <f>N62+O62</f>
        <v>0</v>
      </c>
    </row>
    <row r="63" spans="2:18">
      <c r="B63" s="59" t="s">
        <v>106</v>
      </c>
      <c r="C63" s="59">
        <f>(C65/2810)+(C64/1000) +((C66*C27)/D19)+((C66*C28)/E19)+((C66*C29)/F19)</f>
        <v>1</v>
      </c>
      <c r="D63" s="59" t="s">
        <v>107</v>
      </c>
      <c r="I63" s="90" t="s">
        <v>32</v>
      </c>
      <c r="J63">
        <f t="shared" ref="J63:J64" si="12">C68</f>
        <v>124.98479061862533</v>
      </c>
      <c r="K63" s="95">
        <f>E16</f>
        <v>1.2E-2</v>
      </c>
      <c r="L63">
        <f t="shared" ref="L63:L64" si="13">-(J63*K63)/(K63+1)</f>
        <v>-1.4820330903394308</v>
      </c>
      <c r="M63" s="95">
        <f>E17</f>
        <v>0.08</v>
      </c>
      <c r="N63" s="96">
        <f t="shared" ref="N63:N64" si="14">J63/(K63+1)</f>
        <v>123.5027575282859</v>
      </c>
      <c r="O63" s="96">
        <f>N63*M63</f>
        <v>9.880220602262872</v>
      </c>
      <c r="P63" s="140">
        <f t="shared" ref="P63:P64" si="15">N63+O63</f>
        <v>133.38297813054876</v>
      </c>
    </row>
    <row r="64" spans="2:18">
      <c r="B64" s="59" t="s">
        <v>108</v>
      </c>
      <c r="C64" s="59">
        <f>C58*0.593276</f>
        <v>177.9828</v>
      </c>
      <c r="D64" s="59" t="s">
        <v>109</v>
      </c>
      <c r="I64" s="90" t="s">
        <v>29</v>
      </c>
      <c r="J64">
        <f t="shared" si="12"/>
        <v>1777.4642631857221</v>
      </c>
      <c r="K64" s="95">
        <f>F16</f>
        <v>1.2E-2</v>
      </c>
      <c r="L64">
        <f t="shared" si="13"/>
        <v>-21.076651342123188</v>
      </c>
      <c r="M64" s="95">
        <f>F17</f>
        <v>0.06</v>
      </c>
      <c r="N64" s="96">
        <f t="shared" si="14"/>
        <v>1756.387611843599</v>
      </c>
      <c r="O64" s="96">
        <f t="shared" ref="O64" si="16">N64*M64</f>
        <v>105.38325671061594</v>
      </c>
      <c r="P64" s="140">
        <f t="shared" si="15"/>
        <v>1861.770868554215</v>
      </c>
    </row>
    <row r="65" spans="2:16">
      <c r="B65" s="59" t="s">
        <v>102</v>
      </c>
      <c r="C65" s="59">
        <f>C59*0.593276</f>
        <v>334.55769322106238</v>
      </c>
      <c r="D65" s="59" t="s">
        <v>109</v>
      </c>
      <c r="I65" s="91" t="s">
        <v>118</v>
      </c>
      <c r="J65" s="92">
        <f>C64+C65+C67+C68+C69</f>
        <v>2414.9895470254096</v>
      </c>
      <c r="K65" s="92"/>
      <c r="L65" s="94" t="s">
        <v>69</v>
      </c>
      <c r="M65" s="94"/>
      <c r="N65" s="98"/>
      <c r="O65" s="99">
        <f>-O59</f>
        <v>0</v>
      </c>
      <c r="P65" s="139">
        <f>SUM(P59:P64)</f>
        <v>2414.98954702541</v>
      </c>
    </row>
    <row r="66" spans="2:16">
      <c r="B66" s="64" t="s">
        <v>110</v>
      </c>
      <c r="C66" s="64">
        <v>1902.4490538043474</v>
      </c>
      <c r="D66" s="64" t="s">
        <v>109</v>
      </c>
    </row>
    <row r="67" spans="2:16">
      <c r="B67" s="59" t="s">
        <v>35</v>
      </c>
      <c r="C67" s="59">
        <f>$C$66*C27</f>
        <v>0</v>
      </c>
      <c r="D67" s="59" t="s">
        <v>109</v>
      </c>
    </row>
    <row r="68" spans="2:16">
      <c r="B68" s="59" t="s">
        <v>32</v>
      </c>
      <c r="C68" s="59">
        <f t="shared" ref="C68:C69" si="17">$C$66*C28</f>
        <v>124.98479061862533</v>
      </c>
      <c r="D68" s="59" t="s">
        <v>109</v>
      </c>
    </row>
    <row r="69" spans="2:16">
      <c r="B69" s="59" t="s">
        <v>29</v>
      </c>
      <c r="C69" s="59">
        <f t="shared" si="17"/>
        <v>1777.4642631857221</v>
      </c>
      <c r="D69" s="59" t="s">
        <v>109</v>
      </c>
    </row>
  </sheetData>
  <mergeCells count="58">
    <mergeCell ref="B3:B12"/>
    <mergeCell ref="I3:J3"/>
    <mergeCell ref="K3:L3"/>
    <mergeCell ref="N3:O3"/>
    <mergeCell ref="Q3:R3"/>
    <mergeCell ref="I20:J20"/>
    <mergeCell ref="I21:J21"/>
    <mergeCell ref="K2:M2"/>
    <mergeCell ref="N2:P2"/>
    <mergeCell ref="Q2:S2"/>
    <mergeCell ref="C21:D21"/>
    <mergeCell ref="C22:D22"/>
    <mergeCell ref="C23:D23"/>
    <mergeCell ref="C24:D24"/>
    <mergeCell ref="B16:C16"/>
    <mergeCell ref="B17:C17"/>
    <mergeCell ref="B18:C18"/>
    <mergeCell ref="B19:C19"/>
    <mergeCell ref="O44:P44"/>
    <mergeCell ref="V24:X24"/>
    <mergeCell ref="I38:M38"/>
    <mergeCell ref="C26:D26"/>
    <mergeCell ref="C27:D27"/>
    <mergeCell ref="C28:D28"/>
    <mergeCell ref="C29:D29"/>
    <mergeCell ref="O38:R38"/>
    <mergeCell ref="I24:U24"/>
    <mergeCell ref="C30:D30"/>
    <mergeCell ref="B33:D33"/>
    <mergeCell ref="B40:D41"/>
    <mergeCell ref="B50:D50"/>
    <mergeCell ref="Q45:R45"/>
    <mergeCell ref="Q46:R46"/>
    <mergeCell ref="Q47:R47"/>
    <mergeCell ref="Q48:R48"/>
    <mergeCell ref="Q49:R49"/>
    <mergeCell ref="Q39:R39"/>
    <mergeCell ref="Q40:R40"/>
    <mergeCell ref="Q41:R41"/>
    <mergeCell ref="Q42:R42"/>
    <mergeCell ref="Q43:R43"/>
    <mergeCell ref="Q44:R44"/>
    <mergeCell ref="O45:P45"/>
    <mergeCell ref="B55:D55"/>
    <mergeCell ref="B61:D61"/>
    <mergeCell ref="I57:P57"/>
    <mergeCell ref="C31:D31"/>
    <mergeCell ref="O51:P51"/>
    <mergeCell ref="O52:P52"/>
    <mergeCell ref="O46:P46"/>
    <mergeCell ref="O47:P47"/>
    <mergeCell ref="O48:P48"/>
    <mergeCell ref="O49:P49"/>
    <mergeCell ref="O39:P39"/>
    <mergeCell ref="O40:P40"/>
    <mergeCell ref="O41:P41"/>
    <mergeCell ref="O42:P42"/>
    <mergeCell ref="O43:P43"/>
  </mergeCells>
  <phoneticPr fontId="1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98C4-E297-484C-A749-151FAC4AAD3C}">
  <dimension ref="B1:AD69"/>
  <sheetViews>
    <sheetView zoomScale="50" workbookViewId="0">
      <selection activeCell="S51" sqref="S51"/>
    </sheetView>
  </sheetViews>
  <sheetFormatPr baseColWidth="10" defaultRowHeight="16"/>
  <cols>
    <col min="2" max="2" width="13.83203125" bestFit="1" customWidth="1"/>
    <col min="3" max="3" width="25.83203125" bestFit="1" customWidth="1"/>
    <col min="4" max="4" width="16.33203125" bestFit="1" customWidth="1"/>
    <col min="5" max="5" width="12.1640625" bestFit="1" customWidth="1"/>
    <col min="6" max="6" width="9.1640625" bestFit="1" customWidth="1"/>
    <col min="7" max="7" width="10.83203125" customWidth="1"/>
    <col min="9" max="9" width="18.83203125" customWidth="1"/>
    <col min="10" max="10" width="16.83203125" customWidth="1"/>
    <col min="11" max="11" width="9.33203125" bestFit="1" customWidth="1"/>
    <col min="12" max="12" width="18.33203125" bestFit="1" customWidth="1"/>
    <col min="13" max="13" width="12.5" bestFit="1" customWidth="1"/>
    <col min="14" max="14" width="9.6640625" bestFit="1" customWidth="1"/>
    <col min="15" max="15" width="13" bestFit="1" customWidth="1"/>
    <col min="16" max="16" width="17.33203125" bestFit="1" customWidth="1"/>
    <col min="17" max="17" width="5.5" bestFit="1" customWidth="1"/>
    <col min="18" max="18" width="5.83203125" bestFit="1" customWidth="1"/>
    <col min="19" max="19" width="9.6640625" bestFit="1" customWidth="1"/>
    <col min="20" max="20" width="18.1640625" bestFit="1" customWidth="1"/>
    <col min="21" max="21" width="17.1640625" bestFit="1" customWidth="1"/>
    <col min="22" max="25" width="5.83203125" bestFit="1" customWidth="1"/>
    <col min="27" max="27" width="8.33203125" bestFit="1" customWidth="1"/>
  </cols>
  <sheetData>
    <row r="1" spans="2:2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2:21">
      <c r="B2" s="1"/>
      <c r="C2" s="2"/>
      <c r="D2" s="1"/>
      <c r="F2" s="1"/>
      <c r="I2" s="3"/>
      <c r="J2" s="3"/>
      <c r="K2" s="127" t="s">
        <v>0</v>
      </c>
      <c r="L2" s="128"/>
      <c r="M2" s="126"/>
      <c r="N2" s="129" t="s">
        <v>1</v>
      </c>
      <c r="O2" s="128"/>
      <c r="P2" s="126"/>
      <c r="Q2" s="130" t="s">
        <v>2</v>
      </c>
      <c r="R2" s="128"/>
      <c r="S2" s="126"/>
      <c r="T2" s="69" t="s">
        <v>76</v>
      </c>
      <c r="U2" s="71" t="s">
        <v>77</v>
      </c>
    </row>
    <row r="3" spans="2:21">
      <c r="B3" s="131" t="s">
        <v>3</v>
      </c>
      <c r="C3" s="4" t="s">
        <v>4</v>
      </c>
      <c r="D3" s="5" t="s">
        <v>5</v>
      </c>
      <c r="F3" s="1"/>
      <c r="I3" s="134" t="s">
        <v>6</v>
      </c>
      <c r="J3" s="126"/>
      <c r="K3" s="135" t="s">
        <v>7</v>
      </c>
      <c r="L3" s="126"/>
      <c r="M3" s="6" t="s">
        <v>8</v>
      </c>
      <c r="N3" s="129" t="s">
        <v>7</v>
      </c>
      <c r="O3" s="126"/>
      <c r="P3" s="7" t="s">
        <v>8</v>
      </c>
      <c r="Q3" s="130" t="s">
        <v>7</v>
      </c>
      <c r="R3" s="126"/>
      <c r="S3" s="8" t="s">
        <v>8</v>
      </c>
      <c r="T3" s="69" t="s">
        <v>8</v>
      </c>
      <c r="U3" s="72" t="str">
        <f>T3</f>
        <v>PASA</v>
      </c>
    </row>
    <row r="4" spans="2:21">
      <c r="B4" s="132"/>
      <c r="C4" s="4" t="s">
        <v>9</v>
      </c>
      <c r="D4" s="9">
        <v>0.01</v>
      </c>
      <c r="F4" s="1"/>
      <c r="I4" s="10" t="s">
        <v>10</v>
      </c>
      <c r="J4" s="11" t="s">
        <v>11</v>
      </c>
      <c r="K4" s="12" t="s">
        <v>12</v>
      </c>
      <c r="L4" s="6" t="s">
        <v>13</v>
      </c>
      <c r="M4" s="6" t="s">
        <v>13</v>
      </c>
      <c r="N4" s="7" t="s">
        <v>12</v>
      </c>
      <c r="O4" s="7" t="s">
        <v>13</v>
      </c>
      <c r="P4" s="7" t="s">
        <v>13</v>
      </c>
      <c r="Q4" s="8" t="s">
        <v>12</v>
      </c>
      <c r="R4" s="8" t="s">
        <v>13</v>
      </c>
      <c r="S4" s="8" t="s">
        <v>13</v>
      </c>
      <c r="T4" s="69" t="s">
        <v>13</v>
      </c>
      <c r="U4" s="72" t="str">
        <f>T4</f>
        <v>[%]</v>
      </c>
    </row>
    <row r="5" spans="2:21">
      <c r="B5" s="132"/>
      <c r="C5" s="4" t="s">
        <v>14</v>
      </c>
      <c r="D5" s="5">
        <v>9.5</v>
      </c>
      <c r="F5" s="1"/>
      <c r="I5" s="13">
        <v>75</v>
      </c>
      <c r="J5" s="14" t="s">
        <v>15</v>
      </c>
      <c r="K5" s="15">
        <v>0</v>
      </c>
      <c r="L5" s="16">
        <v>0</v>
      </c>
      <c r="M5" s="16">
        <v>1</v>
      </c>
      <c r="N5" s="17">
        <v>0</v>
      </c>
      <c r="O5" s="16">
        <v>0</v>
      </c>
      <c r="P5" s="16">
        <v>1</v>
      </c>
      <c r="Q5" s="17">
        <v>0</v>
      </c>
      <c r="R5" s="16">
        <v>0</v>
      </c>
      <c r="S5" s="16">
        <v>1</v>
      </c>
      <c r="T5" s="70">
        <f t="shared" ref="T5:T19" si="0">$C$22*M5+$C$23*P5+$C$24*S5</f>
        <v>1</v>
      </c>
      <c r="U5" s="58">
        <f>$C$27*M5+$C$28*P5+$C$29*S5</f>
        <v>1.0000000130881068</v>
      </c>
    </row>
    <row r="6" spans="2:21" ht="27" customHeight="1">
      <c r="B6" s="132"/>
      <c r="C6" s="45" t="s">
        <v>16</v>
      </c>
      <c r="D6" s="46" t="s">
        <v>17</v>
      </c>
      <c r="F6" s="1"/>
      <c r="I6" s="13">
        <v>63</v>
      </c>
      <c r="J6" s="14" t="s">
        <v>18</v>
      </c>
      <c r="K6" s="15">
        <v>0</v>
      </c>
      <c r="L6" s="16">
        <v>0</v>
      </c>
      <c r="M6" s="16">
        <v>1</v>
      </c>
      <c r="N6" s="17">
        <v>0</v>
      </c>
      <c r="O6" s="16">
        <v>0</v>
      </c>
      <c r="P6" s="16">
        <v>1</v>
      </c>
      <c r="Q6" s="17">
        <v>0</v>
      </c>
      <c r="R6" s="16">
        <v>0</v>
      </c>
      <c r="S6" s="16">
        <v>1</v>
      </c>
      <c r="T6" s="70">
        <f t="shared" si="0"/>
        <v>1</v>
      </c>
      <c r="U6" s="58">
        <f t="shared" ref="U6:U18" si="1">$C$27*M6+$C$28*P6+$C$29*S6</f>
        <v>1.0000000130881068</v>
      </c>
    </row>
    <row r="7" spans="2:21">
      <c r="B7" s="132"/>
      <c r="C7" s="4" t="s">
        <v>19</v>
      </c>
      <c r="D7" s="5" t="s">
        <v>20</v>
      </c>
      <c r="F7" s="1"/>
      <c r="I7" s="13">
        <v>50</v>
      </c>
      <c r="J7" s="14" t="s">
        <v>21</v>
      </c>
      <c r="K7" s="15">
        <v>0</v>
      </c>
      <c r="L7" s="16">
        <v>0</v>
      </c>
      <c r="M7" s="16">
        <v>1</v>
      </c>
      <c r="N7" s="17">
        <v>0</v>
      </c>
      <c r="O7" s="16">
        <v>0</v>
      </c>
      <c r="P7" s="16">
        <v>1</v>
      </c>
      <c r="Q7" s="17">
        <v>0</v>
      </c>
      <c r="R7" s="16">
        <v>0</v>
      </c>
      <c r="S7" s="16">
        <v>1</v>
      </c>
      <c r="T7" s="70">
        <f t="shared" si="0"/>
        <v>1</v>
      </c>
      <c r="U7" s="58">
        <f t="shared" si="1"/>
        <v>1.0000000130881068</v>
      </c>
    </row>
    <row r="8" spans="2:21">
      <c r="B8" s="132"/>
      <c r="C8" s="4" t="s">
        <v>22</v>
      </c>
      <c r="D8" s="5" t="s">
        <v>23</v>
      </c>
      <c r="F8" s="1"/>
      <c r="I8" s="13">
        <v>37.5</v>
      </c>
      <c r="J8" s="18" t="s">
        <v>24</v>
      </c>
      <c r="K8" s="19">
        <v>60</v>
      </c>
      <c r="L8" s="20">
        <v>0.06</v>
      </c>
      <c r="M8" s="16">
        <v>0.94</v>
      </c>
      <c r="N8" s="17">
        <v>0</v>
      </c>
      <c r="O8" s="16">
        <v>0</v>
      </c>
      <c r="P8" s="16">
        <v>1</v>
      </c>
      <c r="Q8" s="17">
        <v>0</v>
      </c>
      <c r="R8" s="16">
        <v>0</v>
      </c>
      <c r="S8" s="16">
        <v>1</v>
      </c>
      <c r="T8" s="70">
        <f t="shared" si="0"/>
        <v>0.98799999999999999</v>
      </c>
      <c r="U8" s="58">
        <f t="shared" si="1"/>
        <v>1.0000000130881068</v>
      </c>
    </row>
    <row r="9" spans="2:21">
      <c r="B9" s="132"/>
      <c r="C9" s="4" t="s">
        <v>25</v>
      </c>
      <c r="D9" s="5" t="s">
        <v>26</v>
      </c>
      <c r="F9" s="1"/>
      <c r="I9" s="13">
        <v>25</v>
      </c>
      <c r="J9" s="14" t="s">
        <v>27</v>
      </c>
      <c r="K9" s="15">
        <v>320</v>
      </c>
      <c r="L9" s="16">
        <v>0.32</v>
      </c>
      <c r="M9" s="16">
        <v>0.62</v>
      </c>
      <c r="N9" s="17">
        <v>0</v>
      </c>
      <c r="O9" s="16">
        <v>0</v>
      </c>
      <c r="P9" s="16">
        <v>1</v>
      </c>
      <c r="Q9" s="17">
        <v>0</v>
      </c>
      <c r="R9" s="16">
        <v>0</v>
      </c>
      <c r="S9" s="16">
        <v>1</v>
      </c>
      <c r="T9" s="70">
        <f t="shared" si="0"/>
        <v>0.92399999999999993</v>
      </c>
      <c r="U9" s="58">
        <f t="shared" si="1"/>
        <v>1.0000000130881068</v>
      </c>
    </row>
    <row r="10" spans="2:21">
      <c r="B10" s="132"/>
      <c r="C10" s="21" t="s">
        <v>28</v>
      </c>
      <c r="D10" s="22" t="s">
        <v>29</v>
      </c>
      <c r="F10" s="1"/>
      <c r="I10" s="13">
        <v>19</v>
      </c>
      <c r="J10" s="23" t="s">
        <v>30</v>
      </c>
      <c r="K10" s="24">
        <v>480</v>
      </c>
      <c r="L10" s="25">
        <v>0.48</v>
      </c>
      <c r="M10" s="25">
        <v>0.14000000000000001</v>
      </c>
      <c r="N10" s="26">
        <v>50</v>
      </c>
      <c r="O10" s="25">
        <v>0.05</v>
      </c>
      <c r="P10" s="16">
        <v>0.95</v>
      </c>
      <c r="Q10" s="17">
        <v>0</v>
      </c>
      <c r="R10" s="16">
        <v>0</v>
      </c>
      <c r="S10" s="16">
        <v>1</v>
      </c>
      <c r="T10" s="70">
        <f t="shared" si="0"/>
        <v>0.81299999999999994</v>
      </c>
      <c r="U10" s="58">
        <f t="shared" si="1"/>
        <v>0.99771866273379006</v>
      </c>
    </row>
    <row r="11" spans="2:21">
      <c r="B11" s="132"/>
      <c r="C11" s="21" t="s">
        <v>31</v>
      </c>
      <c r="D11" s="22" t="s">
        <v>32</v>
      </c>
      <c r="F11" s="1"/>
      <c r="I11" s="13">
        <v>12.5</v>
      </c>
      <c r="J11" s="14" t="s">
        <v>33</v>
      </c>
      <c r="K11" s="15">
        <v>60</v>
      </c>
      <c r="L11" s="16">
        <v>0.06</v>
      </c>
      <c r="M11" s="16">
        <v>0.08</v>
      </c>
      <c r="N11" s="17">
        <v>350</v>
      </c>
      <c r="O11" s="16">
        <v>0.35</v>
      </c>
      <c r="P11" s="16">
        <v>0.6</v>
      </c>
      <c r="Q11" s="17">
        <v>0</v>
      </c>
      <c r="R11" s="16">
        <v>0</v>
      </c>
      <c r="S11" s="16">
        <v>1</v>
      </c>
      <c r="T11" s="70">
        <f t="shared" si="0"/>
        <v>0.69599999999999995</v>
      </c>
      <c r="U11" s="58">
        <f t="shared" si="1"/>
        <v>0.98174921025357276</v>
      </c>
    </row>
    <row r="12" spans="2:21">
      <c r="B12" s="133"/>
      <c r="C12" s="21" t="s">
        <v>34</v>
      </c>
      <c r="D12" s="22" t="s">
        <v>35</v>
      </c>
      <c r="F12" s="1"/>
      <c r="I12" s="13">
        <v>9.5</v>
      </c>
      <c r="J12" s="14" t="s">
        <v>36</v>
      </c>
      <c r="K12" s="15">
        <v>80</v>
      </c>
      <c r="L12" s="16">
        <v>0.08</v>
      </c>
      <c r="M12" s="16">
        <v>0</v>
      </c>
      <c r="N12" s="17">
        <v>120</v>
      </c>
      <c r="O12" s="16">
        <v>0.12</v>
      </c>
      <c r="P12" s="16">
        <v>0.48</v>
      </c>
      <c r="Q12" s="17">
        <v>0</v>
      </c>
      <c r="R12" s="16">
        <v>0</v>
      </c>
      <c r="S12" s="16">
        <v>1</v>
      </c>
      <c r="T12" s="70">
        <f t="shared" si="0"/>
        <v>0.64400000000000002</v>
      </c>
      <c r="U12" s="58">
        <f t="shared" si="1"/>
        <v>0.97627396940321254</v>
      </c>
    </row>
    <row r="13" spans="2:21">
      <c r="B13" s="1"/>
      <c r="C13" s="1"/>
      <c r="D13" s="1"/>
      <c r="F13" s="1"/>
      <c r="I13" s="13">
        <v>6.3</v>
      </c>
      <c r="J13" s="27" t="s">
        <v>37</v>
      </c>
      <c r="K13" s="28">
        <v>0</v>
      </c>
      <c r="L13" s="29">
        <v>0</v>
      </c>
      <c r="M13" s="29">
        <v>0</v>
      </c>
      <c r="N13" s="30">
        <v>280</v>
      </c>
      <c r="O13" s="29">
        <v>0.28000000000000003</v>
      </c>
      <c r="P13" s="29">
        <v>0.2</v>
      </c>
      <c r="Q13" s="30">
        <v>40</v>
      </c>
      <c r="R13" s="29">
        <v>0.04</v>
      </c>
      <c r="S13" s="16">
        <v>0.96</v>
      </c>
      <c r="T13" s="70">
        <f t="shared" si="0"/>
        <v>0.54</v>
      </c>
      <c r="U13" s="58">
        <f t="shared" si="1"/>
        <v>0.92532348717896784</v>
      </c>
    </row>
    <row r="14" spans="2:21">
      <c r="B14" s="1"/>
      <c r="C14" s="1"/>
      <c r="D14" s="1"/>
      <c r="F14" s="1"/>
      <c r="I14" s="13">
        <v>4.75</v>
      </c>
      <c r="J14" s="14" t="s">
        <v>38</v>
      </c>
      <c r="K14" s="15">
        <v>0</v>
      </c>
      <c r="L14" s="16">
        <v>0</v>
      </c>
      <c r="M14" s="16">
        <v>0</v>
      </c>
      <c r="N14" s="17">
        <v>80</v>
      </c>
      <c r="O14" s="16">
        <v>0.08</v>
      </c>
      <c r="P14" s="16">
        <v>0.12</v>
      </c>
      <c r="Q14" s="17">
        <v>280</v>
      </c>
      <c r="R14" s="16">
        <v>0.28000000000000003</v>
      </c>
      <c r="S14" s="16">
        <v>0.68</v>
      </c>
      <c r="T14" s="70">
        <f t="shared" si="0"/>
        <v>0.376</v>
      </c>
      <c r="U14" s="58">
        <f t="shared" si="1"/>
        <v>0.65444888493156494</v>
      </c>
    </row>
    <row r="15" spans="2:21">
      <c r="B15" s="3"/>
      <c r="C15" s="3"/>
      <c r="D15" s="31" t="s">
        <v>0</v>
      </c>
      <c r="E15" s="32" t="s">
        <v>1</v>
      </c>
      <c r="F15" s="33" t="s">
        <v>2</v>
      </c>
      <c r="I15" s="13">
        <v>2.36</v>
      </c>
      <c r="J15" s="14" t="s">
        <v>39</v>
      </c>
      <c r="K15" s="15">
        <v>0</v>
      </c>
      <c r="L15" s="16">
        <v>0</v>
      </c>
      <c r="M15" s="16">
        <v>0</v>
      </c>
      <c r="N15" s="17">
        <v>120</v>
      </c>
      <c r="O15" s="16">
        <v>0.12</v>
      </c>
      <c r="P15" s="16">
        <v>0</v>
      </c>
      <c r="Q15" s="17">
        <v>130</v>
      </c>
      <c r="R15" s="16">
        <v>0.13</v>
      </c>
      <c r="S15" s="16">
        <v>0.55000000000000004</v>
      </c>
      <c r="T15" s="70">
        <f t="shared" si="0"/>
        <v>0.27500000000000002</v>
      </c>
      <c r="U15" s="58">
        <f t="shared" si="1"/>
        <v>0.52490515330097443</v>
      </c>
    </row>
    <row r="16" spans="2:21">
      <c r="B16" s="125" t="s">
        <v>40</v>
      </c>
      <c r="C16" s="126"/>
      <c r="D16" s="34">
        <v>1.2999999999999999E-2</v>
      </c>
      <c r="E16" s="34">
        <v>1.2E-2</v>
      </c>
      <c r="F16" s="34">
        <v>1.2E-2</v>
      </c>
      <c r="I16" s="13">
        <v>1.18</v>
      </c>
      <c r="J16" s="14" t="s">
        <v>41</v>
      </c>
      <c r="K16" s="15">
        <v>0</v>
      </c>
      <c r="L16" s="16">
        <v>0</v>
      </c>
      <c r="M16" s="16">
        <v>0</v>
      </c>
      <c r="N16" s="17">
        <v>0</v>
      </c>
      <c r="O16" s="16">
        <v>0</v>
      </c>
      <c r="P16" s="16">
        <v>0</v>
      </c>
      <c r="Q16" s="17">
        <v>170</v>
      </c>
      <c r="R16" s="16">
        <v>0.17</v>
      </c>
      <c r="S16" s="16">
        <v>0.38</v>
      </c>
      <c r="T16" s="70">
        <f t="shared" si="0"/>
        <v>0.19</v>
      </c>
      <c r="U16" s="58">
        <f t="shared" si="1"/>
        <v>0.36266174228067322</v>
      </c>
    </row>
    <row r="17" spans="2:30">
      <c r="B17" s="125" t="s">
        <v>42</v>
      </c>
      <c r="C17" s="126"/>
      <c r="D17" s="34">
        <v>0.04</v>
      </c>
      <c r="E17" s="34">
        <v>0.08</v>
      </c>
      <c r="F17" s="34">
        <v>0.06</v>
      </c>
      <c r="I17" s="13">
        <v>0.6</v>
      </c>
      <c r="J17" s="14" t="s">
        <v>43</v>
      </c>
      <c r="K17" s="15">
        <v>0</v>
      </c>
      <c r="L17" s="16">
        <v>0</v>
      </c>
      <c r="M17" s="16">
        <v>0</v>
      </c>
      <c r="N17" s="17">
        <v>0</v>
      </c>
      <c r="O17" s="16">
        <v>0</v>
      </c>
      <c r="P17" s="16">
        <v>0</v>
      </c>
      <c r="Q17" s="17">
        <v>110</v>
      </c>
      <c r="R17" s="16">
        <v>0.11</v>
      </c>
      <c r="S17" s="16">
        <v>0.27</v>
      </c>
      <c r="T17" s="70">
        <f t="shared" si="0"/>
        <v>0.13500000000000001</v>
      </c>
      <c r="U17" s="58">
        <f t="shared" si="1"/>
        <v>0.25768071162047834</v>
      </c>
    </row>
    <row r="18" spans="2:30">
      <c r="B18" s="125" t="s">
        <v>44</v>
      </c>
      <c r="C18" s="126"/>
      <c r="D18" s="17">
        <v>2.6</v>
      </c>
      <c r="E18" s="17">
        <v>2.8</v>
      </c>
      <c r="F18" s="17">
        <v>2.7</v>
      </c>
      <c r="I18" s="13">
        <v>0.3</v>
      </c>
      <c r="J18" s="14" t="s">
        <v>45</v>
      </c>
      <c r="K18" s="15">
        <v>0</v>
      </c>
      <c r="L18" s="16">
        <v>0</v>
      </c>
      <c r="M18" s="16">
        <v>0</v>
      </c>
      <c r="N18" s="17">
        <v>0</v>
      </c>
      <c r="O18" s="16">
        <v>0</v>
      </c>
      <c r="P18" s="16">
        <v>0</v>
      </c>
      <c r="Q18" s="17">
        <v>170</v>
      </c>
      <c r="R18" s="16">
        <v>0.17</v>
      </c>
      <c r="S18" s="16">
        <v>0.1</v>
      </c>
      <c r="T18" s="70">
        <f t="shared" si="0"/>
        <v>0.05</v>
      </c>
      <c r="U18" s="58">
        <f t="shared" si="1"/>
        <v>9.5437300600177175E-2</v>
      </c>
    </row>
    <row r="19" spans="2:30">
      <c r="B19" s="125" t="s">
        <v>46</v>
      </c>
      <c r="C19" s="126"/>
      <c r="D19" s="35">
        <f t="shared" ref="D19:F19" si="2">D18*1000</f>
        <v>2600</v>
      </c>
      <c r="E19" s="35">
        <f t="shared" si="2"/>
        <v>2800</v>
      </c>
      <c r="F19" s="35">
        <f t="shared" si="2"/>
        <v>2700</v>
      </c>
      <c r="I19" s="36">
        <v>0.15</v>
      </c>
      <c r="J19" s="37" t="s">
        <v>47</v>
      </c>
      <c r="K19" s="15">
        <v>0</v>
      </c>
      <c r="L19" s="16">
        <v>0</v>
      </c>
      <c r="M19" s="16">
        <v>0</v>
      </c>
      <c r="N19" s="17">
        <v>0</v>
      </c>
      <c r="O19" s="16">
        <v>0</v>
      </c>
      <c r="P19" s="16">
        <v>0</v>
      </c>
      <c r="Q19" s="17">
        <v>60</v>
      </c>
      <c r="R19" s="16">
        <v>0.06</v>
      </c>
      <c r="S19" s="16">
        <v>0.04</v>
      </c>
      <c r="T19" s="70">
        <f t="shared" si="0"/>
        <v>0.02</v>
      </c>
      <c r="U19" s="58">
        <f>$C$27*M19+$C$28*P19+$C$29*S19</f>
        <v>3.8174920240070867E-2</v>
      </c>
    </row>
    <row r="20" spans="2:30">
      <c r="I20" s="125" t="s">
        <v>48</v>
      </c>
      <c r="J20" s="126"/>
      <c r="K20" s="17">
        <v>0</v>
      </c>
      <c r="L20" s="38"/>
      <c r="M20" s="38"/>
      <c r="N20" s="15">
        <v>0</v>
      </c>
      <c r="O20" s="38"/>
      <c r="P20" s="38"/>
      <c r="Q20" s="15">
        <v>40</v>
      </c>
      <c r="R20" s="38"/>
      <c r="S20" s="3"/>
      <c r="T20" s="1"/>
      <c r="U20" s="1"/>
    </row>
    <row r="21" spans="2:30">
      <c r="C21" s="124" t="s">
        <v>72</v>
      </c>
      <c r="D21" s="124"/>
      <c r="F21" s="1"/>
      <c r="I21" s="125" t="s">
        <v>49</v>
      </c>
      <c r="J21" s="126"/>
      <c r="K21" s="17">
        <v>1000</v>
      </c>
      <c r="L21" s="3"/>
      <c r="M21" s="3"/>
      <c r="N21" s="39">
        <v>1000</v>
      </c>
      <c r="O21" s="3"/>
      <c r="P21" s="3"/>
      <c r="Q21" s="15">
        <v>1000</v>
      </c>
      <c r="R21" s="3"/>
      <c r="S21" s="3"/>
      <c r="T21" s="1"/>
      <c r="U21" s="1"/>
    </row>
    <row r="22" spans="2:30">
      <c r="B22" s="63" t="s">
        <v>35</v>
      </c>
      <c r="C22" s="108">
        <v>0.2</v>
      </c>
      <c r="D22" s="10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30">
      <c r="B23" s="61" t="s">
        <v>32</v>
      </c>
      <c r="C23" s="108">
        <v>0.3</v>
      </c>
      <c r="D23" s="108"/>
      <c r="E23" s="1"/>
      <c r="F23" s="1"/>
      <c r="G23" s="1"/>
      <c r="H23" s="1"/>
    </row>
    <row r="24" spans="2:30">
      <c r="B24" s="65" t="s">
        <v>29</v>
      </c>
      <c r="C24" s="108">
        <v>0.5</v>
      </c>
      <c r="D24" s="108"/>
      <c r="I24" s="122" t="s">
        <v>50</v>
      </c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10"/>
      <c r="W24" s="111"/>
      <c r="X24" s="111"/>
      <c r="Y24" s="48"/>
      <c r="Z24" s="81"/>
      <c r="AA24" s="56" t="s">
        <v>83</v>
      </c>
      <c r="AB24" s="81"/>
      <c r="AC24" s="81"/>
      <c r="AD24" s="81"/>
    </row>
    <row r="25" spans="2:30">
      <c r="D25" s="40"/>
      <c r="E25" s="40"/>
      <c r="F25" s="40"/>
      <c r="I25" s="82" t="s">
        <v>51</v>
      </c>
      <c r="J25" s="41" t="s">
        <v>52</v>
      </c>
      <c r="K25" s="41" t="s">
        <v>53</v>
      </c>
      <c r="L25" s="41" t="s">
        <v>54</v>
      </c>
      <c r="M25" s="41" t="s">
        <v>55</v>
      </c>
      <c r="N25" s="42" t="s">
        <v>56</v>
      </c>
      <c r="O25" s="42" t="s">
        <v>57</v>
      </c>
      <c r="P25" s="42" t="s">
        <v>58</v>
      </c>
      <c r="Q25" s="42" t="s">
        <v>59</v>
      </c>
      <c r="R25" s="43" t="s">
        <v>60</v>
      </c>
      <c r="S25" s="43" t="s">
        <v>61</v>
      </c>
      <c r="T25" s="43" t="s">
        <v>62</v>
      </c>
      <c r="U25" s="47" t="s">
        <v>63</v>
      </c>
      <c r="V25" s="49" t="s">
        <v>79</v>
      </c>
      <c r="W25" s="50" t="s">
        <v>80</v>
      </c>
      <c r="X25" s="51" t="s">
        <v>81</v>
      </c>
      <c r="Y25" s="51" t="s">
        <v>82</v>
      </c>
      <c r="AA25" s="88" t="s">
        <v>84</v>
      </c>
      <c r="AB25" s="75"/>
      <c r="AC25" s="75"/>
    </row>
    <row r="26" spans="2:30">
      <c r="C26" s="121" t="s">
        <v>71</v>
      </c>
      <c r="D26" s="121"/>
      <c r="E26" s="40"/>
      <c r="F26" s="40"/>
      <c r="I26" s="83">
        <v>80</v>
      </c>
      <c r="J26" s="73">
        <v>1</v>
      </c>
      <c r="K26" s="73">
        <v>1</v>
      </c>
      <c r="L26" s="73">
        <v>1</v>
      </c>
      <c r="M26" s="73">
        <v>1</v>
      </c>
      <c r="N26" s="73">
        <v>1</v>
      </c>
      <c r="O26" s="73">
        <v>1</v>
      </c>
      <c r="P26" s="73">
        <v>1</v>
      </c>
      <c r="Q26" s="73">
        <v>1</v>
      </c>
      <c r="R26" s="73">
        <v>1</v>
      </c>
      <c r="S26" s="73">
        <v>1</v>
      </c>
      <c r="T26" s="73">
        <v>1</v>
      </c>
      <c r="U26" s="73">
        <v>1</v>
      </c>
      <c r="V26" s="75">
        <v>1</v>
      </c>
      <c r="W26" s="75">
        <v>1</v>
      </c>
      <c r="X26" s="75">
        <v>1</v>
      </c>
      <c r="Y26" s="76">
        <v>1</v>
      </c>
      <c r="AA26" s="58">
        <f>AVERAGE(V26:Y26)</f>
        <v>1</v>
      </c>
      <c r="AB26" s="75"/>
      <c r="AC26" s="75"/>
    </row>
    <row r="27" spans="2:30">
      <c r="B27" s="64" t="str">
        <f>B22</f>
        <v>Grava 1</v>
      </c>
      <c r="C27" s="108">
        <v>0</v>
      </c>
      <c r="D27" s="108"/>
      <c r="E27" s="40"/>
      <c r="F27" s="40"/>
      <c r="I27" s="83">
        <v>40</v>
      </c>
      <c r="J27" s="73">
        <v>0.7</v>
      </c>
      <c r="K27" s="73">
        <v>0.8</v>
      </c>
      <c r="L27" s="73">
        <v>0.9</v>
      </c>
      <c r="M27" s="73">
        <v>0.3</v>
      </c>
      <c r="N27" s="73">
        <v>1</v>
      </c>
      <c r="O27" s="73">
        <v>1</v>
      </c>
      <c r="P27" s="73">
        <v>1</v>
      </c>
      <c r="Q27" s="73">
        <v>1</v>
      </c>
      <c r="R27" s="74">
        <v>1</v>
      </c>
      <c r="S27" s="74">
        <v>1</v>
      </c>
      <c r="T27" s="74">
        <v>1</v>
      </c>
      <c r="U27" s="74">
        <v>1</v>
      </c>
      <c r="V27" s="75">
        <v>1</v>
      </c>
      <c r="W27" s="75">
        <v>1</v>
      </c>
      <c r="X27" s="75">
        <v>1</v>
      </c>
      <c r="Y27" s="76">
        <v>1</v>
      </c>
      <c r="AA27" s="58">
        <f t="shared" ref="AA27:AA35" si="3">AVERAGE(V27:Y27)</f>
        <v>1</v>
      </c>
      <c r="AB27" s="75"/>
      <c r="AC27" s="75"/>
    </row>
    <row r="28" spans="2:30">
      <c r="B28" s="60" t="str">
        <f t="shared" ref="B28:B29" si="4">B23</f>
        <v>Gravilla 2</v>
      </c>
      <c r="C28" s="120">
        <v>4.5627007086335179E-2</v>
      </c>
      <c r="D28" s="120"/>
      <c r="I28" s="83">
        <v>20</v>
      </c>
      <c r="J28" s="73">
        <v>0.45</v>
      </c>
      <c r="K28" s="73">
        <v>0.65</v>
      </c>
      <c r="L28" s="73">
        <v>0.8</v>
      </c>
      <c r="M28" s="73">
        <v>0.3</v>
      </c>
      <c r="N28" s="73">
        <v>0.6</v>
      </c>
      <c r="O28" s="73">
        <v>0.8</v>
      </c>
      <c r="P28" s="73">
        <v>0.9</v>
      </c>
      <c r="Q28" s="73">
        <v>0.3</v>
      </c>
      <c r="R28" s="74">
        <v>1</v>
      </c>
      <c r="S28" s="74">
        <v>1</v>
      </c>
      <c r="T28" s="74">
        <v>1</v>
      </c>
      <c r="U28" s="74">
        <v>1</v>
      </c>
      <c r="V28" s="75">
        <v>1</v>
      </c>
      <c r="W28" s="75">
        <v>1</v>
      </c>
      <c r="X28" s="75">
        <v>1</v>
      </c>
      <c r="Y28" s="76">
        <v>1</v>
      </c>
      <c r="AA28" s="58">
        <f t="shared" si="3"/>
        <v>1</v>
      </c>
      <c r="AB28" s="75"/>
      <c r="AC28" s="75"/>
    </row>
    <row r="29" spans="2:30">
      <c r="B29" s="62" t="str">
        <f t="shared" si="4"/>
        <v>Arena 3</v>
      </c>
      <c r="C29" s="120">
        <v>0.95437300600177166</v>
      </c>
      <c r="D29" s="120"/>
      <c r="I29" s="83">
        <v>10</v>
      </c>
      <c r="J29" s="73">
        <v>0.3</v>
      </c>
      <c r="K29" s="73">
        <v>0.5</v>
      </c>
      <c r="L29" s="73">
        <v>0.7</v>
      </c>
      <c r="M29" s="73">
        <v>0.3</v>
      </c>
      <c r="N29" s="73">
        <v>0.4</v>
      </c>
      <c r="O29" s="73">
        <v>0.61</v>
      </c>
      <c r="P29" s="73">
        <v>0.8</v>
      </c>
      <c r="Q29" s="73">
        <v>0.3</v>
      </c>
      <c r="R29" s="74">
        <v>0.62</v>
      </c>
      <c r="S29" s="74">
        <v>0.77</v>
      </c>
      <c r="T29" s="74">
        <v>0.88</v>
      </c>
      <c r="U29" s="74">
        <v>0.3</v>
      </c>
      <c r="V29" s="75">
        <v>1</v>
      </c>
      <c r="W29" s="75">
        <v>1</v>
      </c>
      <c r="X29" s="75">
        <v>1</v>
      </c>
      <c r="Y29" s="55">
        <v>1</v>
      </c>
      <c r="AA29" s="58">
        <f t="shared" si="3"/>
        <v>1</v>
      </c>
      <c r="AB29" s="75"/>
      <c r="AC29" s="75"/>
    </row>
    <row r="30" spans="2:30">
      <c r="B30" s="59" t="s">
        <v>78</v>
      </c>
      <c r="C30" s="109">
        <v>1</v>
      </c>
      <c r="D30" s="109"/>
      <c r="I30" s="83">
        <v>5</v>
      </c>
      <c r="J30" s="73">
        <v>0.2</v>
      </c>
      <c r="K30" s="73">
        <v>0.4</v>
      </c>
      <c r="L30" s="73">
        <v>0.6</v>
      </c>
      <c r="M30" s="73">
        <v>0.3</v>
      </c>
      <c r="N30" s="73">
        <v>0.24</v>
      </c>
      <c r="O30" s="73">
        <v>0.48</v>
      </c>
      <c r="P30" s="73">
        <v>0.66</v>
      </c>
      <c r="Q30" s="73">
        <v>0.3</v>
      </c>
      <c r="R30" s="74">
        <v>0.37</v>
      </c>
      <c r="S30" s="74">
        <v>0.57999999999999996</v>
      </c>
      <c r="T30" s="74">
        <v>0.75</v>
      </c>
      <c r="U30" s="74">
        <v>0.3</v>
      </c>
      <c r="V30" s="75">
        <v>0.61</v>
      </c>
      <c r="W30" s="75">
        <v>0.74</v>
      </c>
      <c r="X30" s="75">
        <v>0.87</v>
      </c>
      <c r="Y30" s="55">
        <v>0.3</v>
      </c>
      <c r="AA30" s="58">
        <f t="shared" si="3"/>
        <v>0.63</v>
      </c>
      <c r="AB30" s="75"/>
      <c r="AC30" s="75"/>
    </row>
    <row r="31" spans="2:30">
      <c r="B31" s="59" t="s">
        <v>85</v>
      </c>
      <c r="C31" s="108">
        <f>SUM(C27:D29)</f>
        <v>1.0000000130881068</v>
      </c>
      <c r="D31" s="108"/>
      <c r="I31" s="83">
        <v>2.5</v>
      </c>
      <c r="J31" s="73">
        <v>0.12</v>
      </c>
      <c r="K31" s="73">
        <v>0.3</v>
      </c>
      <c r="L31" s="73">
        <v>0.5</v>
      </c>
      <c r="M31" s="73">
        <v>0</v>
      </c>
      <c r="N31" s="73">
        <v>0.15</v>
      </c>
      <c r="O31" s="73">
        <v>0.37</v>
      </c>
      <c r="P31" s="73">
        <v>0.55000000000000004</v>
      </c>
      <c r="Q31" s="73">
        <v>0</v>
      </c>
      <c r="R31" s="74">
        <v>0.22</v>
      </c>
      <c r="S31" s="74">
        <v>0.43</v>
      </c>
      <c r="T31" s="74">
        <v>0.63</v>
      </c>
      <c r="U31" s="74">
        <v>0.3</v>
      </c>
      <c r="V31" s="75">
        <v>0.37</v>
      </c>
      <c r="W31" s="75">
        <v>0.56000000000000005</v>
      </c>
      <c r="X31" s="75">
        <v>0.73</v>
      </c>
      <c r="Y31" s="55">
        <v>0.3</v>
      </c>
      <c r="AA31" s="58">
        <f t="shared" si="3"/>
        <v>0.49000000000000005</v>
      </c>
      <c r="AB31" s="75"/>
      <c r="AC31" s="75"/>
    </row>
    <row r="32" spans="2:30">
      <c r="I32" s="84">
        <v>1.25</v>
      </c>
      <c r="J32" s="73">
        <v>7.0000000000000007E-2</v>
      </c>
      <c r="K32" s="73">
        <v>0.25</v>
      </c>
      <c r="L32" s="73">
        <v>0.4</v>
      </c>
      <c r="M32" s="73">
        <v>0</v>
      </c>
      <c r="N32" s="73">
        <v>0.1</v>
      </c>
      <c r="O32" s="73">
        <v>0.28000000000000003</v>
      </c>
      <c r="P32" s="73">
        <v>0.42</v>
      </c>
      <c r="Q32" s="73">
        <v>0</v>
      </c>
      <c r="R32" s="74">
        <v>0.13</v>
      </c>
      <c r="S32" s="74">
        <v>0.33</v>
      </c>
      <c r="T32" s="74">
        <v>0.52</v>
      </c>
      <c r="U32" s="73">
        <v>0</v>
      </c>
      <c r="V32" s="75">
        <v>0.22</v>
      </c>
      <c r="W32" s="75">
        <v>0.41</v>
      </c>
      <c r="X32" s="75">
        <v>0.59</v>
      </c>
      <c r="Y32" s="55">
        <v>0.3</v>
      </c>
      <c r="AA32" s="58">
        <f t="shared" si="3"/>
        <v>0.38</v>
      </c>
    </row>
    <row r="33" spans="2:29">
      <c r="B33" s="110" t="s">
        <v>86</v>
      </c>
      <c r="C33" s="111"/>
      <c r="D33" s="111"/>
      <c r="I33" s="84">
        <v>0.63</v>
      </c>
      <c r="J33" s="73">
        <v>0.04</v>
      </c>
      <c r="K33" s="73">
        <v>0.17</v>
      </c>
      <c r="L33" s="73">
        <v>0.28000000000000003</v>
      </c>
      <c r="M33" s="73">
        <v>0</v>
      </c>
      <c r="N33" s="73">
        <v>0.06</v>
      </c>
      <c r="O33" s="73">
        <v>0.19</v>
      </c>
      <c r="P33" s="73">
        <v>0.3</v>
      </c>
      <c r="Q33" s="73">
        <v>0</v>
      </c>
      <c r="R33" s="74">
        <v>0.08</v>
      </c>
      <c r="S33" s="74">
        <v>0.23</v>
      </c>
      <c r="T33" s="74">
        <v>0.38</v>
      </c>
      <c r="U33" s="73">
        <v>0</v>
      </c>
      <c r="V33" s="75">
        <v>0.13</v>
      </c>
      <c r="W33" s="75">
        <v>0.27</v>
      </c>
      <c r="X33" s="75">
        <v>0.43</v>
      </c>
      <c r="Y33" s="76"/>
      <c r="AA33" s="58">
        <f t="shared" si="3"/>
        <v>0.27666666666666667</v>
      </c>
      <c r="AB33" s="75"/>
      <c r="AC33" s="75"/>
    </row>
    <row r="34" spans="2:29" ht="34">
      <c r="B34" s="89" t="s">
        <v>87</v>
      </c>
      <c r="C34" s="59">
        <v>4</v>
      </c>
      <c r="D34" s="59" t="s">
        <v>88</v>
      </c>
      <c r="I34" s="84">
        <v>0.315</v>
      </c>
      <c r="J34" s="73">
        <v>0.03</v>
      </c>
      <c r="K34" s="73">
        <v>0.09</v>
      </c>
      <c r="L34" s="73">
        <v>0.17</v>
      </c>
      <c r="M34" s="73">
        <v>0</v>
      </c>
      <c r="N34" s="73">
        <v>0.03</v>
      </c>
      <c r="O34" s="73">
        <v>0.11</v>
      </c>
      <c r="P34" s="73">
        <v>0.19</v>
      </c>
      <c r="Q34" s="73">
        <v>0</v>
      </c>
      <c r="R34" s="74">
        <v>0.04</v>
      </c>
      <c r="S34" s="74">
        <v>0.12</v>
      </c>
      <c r="T34" s="74">
        <v>0.23</v>
      </c>
      <c r="U34" s="73">
        <v>0</v>
      </c>
      <c r="V34" s="75">
        <v>0.05</v>
      </c>
      <c r="W34" s="75">
        <v>0.13</v>
      </c>
      <c r="X34" s="75">
        <v>0.26</v>
      </c>
      <c r="Y34" s="76"/>
      <c r="AA34" s="58">
        <f t="shared" si="3"/>
        <v>0.14666666666666667</v>
      </c>
      <c r="AB34" s="75"/>
      <c r="AC34" s="75"/>
    </row>
    <row r="35" spans="2:29">
      <c r="B35" s="59" t="s">
        <v>89</v>
      </c>
      <c r="C35" s="59">
        <v>2.33</v>
      </c>
      <c r="D35" s="59"/>
      <c r="I35" s="85">
        <v>0.16</v>
      </c>
      <c r="J35" s="86">
        <v>0.02</v>
      </c>
      <c r="K35" s="86">
        <v>0.04</v>
      </c>
      <c r="L35" s="86">
        <v>7.0000000000000007E-2</v>
      </c>
      <c r="M35" s="86">
        <v>0</v>
      </c>
      <c r="N35" s="86">
        <v>0.02</v>
      </c>
      <c r="O35" s="86">
        <v>0.05</v>
      </c>
      <c r="P35" s="86">
        <v>0.08</v>
      </c>
      <c r="Q35" s="86">
        <v>0</v>
      </c>
      <c r="R35" s="87">
        <v>0.03</v>
      </c>
      <c r="S35" s="87">
        <v>0.06</v>
      </c>
      <c r="T35" s="87">
        <v>0.09</v>
      </c>
      <c r="U35" s="86">
        <v>0</v>
      </c>
      <c r="V35" s="77">
        <v>0.03</v>
      </c>
      <c r="W35" s="77">
        <v>7.0000000000000007E-2</v>
      </c>
      <c r="X35" s="77">
        <v>0.1</v>
      </c>
      <c r="Y35" s="78"/>
      <c r="AA35" s="58">
        <f t="shared" si="3"/>
        <v>6.6666666666666666E-2</v>
      </c>
      <c r="AB35" s="75"/>
      <c r="AC35" s="75"/>
    </row>
    <row r="36" spans="2:29">
      <c r="B36" s="59" t="s">
        <v>90</v>
      </c>
      <c r="C36" s="59">
        <v>15</v>
      </c>
      <c r="D36" s="59" t="s">
        <v>91</v>
      </c>
      <c r="I36" s="57"/>
      <c r="J36" s="52"/>
      <c r="K36" s="52"/>
      <c r="L36" s="52"/>
      <c r="M36" s="52"/>
      <c r="N36" s="52"/>
      <c r="O36" s="52"/>
      <c r="P36" s="52"/>
      <c r="Q36" s="52"/>
      <c r="R36" s="53"/>
      <c r="S36" s="53"/>
      <c r="T36" s="53"/>
      <c r="U36" s="52"/>
      <c r="V36" s="54"/>
      <c r="W36" s="54"/>
      <c r="X36" s="54"/>
      <c r="Y36" s="54"/>
    </row>
    <row r="37" spans="2:29">
      <c r="B37" s="59" t="s">
        <v>92</v>
      </c>
      <c r="C37" s="59">
        <v>24.32</v>
      </c>
      <c r="D37" s="59" t="s">
        <v>93</v>
      </c>
      <c r="I37" s="57"/>
      <c r="J37" s="52"/>
      <c r="K37" s="52"/>
      <c r="L37" s="52"/>
      <c r="M37" s="52"/>
      <c r="N37" s="52"/>
      <c r="O37" s="52"/>
      <c r="P37" s="52"/>
      <c r="Q37" s="52"/>
      <c r="R37" s="53"/>
      <c r="S37" s="53"/>
      <c r="T37" s="53"/>
      <c r="U37" s="52"/>
      <c r="V37" s="54"/>
      <c r="W37" s="54"/>
      <c r="X37" s="54"/>
      <c r="Y37" s="54"/>
    </row>
    <row r="38" spans="2:29" ht="17" customHeight="1">
      <c r="C38" s="59">
        <f>C37*145.038</f>
        <v>3527.3241600000001</v>
      </c>
      <c r="D38" s="59" t="s">
        <v>94</v>
      </c>
      <c r="I38" s="106" t="s">
        <v>129</v>
      </c>
      <c r="J38" s="104"/>
      <c r="K38" s="104"/>
      <c r="L38" s="104"/>
      <c r="M38" s="105"/>
      <c r="O38" s="110" t="s">
        <v>73</v>
      </c>
      <c r="P38" s="110"/>
      <c r="Q38" s="110"/>
      <c r="R38" s="110"/>
      <c r="S38" s="110"/>
    </row>
    <row r="39" spans="2:29" ht="36" customHeight="1">
      <c r="I39" s="56" t="s">
        <v>64</v>
      </c>
      <c r="J39" s="79" t="s">
        <v>124</v>
      </c>
      <c r="K39" s="56" t="s">
        <v>66</v>
      </c>
      <c r="L39" s="79" t="s">
        <v>67</v>
      </c>
      <c r="M39" s="79" t="s">
        <v>68</v>
      </c>
      <c r="N39" s="44"/>
      <c r="O39" s="119" t="s">
        <v>125</v>
      </c>
      <c r="P39" s="119"/>
      <c r="Q39" s="119" t="s">
        <v>126</v>
      </c>
      <c r="R39" s="119"/>
      <c r="S39" s="59" t="s">
        <v>127</v>
      </c>
    </row>
    <row r="40" spans="2:29">
      <c r="B40" s="112" t="s">
        <v>95</v>
      </c>
      <c r="C40" s="113"/>
      <c r="D40" s="114"/>
      <c r="I40" s="142">
        <f>I26</f>
        <v>80</v>
      </c>
      <c r="J40" s="80">
        <f>AA26</f>
        <v>1</v>
      </c>
      <c r="K40" s="56">
        <f>I5</f>
        <v>75</v>
      </c>
      <c r="L40" s="80">
        <f>U5</f>
        <v>1.0000000130881068</v>
      </c>
      <c r="M40" s="80">
        <v>1</v>
      </c>
      <c r="N40" s="44"/>
      <c r="O40" s="120">
        <v>1</v>
      </c>
      <c r="P40" s="111"/>
      <c r="Q40" s="118">
        <f>M40</f>
        <v>1</v>
      </c>
      <c r="R40" s="119"/>
      <c r="S40" s="141">
        <f>(Q40-O40)^2</f>
        <v>0</v>
      </c>
    </row>
    <row r="41" spans="2:29">
      <c r="B41" s="115"/>
      <c r="C41" s="116"/>
      <c r="D41" s="117"/>
      <c r="I41" s="142">
        <f t="shared" ref="I41:I49" si="5">I27</f>
        <v>40</v>
      </c>
      <c r="J41" s="80">
        <f t="shared" ref="J41:J49" si="6">AA27</f>
        <v>1</v>
      </c>
      <c r="K41" s="56">
        <f t="shared" ref="K41:K54" si="7">I6</f>
        <v>63</v>
      </c>
      <c r="L41" s="80">
        <f t="shared" ref="L41:L54" si="8">U6</f>
        <v>1.0000000130881068</v>
      </c>
      <c r="M41" s="80">
        <f>((L42-L43)/(K42-K43))*(I41-K42)+L42</f>
        <v>1.0000000130881068</v>
      </c>
      <c r="N41" s="44"/>
      <c r="O41" s="120">
        <v>1</v>
      </c>
      <c r="P41" s="120"/>
      <c r="Q41" s="118">
        <f t="shared" ref="Q41:Q49" si="9">M41</f>
        <v>1.0000000130881068</v>
      </c>
      <c r="R41" s="119"/>
      <c r="S41" s="141">
        <f t="shared" ref="S41:S49" si="10">(Q41-O41)^2</f>
        <v>1.7129854014604474E-16</v>
      </c>
    </row>
    <row r="42" spans="2:29">
      <c r="I42" s="142">
        <f t="shared" si="5"/>
        <v>20</v>
      </c>
      <c r="J42" s="80">
        <f t="shared" si="6"/>
        <v>1</v>
      </c>
      <c r="K42" s="56">
        <f t="shared" si="7"/>
        <v>50</v>
      </c>
      <c r="L42" s="80">
        <f t="shared" si="8"/>
        <v>1.0000000130881068</v>
      </c>
      <c r="M42" s="80">
        <f>((L44-L45)/(K44-K45))*(I42-K44)+L44</f>
        <v>0.99809888779284284</v>
      </c>
      <c r="N42" s="44"/>
      <c r="O42" s="120">
        <v>1</v>
      </c>
      <c r="P42" s="111"/>
      <c r="Q42" s="118">
        <f t="shared" si="9"/>
        <v>0.99809888779284284</v>
      </c>
      <c r="R42" s="119"/>
      <c r="S42" s="141">
        <f t="shared" si="10"/>
        <v>3.6142276242019796E-6</v>
      </c>
    </row>
    <row r="43" spans="2:29">
      <c r="B43">
        <v>3000</v>
      </c>
      <c r="C43">
        <v>0.59</v>
      </c>
      <c r="I43" s="142">
        <f t="shared" si="5"/>
        <v>10</v>
      </c>
      <c r="J43" s="80">
        <f t="shared" si="6"/>
        <v>1</v>
      </c>
      <c r="K43" s="56">
        <f t="shared" si="7"/>
        <v>37.5</v>
      </c>
      <c r="L43" s="80">
        <f t="shared" si="8"/>
        <v>1.0000000130881068</v>
      </c>
      <c r="M43" s="80">
        <f>((L46-L47)/(K46-K47))*(I43-K46)+L46</f>
        <v>0.97718650954493924</v>
      </c>
      <c r="N43" s="44"/>
      <c r="O43" s="120">
        <f t="shared" ref="O43:O49" si="11">(I43/$I$43)^0.5</f>
        <v>1</v>
      </c>
      <c r="P43" s="111"/>
      <c r="Q43" s="118">
        <f t="shared" si="9"/>
        <v>0.97718650954493924</v>
      </c>
      <c r="R43" s="119"/>
      <c r="S43" s="141">
        <f t="shared" si="10"/>
        <v>5.2045534674314837E-4</v>
      </c>
    </row>
    <row r="44" spans="2:29">
      <c r="B44">
        <v>4000</v>
      </c>
      <c r="C44">
        <v>0.48</v>
      </c>
      <c r="I44" s="142">
        <f t="shared" si="5"/>
        <v>5</v>
      </c>
      <c r="J44" s="80">
        <f t="shared" si="6"/>
        <v>0.63</v>
      </c>
      <c r="K44" s="56">
        <f t="shared" si="7"/>
        <v>25</v>
      </c>
      <c r="L44" s="80">
        <f t="shared" si="8"/>
        <v>1.0000000130881068</v>
      </c>
      <c r="M44" s="80">
        <f t="shared" ref="M44:M49" si="12">((L48-L49)/(K48-K49))*(I44-K48)+L48</f>
        <v>0.69813833690695248</v>
      </c>
      <c r="N44" s="44"/>
      <c r="O44" s="120">
        <f t="shared" si="11"/>
        <v>0.70710678118654757</v>
      </c>
      <c r="P44" s="111"/>
      <c r="Q44" s="118">
        <f>M44</f>
        <v>0.69813833690695248</v>
      </c>
      <c r="R44" s="119"/>
      <c r="S44" s="141">
        <f t="shared" si="10"/>
        <v>8.0432992796201875E-5</v>
      </c>
    </row>
    <row r="45" spans="2:29">
      <c r="I45" s="143">
        <f t="shared" si="5"/>
        <v>2.5</v>
      </c>
      <c r="J45" s="80">
        <f t="shared" si="6"/>
        <v>0.49000000000000005</v>
      </c>
      <c r="K45" s="56">
        <f t="shared" si="7"/>
        <v>19</v>
      </c>
      <c r="L45" s="80">
        <f t="shared" si="8"/>
        <v>0.99771866273379006</v>
      </c>
      <c r="M45" s="80">
        <f t="shared" si="12"/>
        <v>0.5324934890450258</v>
      </c>
      <c r="N45" s="44"/>
      <c r="O45" s="120">
        <f>(I45/$I$43)^0.5</f>
        <v>0.5</v>
      </c>
      <c r="P45" s="111"/>
      <c r="Q45" s="118">
        <f t="shared" si="9"/>
        <v>0.5324934890450258</v>
      </c>
      <c r="R45" s="119"/>
      <c r="S45" s="141">
        <f t="shared" si="10"/>
        <v>1.0558268303192118E-3</v>
      </c>
    </row>
    <row r="46" spans="2:29">
      <c r="B46" t="s">
        <v>96</v>
      </c>
      <c r="C46">
        <f>(B44-B43)/(C44-C43)</f>
        <v>-9090.9090909090919</v>
      </c>
      <c r="I46" s="143">
        <f t="shared" si="5"/>
        <v>1.25</v>
      </c>
      <c r="J46" s="80">
        <f t="shared" si="6"/>
        <v>0.38</v>
      </c>
      <c r="K46" s="56">
        <f t="shared" si="7"/>
        <v>12.5</v>
      </c>
      <c r="L46" s="80">
        <f t="shared" si="8"/>
        <v>0.98174921025357276</v>
      </c>
      <c r="M46" s="80">
        <f t="shared" si="12"/>
        <v>0.37228635140899613</v>
      </c>
      <c r="N46" s="44"/>
      <c r="O46" s="120">
        <f t="shared" si="11"/>
        <v>0.35355339059327379</v>
      </c>
      <c r="P46" s="111"/>
      <c r="Q46" s="118">
        <f t="shared" si="9"/>
        <v>0.37228635140899613</v>
      </c>
      <c r="R46" s="119"/>
      <c r="S46" s="141">
        <f t="shared" si="10"/>
        <v>3.5092382092338873E-4</v>
      </c>
    </row>
    <row r="47" spans="2:29">
      <c r="I47" s="143">
        <f t="shared" si="5"/>
        <v>0.63</v>
      </c>
      <c r="J47" s="80">
        <f t="shared" si="6"/>
        <v>0.27666666666666667</v>
      </c>
      <c r="K47" s="56">
        <f t="shared" si="7"/>
        <v>9.5</v>
      </c>
      <c r="L47" s="80">
        <f t="shared" si="8"/>
        <v>0.97627396940321254</v>
      </c>
      <c r="M47" s="80">
        <f t="shared" si="12"/>
        <v>0.26311076493048841</v>
      </c>
      <c r="N47" s="44"/>
      <c r="O47" s="120">
        <f t="shared" si="11"/>
        <v>0.25099800796022265</v>
      </c>
      <c r="P47" s="111"/>
      <c r="Q47" s="118">
        <f t="shared" si="9"/>
        <v>0.26311076493048841</v>
      </c>
      <c r="R47" s="119"/>
      <c r="S47" s="141">
        <f t="shared" si="10"/>
        <v>1.4671888142072173E-4</v>
      </c>
    </row>
    <row r="48" spans="2:29">
      <c r="B48" t="s">
        <v>97</v>
      </c>
      <c r="C48">
        <f>(C38-B43)/C46+C43</f>
        <v>0.53199434239999999</v>
      </c>
      <c r="I48" s="143">
        <f t="shared" si="5"/>
        <v>0.315</v>
      </c>
      <c r="J48" s="80">
        <f t="shared" si="6"/>
        <v>0.14666666666666667</v>
      </c>
      <c r="K48" s="56">
        <f t="shared" si="7"/>
        <v>6.3</v>
      </c>
      <c r="L48" s="80">
        <f t="shared" si="8"/>
        <v>0.92532348717896784</v>
      </c>
      <c r="M48" s="80">
        <f t="shared" si="12"/>
        <v>0.10354947115119226</v>
      </c>
      <c r="N48" s="44"/>
      <c r="O48" s="120">
        <f t="shared" si="11"/>
        <v>0.17748239349298847</v>
      </c>
      <c r="P48" s="111"/>
      <c r="Q48" s="118">
        <f t="shared" si="9"/>
        <v>0.10354947115119226</v>
      </c>
      <c r="R48" s="119"/>
      <c r="S48" s="141">
        <f t="shared" si="10"/>
        <v>5.4660770059980698E-3</v>
      </c>
    </row>
    <row r="49" spans="2:19">
      <c r="I49" s="143">
        <f t="shared" si="5"/>
        <v>0.16</v>
      </c>
      <c r="J49" s="80">
        <f t="shared" si="6"/>
        <v>6.6666666666666666E-2</v>
      </c>
      <c r="K49" s="56">
        <f t="shared" si="7"/>
        <v>4.75</v>
      </c>
      <c r="L49" s="80">
        <f t="shared" si="8"/>
        <v>0.65444888493156494</v>
      </c>
      <c r="M49" s="80">
        <f t="shared" si="12"/>
        <v>4.1992412264077954E-2</v>
      </c>
      <c r="N49" s="44"/>
      <c r="O49" s="120">
        <f t="shared" si="11"/>
        <v>0.12649110640673517</v>
      </c>
      <c r="P49" s="111"/>
      <c r="Q49" s="118">
        <f t="shared" si="9"/>
        <v>4.1992412264077954E-2</v>
      </c>
      <c r="R49" s="119"/>
      <c r="S49" s="141">
        <f t="shared" si="10"/>
        <v>7.1400293118143313E-3</v>
      </c>
    </row>
    <row r="50" spans="2:19">
      <c r="B50" s="103" t="s">
        <v>100</v>
      </c>
      <c r="C50" s="104"/>
      <c r="D50" s="105"/>
      <c r="I50" s="56"/>
      <c r="J50" s="80"/>
      <c r="K50" s="56">
        <f t="shared" si="7"/>
        <v>2.36</v>
      </c>
      <c r="L50" s="80">
        <f t="shared" si="8"/>
        <v>0.52490515330097443</v>
      </c>
      <c r="M50" s="56"/>
      <c r="N50" s="44"/>
      <c r="O50" s="44"/>
      <c r="P50" s="44"/>
      <c r="Q50" s="67"/>
      <c r="R50" s="67"/>
    </row>
    <row r="51" spans="2:19" ht="17">
      <c r="I51" s="56"/>
      <c r="J51" s="80"/>
      <c r="K51" s="56">
        <f t="shared" si="7"/>
        <v>1.18</v>
      </c>
      <c r="L51" s="80">
        <f t="shared" si="8"/>
        <v>0.36266174228067322</v>
      </c>
      <c r="M51" s="56"/>
      <c r="N51" s="44"/>
      <c r="O51" s="136"/>
      <c r="P51" s="136"/>
      <c r="Q51" s="67"/>
      <c r="R51" s="66" t="s">
        <v>85</v>
      </c>
      <c r="S51" s="141">
        <f>SUM(S40:S49)</f>
        <v>1.4764078417639447E-2</v>
      </c>
    </row>
    <row r="52" spans="2:19">
      <c r="C52" t="s">
        <v>98</v>
      </c>
      <c r="D52" t="s">
        <v>99</v>
      </c>
      <c r="I52" s="56"/>
      <c r="J52" s="80"/>
      <c r="K52" s="56">
        <f t="shared" si="7"/>
        <v>0.6</v>
      </c>
      <c r="L52" s="80">
        <f t="shared" si="8"/>
        <v>0.25768071162047834</v>
      </c>
      <c r="M52" s="56"/>
      <c r="N52" s="44"/>
      <c r="Q52" s="67"/>
      <c r="R52" s="67"/>
    </row>
    <row r="53" spans="2:19">
      <c r="B53" t="s">
        <v>26</v>
      </c>
      <c r="C53">
        <v>0.4</v>
      </c>
      <c r="D53">
        <v>0.6</v>
      </c>
      <c r="I53" s="56"/>
      <c r="J53" s="80"/>
      <c r="K53" s="56">
        <f t="shared" si="7"/>
        <v>0.3</v>
      </c>
      <c r="L53" s="80">
        <f t="shared" si="8"/>
        <v>9.5437300600177175E-2</v>
      </c>
      <c r="M53" s="56"/>
      <c r="N53" s="44"/>
      <c r="O53" s="44"/>
      <c r="P53" s="44"/>
      <c r="Q53" s="67"/>
      <c r="R53" s="67"/>
    </row>
    <row r="54" spans="2:19">
      <c r="I54" s="56"/>
      <c r="J54" s="56"/>
      <c r="K54" s="56">
        <f t="shared" si="7"/>
        <v>0.15</v>
      </c>
      <c r="L54" s="80">
        <f t="shared" si="8"/>
        <v>3.8174920240070867E-2</v>
      </c>
      <c r="M54" s="56"/>
      <c r="N54" s="44"/>
      <c r="O54" s="44"/>
      <c r="P54" s="44"/>
      <c r="Q54" s="67"/>
      <c r="R54" s="67"/>
    </row>
    <row r="55" spans="2:19">
      <c r="B55" s="103" t="s">
        <v>101</v>
      </c>
      <c r="C55" s="104"/>
      <c r="D55" s="105"/>
    </row>
    <row r="57" spans="2:19">
      <c r="B57" t="s">
        <v>97</v>
      </c>
      <c r="C57">
        <f>C48</f>
        <v>0.53199434239999999</v>
      </c>
      <c r="I57" s="106" t="s">
        <v>114</v>
      </c>
      <c r="J57" s="107"/>
      <c r="K57" s="107"/>
      <c r="L57" s="107"/>
      <c r="M57" s="107"/>
      <c r="N57" s="107"/>
      <c r="O57" s="107"/>
      <c r="P57" s="107"/>
    </row>
    <row r="58" spans="2:19" ht="49" customHeight="1">
      <c r="B58" t="s">
        <v>108</v>
      </c>
      <c r="C58">
        <v>300</v>
      </c>
      <c r="D58" t="s">
        <v>103</v>
      </c>
      <c r="E58" t="s">
        <v>104</v>
      </c>
      <c r="I58" s="59" t="s">
        <v>111</v>
      </c>
      <c r="J58" s="89" t="s">
        <v>112</v>
      </c>
      <c r="K58" s="89" t="s">
        <v>119</v>
      </c>
      <c r="L58" s="89" t="s">
        <v>113</v>
      </c>
      <c r="M58" s="89" t="s">
        <v>120</v>
      </c>
      <c r="N58" s="89" t="s">
        <v>121</v>
      </c>
      <c r="O58" s="89" t="s">
        <v>122</v>
      </c>
      <c r="P58" s="89" t="s">
        <v>123</v>
      </c>
      <c r="Q58" s="68"/>
      <c r="R58" s="68"/>
    </row>
    <row r="59" spans="2:19">
      <c r="B59" t="s">
        <v>102</v>
      </c>
      <c r="C59">
        <f>C58/C57</f>
        <v>563.9157714471213</v>
      </c>
      <c r="D59" t="s">
        <v>103</v>
      </c>
      <c r="I59" s="101" t="s">
        <v>115</v>
      </c>
      <c r="J59" s="97">
        <f>C65</f>
        <v>334.55769322106238</v>
      </c>
      <c r="K59" s="97"/>
      <c r="L59" s="100" t="s">
        <v>69</v>
      </c>
      <c r="M59" s="97"/>
      <c r="N59" s="100"/>
      <c r="O59" s="102"/>
      <c r="P59" s="137">
        <f>J59</f>
        <v>334.55769322106238</v>
      </c>
    </row>
    <row r="60" spans="2:19">
      <c r="I60" s="90" t="s">
        <v>116</v>
      </c>
      <c r="J60">
        <f>C64</f>
        <v>177.9828</v>
      </c>
      <c r="L60" s="44" t="s">
        <v>69</v>
      </c>
      <c r="M60" s="44">
        <f>L61+J60</f>
        <v>200.52528847451865</v>
      </c>
      <c r="N60" s="44"/>
      <c r="O60" s="44">
        <f>-L61</f>
        <v>-22.542488474518656</v>
      </c>
      <c r="P60" s="140">
        <f>M60+O61</f>
        <v>86.098602322077426</v>
      </c>
    </row>
    <row r="61" spans="2:19">
      <c r="B61" s="103" t="s">
        <v>105</v>
      </c>
      <c r="C61" s="104"/>
      <c r="D61" s="105"/>
      <c r="I61" s="90" t="s">
        <v>117</v>
      </c>
      <c r="J61" s="44" t="s">
        <v>69</v>
      </c>
      <c r="K61" s="44"/>
      <c r="L61" s="93">
        <f>-SUM(L62:L65)</f>
        <v>22.542488474518656</v>
      </c>
      <c r="M61" s="93"/>
      <c r="N61" s="93"/>
      <c r="O61" s="96">
        <f>-SUM(O62:O64)</f>
        <v>-114.42668615244122</v>
      </c>
      <c r="P61" s="138"/>
    </row>
    <row r="62" spans="2:19">
      <c r="I62" s="90" t="s">
        <v>35</v>
      </c>
      <c r="J62">
        <f>C67</f>
        <v>0</v>
      </c>
      <c r="K62" s="95">
        <f>D16</f>
        <v>1.2999999999999999E-2</v>
      </c>
      <c r="L62">
        <f>-(J62*K62)/(K62+1)</f>
        <v>0</v>
      </c>
      <c r="M62" s="95">
        <f>D17</f>
        <v>0.04</v>
      </c>
      <c r="N62" s="96">
        <f>J62/(K62+1)</f>
        <v>0</v>
      </c>
      <c r="O62" s="96">
        <f>N62*M62</f>
        <v>0</v>
      </c>
      <c r="P62" s="140">
        <f>N62+O62</f>
        <v>0</v>
      </c>
    </row>
    <row r="63" spans="2:19">
      <c r="B63" s="59" t="s">
        <v>106</v>
      </c>
      <c r="C63" s="59">
        <f>(C65/2810)+(C64/1000) +((C66*C27)/D19)+((C66*C28)/E19)+((C66*C29)/F19)</f>
        <v>0.99999999999999978</v>
      </c>
      <c r="D63" s="59" t="s">
        <v>107</v>
      </c>
      <c r="I63" s="90" t="s">
        <v>32</v>
      </c>
      <c r="J63">
        <f t="shared" ref="J63:J64" si="13">C68</f>
        <v>86.740735260306138</v>
      </c>
      <c r="K63" s="95">
        <f>E16</f>
        <v>1.2E-2</v>
      </c>
      <c r="L63">
        <f t="shared" ref="L63:L64" si="14">-(J63*K63)/(K63+1)</f>
        <v>-1.0285462679087685</v>
      </c>
      <c r="M63" s="95">
        <f>E17</f>
        <v>0.08</v>
      </c>
      <c r="N63" s="96">
        <f t="shared" ref="N63:N64" si="15">J63/(K63+1)</f>
        <v>85.712188992397373</v>
      </c>
      <c r="O63" s="96">
        <f t="shared" ref="O63:O64" si="16">N63*M63</f>
        <v>6.8569751193917901</v>
      </c>
      <c r="P63" s="140">
        <f>N63+O63</f>
        <v>92.569164111789163</v>
      </c>
    </row>
    <row r="64" spans="2:19">
      <c r="B64" s="59" t="s">
        <v>108</v>
      </c>
      <c r="C64" s="59">
        <f>C58*0.593276</f>
        <v>177.9828</v>
      </c>
      <c r="D64" s="59" t="s">
        <v>109</v>
      </c>
      <c r="I64" s="90" t="s">
        <v>29</v>
      </c>
      <c r="J64">
        <f t="shared" si="13"/>
        <v>1814.3424594241005</v>
      </c>
      <c r="K64" s="95">
        <f>F16</f>
        <v>1.2E-2</v>
      </c>
      <c r="L64">
        <f t="shared" si="14"/>
        <v>-21.513942206609887</v>
      </c>
      <c r="M64" s="95">
        <f>F17</f>
        <v>0.06</v>
      </c>
      <c r="N64" s="96">
        <f t="shared" si="15"/>
        <v>1792.8285172174906</v>
      </c>
      <c r="O64" s="96">
        <f t="shared" si="16"/>
        <v>107.56971103304943</v>
      </c>
      <c r="P64" s="140">
        <f>N64+O64</f>
        <v>1900.3982282505399</v>
      </c>
    </row>
    <row r="65" spans="2:16">
      <c r="B65" s="59" t="s">
        <v>102</v>
      </c>
      <c r="C65" s="59">
        <f>C59*0.593276</f>
        <v>334.55769322106238</v>
      </c>
      <c r="D65" s="59" t="s">
        <v>109</v>
      </c>
      <c r="I65" s="91" t="s">
        <v>118</v>
      </c>
      <c r="J65" s="92">
        <f>C64+C65+C67+C68+C69</f>
        <v>2413.6236879054691</v>
      </c>
      <c r="K65" s="92"/>
      <c r="L65" s="94" t="s">
        <v>69</v>
      </c>
      <c r="M65" s="94"/>
      <c r="N65" s="98"/>
      <c r="O65" s="99">
        <f>-O59</f>
        <v>0</v>
      </c>
      <c r="P65" s="139">
        <f>SUM(P59:P64)</f>
        <v>2413.6236879054686</v>
      </c>
    </row>
    <row r="66" spans="2:16">
      <c r="B66" s="64" t="s">
        <v>110</v>
      </c>
      <c r="C66" s="64">
        <v>1901.0831698028271</v>
      </c>
      <c r="D66" s="64" t="s">
        <v>109</v>
      </c>
    </row>
    <row r="67" spans="2:16">
      <c r="B67" s="59" t="s">
        <v>35</v>
      </c>
      <c r="C67" s="59">
        <f>$C$66*C27</f>
        <v>0</v>
      </c>
      <c r="D67" s="59" t="s">
        <v>109</v>
      </c>
    </row>
    <row r="68" spans="2:16">
      <c r="B68" s="59" t="s">
        <v>32</v>
      </c>
      <c r="C68" s="59">
        <f t="shared" ref="C68:C69" si="17">$C$66*C28</f>
        <v>86.740735260306138</v>
      </c>
      <c r="D68" s="59" t="s">
        <v>109</v>
      </c>
    </row>
    <row r="69" spans="2:16">
      <c r="B69" s="59" t="s">
        <v>29</v>
      </c>
      <c r="C69" s="59">
        <f t="shared" si="17"/>
        <v>1814.3424594241005</v>
      </c>
      <c r="D69" s="59" t="s">
        <v>109</v>
      </c>
    </row>
  </sheetData>
  <mergeCells count="57">
    <mergeCell ref="K2:M2"/>
    <mergeCell ref="N2:P2"/>
    <mergeCell ref="Q2:S2"/>
    <mergeCell ref="B3:B12"/>
    <mergeCell ref="I3:J3"/>
    <mergeCell ref="K3:L3"/>
    <mergeCell ref="N3:O3"/>
    <mergeCell ref="Q3:R3"/>
    <mergeCell ref="V24:X24"/>
    <mergeCell ref="C26:D26"/>
    <mergeCell ref="B16:C16"/>
    <mergeCell ref="B17:C17"/>
    <mergeCell ref="B18:C18"/>
    <mergeCell ref="B19:C19"/>
    <mergeCell ref="I20:J20"/>
    <mergeCell ref="C21:D21"/>
    <mergeCell ref="I21:J21"/>
    <mergeCell ref="B33:D33"/>
    <mergeCell ref="C22:D22"/>
    <mergeCell ref="C23:D23"/>
    <mergeCell ref="C24:D24"/>
    <mergeCell ref="I24:U24"/>
    <mergeCell ref="C27:D27"/>
    <mergeCell ref="C28:D28"/>
    <mergeCell ref="C29:D29"/>
    <mergeCell ref="C30:D30"/>
    <mergeCell ref="C31:D31"/>
    <mergeCell ref="I38:M38"/>
    <mergeCell ref="O39:P39"/>
    <mergeCell ref="Q39:R39"/>
    <mergeCell ref="B40:D41"/>
    <mergeCell ref="O40:P40"/>
    <mergeCell ref="Q40:R40"/>
    <mergeCell ref="O41:P41"/>
    <mergeCell ref="Q41:R41"/>
    <mergeCell ref="B50:D50"/>
    <mergeCell ref="O45:P45"/>
    <mergeCell ref="Q45:R45"/>
    <mergeCell ref="O46:P46"/>
    <mergeCell ref="Q46:R46"/>
    <mergeCell ref="O47:P47"/>
    <mergeCell ref="Q47:R47"/>
    <mergeCell ref="O38:S38"/>
    <mergeCell ref="O48:P48"/>
    <mergeCell ref="Q48:R48"/>
    <mergeCell ref="O49:P49"/>
    <mergeCell ref="Q49:R49"/>
    <mergeCell ref="O42:P42"/>
    <mergeCell ref="Q42:R42"/>
    <mergeCell ref="O43:P43"/>
    <mergeCell ref="Q43:R43"/>
    <mergeCell ref="O44:P44"/>
    <mergeCell ref="Q44:R44"/>
    <mergeCell ref="O51:P51"/>
    <mergeCell ref="B55:D55"/>
    <mergeCell ref="I57:P57"/>
    <mergeCell ref="B61:D6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DB1E-A4A0-5A45-AF02-312B858EBFD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F192-B2CD-6D45-A645-CE094576B461}">
  <dimension ref="A1"/>
  <sheetViews>
    <sheetView tabSelected="1" topLeftCell="A11" zoomScale="104" workbookViewId="0">
      <selection activeCell="I50" sqref="I50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TMA</vt:lpstr>
      <vt:lpstr>THOMSON</vt:lpstr>
      <vt:lpstr>TARANTULA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Wolff</dc:creator>
  <cp:lastModifiedBy>Lukas Wolff</cp:lastModifiedBy>
  <dcterms:created xsi:type="dcterms:W3CDTF">2025-08-16T14:06:29Z</dcterms:created>
  <dcterms:modified xsi:type="dcterms:W3CDTF">2025-08-16T20:01:01Z</dcterms:modified>
</cp:coreProperties>
</file>