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lukaswolff/Desktop/25_20/TECNOLOGIAS_DEL_HORMIGON/TAREAS/TH_TALLER_1/"/>
    </mc:Choice>
  </mc:AlternateContent>
  <xr:revisionPtr revIDLastSave="0" documentId="13_ncr:1_{839899BF-A8CC-0542-B559-FEF905BF74CC}" xr6:coauthVersionLast="47" xr6:coauthVersionMax="47" xr10:uidLastSave="{00000000-0000-0000-0000-000000000000}"/>
  <bookViews>
    <workbookView xWindow="0" yWindow="740" windowWidth="30240" windowHeight="18900" xr2:uid="{31D304DE-4E80-7E49-B756-D776838E9ED7}"/>
  </bookViews>
  <sheets>
    <sheet name="PLANTILLA" sheetId="6" r:id="rId1"/>
    <sheet name="GRAFICOS" sheetId="5" r:id="rId2"/>
    <sheet name="ARIDOS" sheetId="7" r:id="rId3"/>
  </sheets>
  <definedNames>
    <definedName name="solver_adj" localSheetId="0" hidden="1">PLANTILLA!$E$31:$E$33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PLANTILLA!$E$35</definedName>
    <definedName name="solver_lhs10" localSheetId="0" hidden="1">PLANTILLA!$Q$70:$Q$84</definedName>
    <definedName name="solver_lhs11" localSheetId="0" hidden="1">PLANTILLA!$N$49</definedName>
    <definedName name="solver_lhs12" localSheetId="0" hidden="1">PLANTILLA!$N$50</definedName>
    <definedName name="solver_lhs13" localSheetId="0" hidden="1">PLANTILLA!$N$51</definedName>
    <definedName name="solver_lhs14" localSheetId="0" hidden="1">PLANTILLA!$N$52</definedName>
    <definedName name="solver_lhs15" localSheetId="0" hidden="1">PLANTILLA!$N$53</definedName>
    <definedName name="solver_lhs16" localSheetId="0" hidden="1">PLANTILLA!$N$54</definedName>
    <definedName name="solver_lhs2" localSheetId="0" hidden="1">PLANTILLA!$Q$70:$Q$84</definedName>
    <definedName name="solver_lhs3" localSheetId="0" hidden="1">PLANTILLA!$E$35</definedName>
    <definedName name="solver_lhs4" localSheetId="0" hidden="1">PLANTILLA!$Q$70:$Q$84</definedName>
    <definedName name="solver_lhs5" localSheetId="0" hidden="1">PLANTILLA!$E$35</definedName>
    <definedName name="solver_lhs6" localSheetId="0" hidden="1">PLANTILLA!$Q$70:$Q$84</definedName>
    <definedName name="solver_lhs7" localSheetId="0" hidden="1">PLANTILLA!$E$35</definedName>
    <definedName name="solver_lhs8" localSheetId="0" hidden="1">PLANTILLA!$Q$70:$Q$84</definedName>
    <definedName name="solver_lhs9" localSheetId="0" hidden="1">PLANTILLA!$E$35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10</definedName>
    <definedName name="solver_opt" localSheetId="0" hidden="1">PLANTILLA!$S$82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10" localSheetId="0" hidden="1">2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14" localSheetId="0" hidden="1">1</definedName>
    <definedName name="solver_rel15" localSheetId="0" hidden="1">1</definedName>
    <definedName name="solver_rel16" localSheetId="0" hidden="1">1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PLANTILLA!$E$34</definedName>
    <definedName name="solver_rhs10" localSheetId="0" hidden="1">1</definedName>
    <definedName name="solver_rhs11" localSheetId="0" hidden="1">PLANTILLA!$O$49</definedName>
    <definedName name="solver_rhs12" localSheetId="0" hidden="1">PLANTILLA!$O$50</definedName>
    <definedName name="solver_rhs13" localSheetId="0" hidden="1">PLANTILLA!$O$51</definedName>
    <definedName name="solver_rhs14" localSheetId="0" hidden="1">PLANTILLA!$O$52</definedName>
    <definedName name="solver_rhs15" localSheetId="0" hidden="1">PLANTILLA!$O$53</definedName>
    <definedName name="solver_rhs16" localSheetId="0" hidden="1">PLANTILLA!$O$54</definedName>
    <definedName name="solver_rhs2" localSheetId="0" hidden="1">1</definedName>
    <definedName name="solver_rhs3" localSheetId="0" hidden="1">PLANTILLA!$E$34</definedName>
    <definedName name="solver_rhs4" localSheetId="0" hidden="1">1</definedName>
    <definedName name="solver_rhs5" localSheetId="0" hidden="1">PLANTILLA!$E$34</definedName>
    <definedName name="solver_rhs6" localSheetId="0" hidden="1">1</definedName>
    <definedName name="solver_rhs7" localSheetId="0" hidden="1">PLANTILLA!$E$34</definedName>
    <definedName name="solver_rhs8" localSheetId="0" hidden="1">1</definedName>
    <definedName name="solver_rhs9" localSheetId="0" hidden="1">PLANTILLA!$E$34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3</definedName>
    <definedName name="solver_val" localSheetId="0" hidden="1">0</definedName>
    <definedName name="solver_ver" localSheetId="0" hidden="1">2</definedName>
  </definedNames>
  <calcPr calcId="191029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6" l="1"/>
  <c r="D19" i="6"/>
  <c r="D20" i="6"/>
  <c r="D18" i="6"/>
  <c r="Q20" i="6"/>
  <c r="Q21" i="6"/>
  <c r="Q6" i="6"/>
  <c r="R6" i="6"/>
  <c r="S6" i="6"/>
  <c r="Q7" i="6"/>
  <c r="R7" i="6"/>
  <c r="S7" i="6"/>
  <c r="Q8" i="6"/>
  <c r="R8" i="6"/>
  <c r="S8" i="6"/>
  <c r="Q9" i="6"/>
  <c r="R9" i="6"/>
  <c r="S9" i="6"/>
  <c r="Q10" i="6"/>
  <c r="R10" i="6"/>
  <c r="S10" i="6"/>
  <c r="Q11" i="6"/>
  <c r="R11" i="6"/>
  <c r="S11" i="6"/>
  <c r="Q12" i="6"/>
  <c r="R12" i="6"/>
  <c r="S12" i="6"/>
  <c r="Q13" i="6"/>
  <c r="R13" i="6"/>
  <c r="S13" i="6"/>
  <c r="Q14" i="6"/>
  <c r="R14" i="6"/>
  <c r="S14" i="6"/>
  <c r="Q15" i="6"/>
  <c r="R15" i="6"/>
  <c r="S15" i="6"/>
  <c r="Q16" i="6"/>
  <c r="R16" i="6"/>
  <c r="S16" i="6"/>
  <c r="Q17" i="6"/>
  <c r="R17" i="6"/>
  <c r="S17" i="6"/>
  <c r="Q18" i="6"/>
  <c r="R18" i="6"/>
  <c r="S18" i="6"/>
  <c r="Q19" i="6"/>
  <c r="R19" i="6"/>
  <c r="S19" i="6"/>
  <c r="Q5" i="6"/>
  <c r="R5" i="6"/>
  <c r="N20" i="6"/>
  <c r="N21" i="6"/>
  <c r="N6" i="6"/>
  <c r="O6" i="6"/>
  <c r="P6" i="6"/>
  <c r="N7" i="6"/>
  <c r="O7" i="6"/>
  <c r="P7" i="6"/>
  <c r="N8" i="6"/>
  <c r="O8" i="6"/>
  <c r="P8" i="6"/>
  <c r="N9" i="6"/>
  <c r="O9" i="6"/>
  <c r="P9" i="6"/>
  <c r="N10" i="6"/>
  <c r="O10" i="6"/>
  <c r="P10" i="6"/>
  <c r="N11" i="6"/>
  <c r="O11" i="6"/>
  <c r="P11" i="6"/>
  <c r="N12" i="6"/>
  <c r="O12" i="6"/>
  <c r="P12" i="6"/>
  <c r="N13" i="6"/>
  <c r="O13" i="6"/>
  <c r="P13" i="6"/>
  <c r="N14" i="6"/>
  <c r="O14" i="6"/>
  <c r="P14" i="6"/>
  <c r="N15" i="6"/>
  <c r="O15" i="6"/>
  <c r="P15" i="6"/>
  <c r="N16" i="6"/>
  <c r="O16" i="6"/>
  <c r="P16" i="6"/>
  <c r="N17" i="6"/>
  <c r="O17" i="6"/>
  <c r="P17" i="6"/>
  <c r="N18" i="6"/>
  <c r="O18" i="6"/>
  <c r="P18" i="6"/>
  <c r="N19" i="6"/>
  <c r="O19" i="6"/>
  <c r="P19" i="6"/>
  <c r="N5" i="6"/>
  <c r="O5" i="6"/>
  <c r="K20" i="6"/>
  <c r="K21" i="6"/>
  <c r="K6" i="6"/>
  <c r="L6" i="6"/>
  <c r="M6" i="6"/>
  <c r="K7" i="6"/>
  <c r="L7" i="6"/>
  <c r="M7" i="6"/>
  <c r="K8" i="6"/>
  <c r="L8" i="6"/>
  <c r="M8" i="6"/>
  <c r="K9" i="6"/>
  <c r="L9" i="6"/>
  <c r="M9" i="6"/>
  <c r="K10" i="6"/>
  <c r="L10" i="6"/>
  <c r="M10" i="6"/>
  <c r="V10" i="6" s="1"/>
  <c r="L75" i="6" s="1"/>
  <c r="K11" i="6"/>
  <c r="L11" i="6"/>
  <c r="M11" i="6"/>
  <c r="K12" i="6"/>
  <c r="L12" i="6"/>
  <c r="M12" i="6"/>
  <c r="K13" i="6"/>
  <c r="L13" i="6"/>
  <c r="M13" i="6"/>
  <c r="K14" i="6"/>
  <c r="L14" i="6"/>
  <c r="M14" i="6"/>
  <c r="K15" i="6"/>
  <c r="L15" i="6"/>
  <c r="M15" i="6"/>
  <c r="K16" i="6"/>
  <c r="L16" i="6"/>
  <c r="M16" i="6"/>
  <c r="K17" i="6"/>
  <c r="L17" i="6"/>
  <c r="M17" i="6"/>
  <c r="K18" i="6"/>
  <c r="L18" i="6"/>
  <c r="M18" i="6"/>
  <c r="K19" i="6"/>
  <c r="L19" i="6"/>
  <c r="M19" i="6"/>
  <c r="K5" i="6"/>
  <c r="L5" i="6"/>
  <c r="F19" i="6"/>
  <c r="F20" i="6"/>
  <c r="F18" i="6"/>
  <c r="E19" i="6"/>
  <c r="E20" i="6"/>
  <c r="E18" i="6"/>
  <c r="D21" i="6"/>
  <c r="M5" i="6"/>
  <c r="P5" i="6"/>
  <c r="S5" i="6"/>
  <c r="I64" i="6"/>
  <c r="M64" i="6" s="1"/>
  <c r="Q2" i="6"/>
  <c r="N2" i="6"/>
  <c r="K2" i="6"/>
  <c r="B26" i="6"/>
  <c r="I62" i="6" s="1"/>
  <c r="B31" i="6"/>
  <c r="B27" i="6"/>
  <c r="I63" i="6" s="1"/>
  <c r="M63" i="6" s="1"/>
  <c r="B32" i="6"/>
  <c r="B33" i="6"/>
  <c r="B28" i="6"/>
  <c r="D17" i="6"/>
  <c r="E17" i="6"/>
  <c r="F17" i="6"/>
  <c r="M68" i="7"/>
  <c r="J68" i="7"/>
  <c r="G68" i="7"/>
  <c r="D68" i="7"/>
  <c r="O61" i="7"/>
  <c r="O62" i="7" s="1"/>
  <c r="O63" i="7" s="1"/>
  <c r="O64" i="7" s="1"/>
  <c r="O65" i="7" s="1"/>
  <c r="O66" i="7" s="1"/>
  <c r="O60" i="7"/>
  <c r="L60" i="7"/>
  <c r="L61" i="7" s="1"/>
  <c r="L62" i="7" s="1"/>
  <c r="L63" i="7" s="1"/>
  <c r="L64" i="7" s="1"/>
  <c r="L65" i="7" s="1"/>
  <c r="L66" i="7" s="1"/>
  <c r="I60" i="7"/>
  <c r="I61" i="7" s="1"/>
  <c r="I62" i="7" s="1"/>
  <c r="I63" i="7" s="1"/>
  <c r="I64" i="7" s="1"/>
  <c r="I65" i="7" s="1"/>
  <c r="I66" i="7" s="1"/>
  <c r="I59" i="7"/>
  <c r="F58" i="7"/>
  <c r="F59" i="7" s="1"/>
  <c r="F60" i="7" s="1"/>
  <c r="F61" i="7" s="1"/>
  <c r="F62" i="7" s="1"/>
  <c r="F63" i="7" s="1"/>
  <c r="F64" i="7" s="1"/>
  <c r="F65" i="7" s="1"/>
  <c r="F66" i="7" s="1"/>
  <c r="M44" i="7"/>
  <c r="J44" i="7"/>
  <c r="G44" i="7"/>
  <c r="D44" i="7"/>
  <c r="L35" i="7"/>
  <c r="L36" i="7" s="1"/>
  <c r="L37" i="7" s="1"/>
  <c r="L38" i="7" s="1"/>
  <c r="L39" i="7" s="1"/>
  <c r="L34" i="7"/>
  <c r="I34" i="7"/>
  <c r="I35" i="7" s="1"/>
  <c r="I36" i="7" s="1"/>
  <c r="I37" i="7" s="1"/>
  <c r="I38" i="7" s="1"/>
  <c r="I39" i="7" s="1"/>
  <c r="I40" i="7" s="1"/>
  <c r="I41" i="7" s="1"/>
  <c r="F34" i="7"/>
  <c r="F35" i="7" s="1"/>
  <c r="F36" i="7" s="1"/>
  <c r="F37" i="7" s="1"/>
  <c r="F38" i="7" s="1"/>
  <c r="F39" i="7" s="1"/>
  <c r="F40" i="7" s="1"/>
  <c r="F41" i="7" s="1"/>
  <c r="O33" i="7"/>
  <c r="O34" i="7" s="1"/>
  <c r="O35" i="7" s="1"/>
  <c r="O36" i="7" s="1"/>
  <c r="O37" i="7" s="1"/>
  <c r="O38" i="7" s="1"/>
  <c r="O39" i="7" s="1"/>
  <c r="L33" i="7"/>
  <c r="I33" i="7"/>
  <c r="F33" i="7"/>
  <c r="M21" i="7"/>
  <c r="J21" i="7"/>
  <c r="G21" i="7"/>
  <c r="D21" i="7"/>
  <c r="L12" i="7"/>
  <c r="L13" i="7" s="1"/>
  <c r="L14" i="7" s="1"/>
  <c r="L15" i="7" s="1"/>
  <c r="L16" i="7" s="1"/>
  <c r="L11" i="7"/>
  <c r="I11" i="7"/>
  <c r="I12" i="7" s="1"/>
  <c r="I13" i="7" s="1"/>
  <c r="I14" i="7" s="1"/>
  <c r="I15" i="7" s="1"/>
  <c r="I16" i="7" s="1"/>
  <c r="I17" i="7" s="1"/>
  <c r="I18" i="7" s="1"/>
  <c r="F11" i="7"/>
  <c r="F12" i="7" s="1"/>
  <c r="F13" i="7" s="1"/>
  <c r="F14" i="7" s="1"/>
  <c r="F15" i="7" s="1"/>
  <c r="F16" i="7" s="1"/>
  <c r="F17" i="7" s="1"/>
  <c r="F18" i="7" s="1"/>
  <c r="O10" i="7"/>
  <c r="O11" i="7" s="1"/>
  <c r="O12" i="7" s="1"/>
  <c r="O13" i="7" s="1"/>
  <c r="O14" i="7" s="1"/>
  <c r="O15" i="7" s="1"/>
  <c r="O16" i="7" s="1"/>
  <c r="L10" i="7"/>
  <c r="I10" i="7"/>
  <c r="F10" i="7"/>
  <c r="C57" i="6"/>
  <c r="Y57" i="6"/>
  <c r="W90" i="6"/>
  <c r="V87" i="6"/>
  <c r="V86" i="6"/>
  <c r="V83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70" i="6"/>
  <c r="V57" i="6"/>
  <c r="V56" i="6"/>
  <c r="V53" i="6"/>
  <c r="O41" i="6"/>
  <c r="P41" i="6" s="1"/>
  <c r="O42" i="6"/>
  <c r="P42" i="6" s="1"/>
  <c r="O43" i="6"/>
  <c r="P43" i="6" s="1"/>
  <c r="O44" i="6"/>
  <c r="P44" i="6" s="1"/>
  <c r="O45" i="6"/>
  <c r="P45" i="6" s="1"/>
  <c r="O46" i="6"/>
  <c r="P46" i="6" s="1"/>
  <c r="O47" i="6"/>
  <c r="P47" i="6" s="1"/>
  <c r="O48" i="6"/>
  <c r="P48" i="6" s="1"/>
  <c r="O49" i="6"/>
  <c r="P49" i="6" s="1"/>
  <c r="O50" i="6"/>
  <c r="P50" i="6" s="1"/>
  <c r="O51" i="6"/>
  <c r="P51" i="6" s="1"/>
  <c r="O52" i="6"/>
  <c r="P52" i="6" s="1"/>
  <c r="O53" i="6"/>
  <c r="P53" i="6" s="1"/>
  <c r="O54" i="6"/>
  <c r="P54" i="6" s="1"/>
  <c r="O40" i="6"/>
  <c r="P40" i="6" s="1"/>
  <c r="J93" i="6"/>
  <c r="N93" i="6" s="1"/>
  <c r="J94" i="6"/>
  <c r="N94" i="6" s="1"/>
  <c r="J92" i="6"/>
  <c r="N92" i="6" s="1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70" i="6"/>
  <c r="I79" i="6"/>
  <c r="S79" i="6" s="1"/>
  <c r="I78" i="6"/>
  <c r="S78" i="6" s="1"/>
  <c r="I77" i="6"/>
  <c r="S77" i="6" s="1"/>
  <c r="I76" i="6"/>
  <c r="S76" i="6" s="1"/>
  <c r="I75" i="6"/>
  <c r="S75" i="6" s="1"/>
  <c r="I74" i="6"/>
  <c r="S74" i="6" s="1"/>
  <c r="I73" i="6"/>
  <c r="S73" i="6" s="1"/>
  <c r="I72" i="6"/>
  <c r="S72" i="6" s="1"/>
  <c r="I71" i="6"/>
  <c r="S71" i="6" s="1"/>
  <c r="I70" i="6"/>
  <c r="S70" i="6" s="1"/>
  <c r="S95" i="6"/>
  <c r="E35" i="6"/>
  <c r="V84" i="6" s="1"/>
  <c r="AC2" i="6"/>
  <c r="J62" i="6"/>
  <c r="C52" i="6"/>
  <c r="B52" i="6"/>
  <c r="G20" i="6"/>
  <c r="G21" i="6" s="1"/>
  <c r="C41" i="6"/>
  <c r="C42" i="6" s="1"/>
  <c r="C47" i="6" s="1" a="1"/>
  <c r="C47" i="6" s="1"/>
  <c r="C40" i="6"/>
  <c r="F23" i="6"/>
  <c r="F22" i="6"/>
  <c r="E23" i="6"/>
  <c r="E22" i="6"/>
  <c r="D23" i="6"/>
  <c r="D22" i="6"/>
  <c r="C39" i="6"/>
  <c r="C38" i="6"/>
  <c r="V18" i="6" l="1"/>
  <c r="L83" i="6" s="1"/>
  <c r="V6" i="6"/>
  <c r="L71" i="6" s="1"/>
  <c r="V11" i="6"/>
  <c r="L76" i="6" s="1"/>
  <c r="N76" i="6" s="1"/>
  <c r="I94" i="6"/>
  <c r="M94" i="6" s="1"/>
  <c r="V5" i="6"/>
  <c r="L70" i="6" s="1"/>
  <c r="M70" i="6" s="1" a="1"/>
  <c r="M70" i="6" s="1"/>
  <c r="U70" i="6" s="1"/>
  <c r="W70" i="6" s="1"/>
  <c r="M62" i="6"/>
  <c r="I92" i="6"/>
  <c r="M92" i="6" s="1"/>
  <c r="V19" i="6"/>
  <c r="L84" i="6" s="1"/>
  <c r="V7" i="6"/>
  <c r="L72" i="6" s="1"/>
  <c r="N72" i="6" s="1"/>
  <c r="C56" i="6" a="1"/>
  <c r="C56" i="6" s="1"/>
  <c r="V8" i="6"/>
  <c r="L73" i="6" s="1"/>
  <c r="U8" i="6"/>
  <c r="V9" i="6"/>
  <c r="L74" i="6" s="1"/>
  <c r="N75" i="6" s="1"/>
  <c r="V13" i="6"/>
  <c r="L78" i="6" s="1"/>
  <c r="V12" i="6"/>
  <c r="L77" i="6" s="1"/>
  <c r="V14" i="6"/>
  <c r="L79" i="6" s="1"/>
  <c r="V15" i="6"/>
  <c r="L80" i="6" s="1"/>
  <c r="I93" i="6"/>
  <c r="M93" i="6" s="1"/>
  <c r="P82" i="6"/>
  <c r="P77" i="6"/>
  <c r="P76" i="6"/>
  <c r="P75" i="6"/>
  <c r="P74" i="6"/>
  <c r="P80" i="6"/>
  <c r="P78" i="6"/>
  <c r="P70" i="6"/>
  <c r="P73" i="6"/>
  <c r="P79" i="6"/>
  <c r="P84" i="6"/>
  <c r="P72" i="6"/>
  <c r="P81" i="6"/>
  <c r="P83" i="6"/>
  <c r="P71" i="6"/>
  <c r="V17" i="6"/>
  <c r="L82" i="6" s="1"/>
  <c r="V16" i="6"/>
  <c r="L81" i="6" s="1"/>
  <c r="M72" i="6" a="1"/>
  <c r="M72" i="6" s="1"/>
  <c r="U72" i="6" s="1"/>
  <c r="W72" i="6" s="1"/>
  <c r="C58" i="6"/>
  <c r="Q76" i="6" l="1"/>
  <c r="M78" i="6" a="1"/>
  <c r="M78" i="6" s="1"/>
  <c r="U78" i="6" s="1"/>
  <c r="W78" i="6" s="1"/>
  <c r="N84" i="6"/>
  <c r="J89" i="6"/>
  <c r="N90" i="6" s="1"/>
  <c r="C61" i="6"/>
  <c r="N96" i="6" s="1"/>
  <c r="T96" i="6" s="1"/>
  <c r="M79" i="6" a="1"/>
  <c r="M79" i="6" s="1"/>
  <c r="U79" i="6" s="1"/>
  <c r="W79" i="6" s="1"/>
  <c r="N71" i="6"/>
  <c r="Q71" i="6" s="1"/>
  <c r="N70" i="6"/>
  <c r="Q70" i="6" s="1"/>
  <c r="N78" i="6"/>
  <c r="Q78" i="6" s="1"/>
  <c r="N74" i="6"/>
  <c r="Q74" i="6" s="1"/>
  <c r="M73" i="6" a="1"/>
  <c r="M73" i="6" s="1"/>
  <c r="U73" i="6" s="1"/>
  <c r="W73" i="6" s="1"/>
  <c r="M71" i="6" a="1"/>
  <c r="M71" i="6" s="1"/>
  <c r="U71" i="6" s="1"/>
  <c r="W71" i="6" s="1"/>
  <c r="N73" i="6"/>
  <c r="Q73" i="6" s="1"/>
  <c r="N80" i="6"/>
  <c r="Q80" i="6" s="1"/>
  <c r="N77" i="6"/>
  <c r="Q77" i="6" s="1"/>
  <c r="N79" i="6"/>
  <c r="Q79" i="6" s="1"/>
  <c r="M74" i="6" a="1"/>
  <c r="M74" i="6" s="1"/>
  <c r="U74" i="6" s="1"/>
  <c r="W74" i="6" s="1"/>
  <c r="M75" i="6" a="1"/>
  <c r="M75" i="6" s="1"/>
  <c r="U75" i="6" s="1"/>
  <c r="W75" i="6" s="1"/>
  <c r="N81" i="6"/>
  <c r="Q81" i="6" s="1"/>
  <c r="Q75" i="6"/>
  <c r="N83" i="6"/>
  <c r="Q83" i="6" s="1"/>
  <c r="M76" i="6" a="1"/>
  <c r="M76" i="6" s="1"/>
  <c r="U76" i="6" s="1"/>
  <c r="W76" i="6" s="1"/>
  <c r="Q84" i="6"/>
  <c r="Q72" i="6"/>
  <c r="M77" i="6" a="1"/>
  <c r="M77" i="6" s="1"/>
  <c r="U77" i="6" s="1"/>
  <c r="W77" i="6" s="1"/>
  <c r="N82" i="6"/>
  <c r="Q82" i="6" s="1"/>
  <c r="AC27" i="6"/>
  <c r="AC28" i="6"/>
  <c r="AC29" i="6"/>
  <c r="AC30" i="6"/>
  <c r="AC31" i="6"/>
  <c r="AC32" i="6"/>
  <c r="AC33" i="6"/>
  <c r="AC34" i="6"/>
  <c r="AC35" i="6"/>
  <c r="AC26" i="6"/>
  <c r="AB27" i="6"/>
  <c r="AB28" i="6"/>
  <c r="AB29" i="6"/>
  <c r="AB30" i="6"/>
  <c r="AB31" i="6"/>
  <c r="AB32" i="6"/>
  <c r="AB33" i="6"/>
  <c r="AB34" i="6"/>
  <c r="AB35" i="6"/>
  <c r="AB26" i="6"/>
  <c r="AA27" i="6"/>
  <c r="AA28" i="6"/>
  <c r="AA29" i="6"/>
  <c r="AA30" i="6"/>
  <c r="AA31" i="6"/>
  <c r="AA32" i="6"/>
  <c r="AA33" i="6"/>
  <c r="AA34" i="6"/>
  <c r="AA35" i="6"/>
  <c r="AA26" i="6"/>
  <c r="J64" i="6"/>
  <c r="N64" i="6" s="1"/>
  <c r="J63" i="6"/>
  <c r="N63" i="6" s="1"/>
  <c r="N62" i="6"/>
  <c r="S65" i="6"/>
  <c r="Q64" i="6"/>
  <c r="Q94" i="6" s="1"/>
  <c r="O64" i="6"/>
  <c r="O94" i="6" s="1"/>
  <c r="Q63" i="6"/>
  <c r="Q93" i="6" s="1"/>
  <c r="O63" i="6"/>
  <c r="O93" i="6" s="1"/>
  <c r="Q62" i="6"/>
  <c r="Q92" i="6" s="1"/>
  <c r="O62" i="6"/>
  <c r="O92" i="6" s="1"/>
  <c r="K54" i="6"/>
  <c r="K53" i="6"/>
  <c r="K52" i="6"/>
  <c r="K51" i="6"/>
  <c r="K50" i="6"/>
  <c r="K49" i="6"/>
  <c r="I49" i="6"/>
  <c r="K48" i="6"/>
  <c r="I48" i="6"/>
  <c r="K47" i="6"/>
  <c r="I47" i="6"/>
  <c r="K46" i="6"/>
  <c r="I46" i="6"/>
  <c r="K45" i="6"/>
  <c r="I45" i="6"/>
  <c r="K44" i="6"/>
  <c r="I44" i="6"/>
  <c r="K43" i="6"/>
  <c r="I43" i="6"/>
  <c r="K42" i="6"/>
  <c r="I42" i="6"/>
  <c r="K41" i="6"/>
  <c r="I41" i="6"/>
  <c r="K40" i="6"/>
  <c r="I40" i="6"/>
  <c r="AD35" i="6"/>
  <c r="AD34" i="6"/>
  <c r="J78" i="6" s="1"/>
  <c r="AD33" i="6"/>
  <c r="J77" i="6" s="1"/>
  <c r="AD32" i="6"/>
  <c r="J76" i="6" s="1"/>
  <c r="AD31" i="6"/>
  <c r="J75" i="6" s="1"/>
  <c r="C35" i="6"/>
  <c r="V54" i="6" s="1"/>
  <c r="AD30" i="6"/>
  <c r="J74" i="6" s="1"/>
  <c r="AD29" i="6"/>
  <c r="J73" i="6" s="1"/>
  <c r="AD28" i="6"/>
  <c r="AD27" i="6"/>
  <c r="AD26" i="6"/>
  <c r="J70" i="6" s="1"/>
  <c r="U19" i="6"/>
  <c r="L54" i="6" s="1"/>
  <c r="T19" i="6"/>
  <c r="F21" i="6"/>
  <c r="E21" i="6"/>
  <c r="U18" i="6"/>
  <c r="L53" i="6" s="1"/>
  <c r="T18" i="6"/>
  <c r="U17" i="6"/>
  <c r="L52" i="6" s="1"/>
  <c r="T17" i="6"/>
  <c r="U16" i="6"/>
  <c r="L51" i="6" s="1"/>
  <c r="T16" i="6"/>
  <c r="U15" i="6"/>
  <c r="L50" i="6" s="1"/>
  <c r="T15" i="6"/>
  <c r="U14" i="6"/>
  <c r="L49" i="6" s="1"/>
  <c r="T14" i="6"/>
  <c r="U13" i="6"/>
  <c r="L48" i="6" s="1"/>
  <c r="T13" i="6"/>
  <c r="U12" i="6"/>
  <c r="L47" i="6" s="1"/>
  <c r="T12" i="6"/>
  <c r="U11" i="6"/>
  <c r="L46" i="6" s="1"/>
  <c r="T11" i="6"/>
  <c r="U10" i="6"/>
  <c r="L45" i="6" s="1"/>
  <c r="T10" i="6"/>
  <c r="U9" i="6"/>
  <c r="L44" i="6" s="1"/>
  <c r="T9" i="6"/>
  <c r="L43" i="6"/>
  <c r="T8" i="6"/>
  <c r="U7" i="6"/>
  <c r="L42" i="6" s="1"/>
  <c r="T7" i="6"/>
  <c r="U6" i="6"/>
  <c r="L41" i="6" s="1"/>
  <c r="T6" i="6"/>
  <c r="U5" i="6"/>
  <c r="L40" i="6" s="1"/>
  <c r="T5" i="6"/>
  <c r="U4" i="6"/>
  <c r="V4" i="6" s="1"/>
  <c r="U3" i="6"/>
  <c r="N66" i="6" l="1"/>
  <c r="T66" i="6" s="1"/>
  <c r="J59" i="6"/>
  <c r="N60" i="6" s="1"/>
  <c r="C60" i="6"/>
  <c r="J60" i="6" s="1"/>
  <c r="S82" i="6"/>
  <c r="P62" i="6"/>
  <c r="V85" i="6" a="1"/>
  <c r="V85" i="6" s="1"/>
  <c r="V82" i="6"/>
  <c r="N53" i="6"/>
  <c r="Q53" i="6" s="1"/>
  <c r="N42" i="6"/>
  <c r="Q42" i="6" s="1"/>
  <c r="N47" i="6"/>
  <c r="Q47" i="6" s="1"/>
  <c r="N48" i="6"/>
  <c r="Q48" i="6" s="1"/>
  <c r="N51" i="6"/>
  <c r="Q51" i="6" s="1"/>
  <c r="N45" i="6"/>
  <c r="Q45" i="6" s="1"/>
  <c r="N44" i="6"/>
  <c r="Q44" i="6" s="1"/>
  <c r="N50" i="6"/>
  <c r="Q50" i="6" s="1"/>
  <c r="P93" i="6"/>
  <c r="R93" i="6"/>
  <c r="P94" i="6"/>
  <c r="R94" i="6"/>
  <c r="S94" i="6" s="1"/>
  <c r="T94" i="6" s="1"/>
  <c r="J49" i="6"/>
  <c r="S49" i="6" s="1"/>
  <c r="J79" i="6"/>
  <c r="N46" i="6"/>
  <c r="Q46" i="6" s="1"/>
  <c r="N52" i="6"/>
  <c r="Q52" i="6" s="1"/>
  <c r="J41" i="6"/>
  <c r="S41" i="6" s="1"/>
  <c r="J71" i="6"/>
  <c r="P63" i="6"/>
  <c r="J72" i="6"/>
  <c r="J42" i="6"/>
  <c r="S42" i="6" s="1"/>
  <c r="R92" i="6"/>
  <c r="S92" i="6" s="1"/>
  <c r="P92" i="6"/>
  <c r="N41" i="6"/>
  <c r="Q41" i="6" s="1"/>
  <c r="N40" i="6"/>
  <c r="Q40" i="6" s="1"/>
  <c r="N54" i="6"/>
  <c r="Q54" i="6" s="1"/>
  <c r="N43" i="6"/>
  <c r="Q43" i="6" s="1"/>
  <c r="N49" i="6"/>
  <c r="Q49" i="6" s="1"/>
  <c r="J47" i="6"/>
  <c r="S47" i="6" s="1"/>
  <c r="J40" i="6"/>
  <c r="S40" i="6" s="1"/>
  <c r="J48" i="6"/>
  <c r="S48" i="6" s="1"/>
  <c r="J45" i="6"/>
  <c r="S45" i="6" s="1"/>
  <c r="J46" i="6"/>
  <c r="S46" i="6" s="1"/>
  <c r="J44" i="6"/>
  <c r="S44" i="6" s="1"/>
  <c r="J43" i="6"/>
  <c r="S43" i="6" s="1"/>
  <c r="R64" i="6"/>
  <c r="S64" i="6" s="1"/>
  <c r="T64" i="6" s="1"/>
  <c r="P64" i="6"/>
  <c r="R63" i="6"/>
  <c r="R62" i="6"/>
  <c r="J90" i="6" l="1"/>
  <c r="J88" i="6" s="1"/>
  <c r="P61" i="6"/>
  <c r="S60" i="6" s="1"/>
  <c r="J58" i="6"/>
  <c r="N59" i="6"/>
  <c r="T59" i="6" s="1"/>
  <c r="V55" i="6" a="1"/>
  <c r="V55" i="6" s="1"/>
  <c r="P91" i="6"/>
  <c r="Q90" i="6" s="1"/>
  <c r="T92" i="6"/>
  <c r="N65" i="6"/>
  <c r="S93" i="6"/>
  <c r="T93" i="6" s="1"/>
  <c r="N89" i="6"/>
  <c r="T89" i="6" s="1"/>
  <c r="Z89" i="6" s="1"/>
  <c r="N95" i="6"/>
  <c r="M48" i="6" a="1"/>
  <c r="M48" i="6" s="1"/>
  <c r="U48" i="6" s="1"/>
  <c r="M49" i="6" a="1"/>
  <c r="M49" i="6" s="1"/>
  <c r="U49" i="6" s="1"/>
  <c r="S63" i="6"/>
  <c r="T63" i="6" s="1"/>
  <c r="S62" i="6"/>
  <c r="Z59" i="6" l="1"/>
  <c r="AB59" i="6" s="1"/>
  <c r="AB89" i="6"/>
  <c r="Z91" i="6"/>
  <c r="S90" i="6"/>
  <c r="S91" i="6"/>
  <c r="T90" i="6" s="1"/>
  <c r="Q60" i="6"/>
  <c r="S61" i="6"/>
  <c r="T62" i="6"/>
  <c r="Z61" i="6" s="1"/>
  <c r="M47" i="6" a="1"/>
  <c r="M47" i="6" s="1"/>
  <c r="U47" i="6" s="1"/>
  <c r="T95" i="6" l="1"/>
  <c r="Z90" i="6"/>
  <c r="T60" i="6"/>
  <c r="AB90" i="6" l="1"/>
  <c r="W89" i="6"/>
  <c r="W91" i="6" s="1"/>
  <c r="Z92" i="6"/>
  <c r="T65" i="6"/>
  <c r="W59" i="6" s="1"/>
  <c r="W61" i="6" s="1"/>
  <c r="AA59" i="6" s="1"/>
  <c r="Z60" i="6"/>
  <c r="M41" i="6" a="1"/>
  <c r="M41" i="6" s="1"/>
  <c r="U41" i="6" s="1"/>
  <c r="M42" i="6" a="1"/>
  <c r="M42" i="6" s="1"/>
  <c r="U42" i="6" s="1"/>
  <c r="M45" i="6" a="1"/>
  <c r="M45" i="6" s="1"/>
  <c r="U45" i="6" s="1"/>
  <c r="M46" i="6" a="1"/>
  <c r="M46" i="6" s="1"/>
  <c r="U46" i="6" s="1"/>
  <c r="M44" i="6" a="1"/>
  <c r="M44" i="6" s="1"/>
  <c r="U44" i="6" s="1"/>
  <c r="M43" i="6" a="1"/>
  <c r="M43" i="6" s="1"/>
  <c r="U43" i="6" s="1"/>
  <c r="M40" i="6" a="1"/>
  <c r="M40" i="6" s="1"/>
  <c r="U40" i="6" s="1"/>
  <c r="AA92" i="6" l="1"/>
  <c r="AB92" i="6" s="1"/>
  <c r="AB91" i="6" s="1"/>
  <c r="AA89" i="6"/>
  <c r="AA91" i="6"/>
  <c r="AA90" i="6"/>
  <c r="AA60" i="6"/>
  <c r="AB60" i="6"/>
  <c r="Z62" i="6"/>
  <c r="AA61" i="6"/>
  <c r="S52" i="6"/>
  <c r="V52" i="6" s="1"/>
  <c r="AA62" i="6" l="1"/>
  <c r="AB62" i="6" s="1"/>
  <c r="AB61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<sst xmlns="http://schemas.openxmlformats.org/spreadsheetml/2006/main" count="476" uniqueCount="228">
  <si>
    <t>GRAVA 1</t>
  </si>
  <si>
    <t>GRAVILLA 2</t>
  </si>
  <si>
    <t>ARENA 3</t>
  </si>
  <si>
    <t>G5</t>
  </si>
  <si>
    <t>Resistencia</t>
  </si>
  <si>
    <t>G15</t>
  </si>
  <si>
    <t>APERTURA</t>
  </si>
  <si>
    <t>RETENIDO</t>
  </si>
  <si>
    <t>PASA</t>
  </si>
  <si>
    <t>Probabilidad defectuoso</t>
  </si>
  <si>
    <t>[mm]</t>
  </si>
  <si>
    <t>ASTM</t>
  </si>
  <si>
    <t>[g]</t>
  </si>
  <si>
    <t>[%]</t>
  </si>
  <si>
    <t>TMA</t>
  </si>
  <si>
    <t>3''</t>
  </si>
  <si>
    <t>Elemento a homigonar</t>
  </si>
  <si>
    <t>Zapata de Fundación</t>
  </si>
  <si>
    <t>2 1/2''</t>
  </si>
  <si>
    <t>Condiciones de ejecución en obra</t>
  </si>
  <si>
    <t>Buenas</t>
  </si>
  <si>
    <t>2''</t>
  </si>
  <si>
    <t>Tipo de cemento</t>
  </si>
  <si>
    <t>Melón Extra</t>
  </si>
  <si>
    <t>1 1/2''</t>
  </si>
  <si>
    <t>Clase de exposición de la obra</t>
  </si>
  <si>
    <t>C0</t>
  </si>
  <si>
    <t>1''</t>
  </si>
  <si>
    <t>Arena</t>
  </si>
  <si>
    <t>3/4''</t>
  </si>
  <si>
    <t>Gravilla</t>
  </si>
  <si>
    <t>1/2''</t>
  </si>
  <si>
    <t>Grava</t>
  </si>
  <si>
    <t>3/8''</t>
  </si>
  <si>
    <t>1/4''</t>
  </si>
  <si>
    <t>N°4</t>
  </si>
  <si>
    <t>N°8</t>
  </si>
  <si>
    <t>ABORCIÓN</t>
  </si>
  <si>
    <t>N°16</t>
  </si>
  <si>
    <t>HUMEDAD</t>
  </si>
  <si>
    <t>N°30</t>
  </si>
  <si>
    <t>N°50</t>
  </si>
  <si>
    <t>DENSIDAD</t>
  </si>
  <si>
    <t>N°100</t>
  </si>
  <si>
    <t>RESIDUO</t>
  </si>
  <si>
    <t>TOTAL</t>
  </si>
  <si>
    <t>Curva Sugerida por la Norma</t>
  </si>
  <si>
    <t>Tamiz mm</t>
  </si>
  <si>
    <t>80-A</t>
  </si>
  <si>
    <t>80-B</t>
  </si>
  <si>
    <t>80-C</t>
  </si>
  <si>
    <t>80-D</t>
  </si>
  <si>
    <t>40-A</t>
  </si>
  <si>
    <t>40-B</t>
  </si>
  <si>
    <t>40-C</t>
  </si>
  <si>
    <t>40-D</t>
  </si>
  <si>
    <t>20-A</t>
  </si>
  <si>
    <t>20-B</t>
  </si>
  <si>
    <t>20-C</t>
  </si>
  <si>
    <t>20-D</t>
  </si>
  <si>
    <t>Tamiz NCh</t>
  </si>
  <si>
    <t>Tamiz Lab</t>
  </si>
  <si>
    <t>Granulometria Ar Comb</t>
  </si>
  <si>
    <t>Granulometria Interpolacion</t>
  </si>
  <si>
    <t>-</t>
  </si>
  <si>
    <t>Ponderaciones Iniciales</t>
  </si>
  <si>
    <t>Granulometria Optimizda</t>
  </si>
  <si>
    <t>Combinacion Inicial</t>
  </si>
  <si>
    <t>Objetivo</t>
  </si>
  <si>
    <t>10-A</t>
  </si>
  <si>
    <t>10-B</t>
  </si>
  <si>
    <t>10_C</t>
  </si>
  <si>
    <t>10-D</t>
  </si>
  <si>
    <t>Promedio</t>
  </si>
  <si>
    <t>Curva 10</t>
  </si>
  <si>
    <t>Suma</t>
  </si>
  <si>
    <t>Relacion Agua Cemento</t>
  </si>
  <si>
    <t>Condiciones de Obra buenas</t>
  </si>
  <si>
    <t>s</t>
  </si>
  <si>
    <t>t</t>
  </si>
  <si>
    <t>fc</t>
  </si>
  <si>
    <t>Mpa</t>
  </si>
  <si>
    <t>fm</t>
  </si>
  <si>
    <t>MPa</t>
  </si>
  <si>
    <t>PSI</t>
  </si>
  <si>
    <t>La tabla Tabla 6.3.4 expone las distintas relaciones agua cemento, por lo tanto, se puede hacer la siguiente interpolacion lineal</t>
  </si>
  <si>
    <t>w/c</t>
  </si>
  <si>
    <t>min</t>
  </si>
  <si>
    <t>Solicitud por exposicion segun NCh 170-180</t>
  </si>
  <si>
    <t>Por lo tanto la relacion agua cemento a usar es</t>
  </si>
  <si>
    <t>c</t>
  </si>
  <si>
    <t>lb/yd3</t>
  </si>
  <si>
    <t>Volumen</t>
  </si>
  <si>
    <t>m3</t>
  </si>
  <si>
    <t>w</t>
  </si>
  <si>
    <t>kg/m3</t>
  </si>
  <si>
    <t>k</t>
  </si>
  <si>
    <t>Material</t>
  </si>
  <si>
    <t>Disificacion de Aridos SSS (kg/m3)</t>
  </si>
  <si>
    <t>Agua Absorcion (kg/m3)</t>
  </si>
  <si>
    <t>Cemento</t>
  </si>
  <si>
    <t>Agua de Amasado</t>
  </si>
  <si>
    <t>Agua de Abs de Aridos</t>
  </si>
  <si>
    <t>Peso Hormigon (kg)</t>
  </si>
  <si>
    <t>Absorcion</t>
  </si>
  <si>
    <t>Humedad</t>
  </si>
  <si>
    <t>Peso Seco</t>
  </si>
  <si>
    <t>Dosificacion Aridos Huemdos (kg/m3)</t>
  </si>
  <si>
    <t>Diferencia</t>
  </si>
  <si>
    <t>Agua Total</t>
  </si>
  <si>
    <t>CEMENTO</t>
  </si>
  <si>
    <t>Valor</t>
  </si>
  <si>
    <t>Opciones</t>
  </si>
  <si>
    <t>Curva 80</t>
  </si>
  <si>
    <t>Curva 40</t>
  </si>
  <si>
    <t>Curva 20</t>
  </si>
  <si>
    <t>Ponderaciones Finales Thomson</t>
  </si>
  <si>
    <t>Granulometria Sugerida</t>
  </si>
  <si>
    <t>Porcentaje Retenido</t>
  </si>
  <si>
    <t>Superior</t>
  </si>
  <si>
    <t>Inferior</t>
  </si>
  <si>
    <t>Cumple Tarantula</t>
  </si>
  <si>
    <t>G15, G20, G25, G35, G40</t>
  </si>
  <si>
    <t>1%, 2.5%, 5%, 10%, 20%</t>
  </si>
  <si>
    <t>9.5, 12.5, 19, 25, 37.5, 50, 75</t>
  </si>
  <si>
    <t>Regulares, Medias, Buenas, Muy buenas</t>
  </si>
  <si>
    <t>Slump (in.)</t>
  </si>
  <si>
    <t>1 to 2</t>
  </si>
  <si>
    <t>3 to 4</t>
  </si>
  <si>
    <t>5 to 6</t>
  </si>
  <si>
    <t>6 to 7</t>
  </si>
  <si>
    <t>More than 7</t>
  </si>
  <si>
    <t>Approximate entrapped air content in non-air-entrained concrete, %</t>
  </si>
  <si>
    <t>Defectuoso</t>
  </si>
  <si>
    <t>% Defectuoso</t>
  </si>
  <si>
    <t>Fc (Mpa)</t>
  </si>
  <si>
    <t>Fm(Mpa)</t>
  </si>
  <si>
    <t>PESO ESPECÍFICO</t>
  </si>
  <si>
    <t>Compressive strength at 28 days, psi</t>
  </si>
  <si>
    <t>Non-air-entrained concrete</t>
  </si>
  <si>
    <t>F0, F1, F2, F3, S0, S1, S2, S3, P0, P1, C0, C1, C2</t>
  </si>
  <si>
    <t>Melón Extra, Melón Especial</t>
  </si>
  <si>
    <t>Exposure Class</t>
  </si>
  <si>
    <t>Max w/c</t>
  </si>
  <si>
    <t>F0</t>
  </si>
  <si>
    <t>F1</t>
  </si>
  <si>
    <t>F2</t>
  </si>
  <si>
    <t>F3</t>
  </si>
  <si>
    <t>S0</t>
  </si>
  <si>
    <t>S1</t>
  </si>
  <si>
    <t>S2</t>
  </si>
  <si>
    <t>S3</t>
  </si>
  <si>
    <t>P0</t>
  </si>
  <si>
    <t>P1</t>
  </si>
  <si>
    <t>C1</t>
  </si>
  <si>
    <t>C2</t>
  </si>
  <si>
    <t>NA</t>
  </si>
  <si>
    <t>Max agregate size</t>
  </si>
  <si>
    <t>inch</t>
  </si>
  <si>
    <t>Slump</t>
  </si>
  <si>
    <t>Construction Type</t>
  </si>
  <si>
    <t>Muro Reforzado</t>
  </si>
  <si>
    <t>Losa</t>
  </si>
  <si>
    <t>Columna</t>
  </si>
  <si>
    <t>Vigas</t>
  </si>
  <si>
    <t>Muro Reforzado, Losa, Columna, Vigas, Zapata de Fundación</t>
  </si>
  <si>
    <t>3/8"</t>
  </si>
  <si>
    <t>1/2"</t>
  </si>
  <si>
    <t>3/4"</t>
  </si>
  <si>
    <t>1"</t>
  </si>
  <si>
    <t>2"</t>
  </si>
  <si>
    <t>3"</t>
  </si>
  <si>
    <t>Max Agregate</t>
  </si>
  <si>
    <t>Funcion Objetivo TMA</t>
  </si>
  <si>
    <t>Correccion por Humedad TMA</t>
  </si>
  <si>
    <t>Factor K TMA</t>
  </si>
  <si>
    <t>Interpolacion TMA</t>
  </si>
  <si>
    <t>Combinacion Final Thomson</t>
  </si>
  <si>
    <t>{ASA</t>
  </si>
  <si>
    <t>Interpolacion Thomson</t>
  </si>
  <si>
    <t>Funcion Objetivo Thomson</t>
  </si>
  <si>
    <t>Factor K Thomson</t>
  </si>
  <si>
    <t>Correccion por Humedad Thomson</t>
  </si>
  <si>
    <t>Delta Tarantula</t>
  </si>
  <si>
    <t>Condicion para eljar la mezcla de los bordes de la tarantula</t>
  </si>
  <si>
    <t>Tarantula</t>
  </si>
  <si>
    <t>Solver Solution</t>
  </si>
  <si>
    <t>Densidad Teorica</t>
  </si>
  <si>
    <t>Densidad real</t>
  </si>
  <si>
    <t>factor</t>
  </si>
  <si>
    <t>Agua</t>
  </si>
  <si>
    <t>Agregados</t>
  </si>
  <si>
    <t>Densidad</t>
  </si>
  <si>
    <t>Teorico</t>
  </si>
  <si>
    <t>Real</t>
  </si>
  <si>
    <t>Corregida</t>
  </si>
  <si>
    <t>Densidad Real</t>
  </si>
  <si>
    <t>Rendimiento</t>
  </si>
  <si>
    <t>aire</t>
  </si>
  <si>
    <t>%</t>
  </si>
  <si>
    <t>Aire</t>
  </si>
  <si>
    <t>GRAVILLA 1</t>
  </si>
  <si>
    <t>GRAVILLA 3</t>
  </si>
  <si>
    <t>GRAVILLA 4</t>
  </si>
  <si>
    <t>37.5</t>
  </si>
  <si>
    <t>4.75</t>
  </si>
  <si>
    <t>2.36</t>
  </si>
  <si>
    <t>1.18</t>
  </si>
  <si>
    <t>0.6</t>
  </si>
  <si>
    <t>0.3</t>
  </si>
  <si>
    <t>0.15</t>
  </si>
  <si>
    <t>GRAVA 2</t>
  </si>
  <si>
    <t>GRAVA 3</t>
  </si>
  <si>
    <t>GRAVA 4</t>
  </si>
  <si>
    <t>ARENA 1</t>
  </si>
  <si>
    <t>ARENA 2</t>
  </si>
  <si>
    <t>ARENA 4</t>
  </si>
  <si>
    <t>Arena 1, Arena 2, Arena 3, Arena 4</t>
  </si>
  <si>
    <t>Gravilla 1, Gravilla 2, Gravilla 3,  Gravilla 4</t>
  </si>
  <si>
    <t>Grava 1, Grava 2, Grava 3,  Grava 4</t>
  </si>
  <si>
    <t>Combinacion Final Banda</t>
  </si>
  <si>
    <t>Ponderaciones Finales Banda</t>
  </si>
  <si>
    <t>Arena 1</t>
  </si>
  <si>
    <t>Gravilla 1</t>
  </si>
  <si>
    <t>Grava 2</t>
  </si>
  <si>
    <t>2 1/2"</t>
  </si>
  <si>
    <t>1 1/2"</t>
  </si>
  <si>
    <t>1/4"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</si>
</sst>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000"/>
    <numFmt numFmtId="166" formatCode="0.000%"/>
    <numFmt numFmtId="167" formatCode="0.00000"/>
    <numFmt numFmtId="168" formatCode="0.000000"/>
    <numFmt numFmtId="169" formatCode="0.0%"/>
    <numFmt numFmtId="170" formatCode="d\.m"/>
    <numFmt numFmtId="172" formatCode="0.0"/>
  </numFmts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Overpass"/>
    </font>
    <font>
      <sz val="11"/>
      <color rgb="FF000000"/>
      <name val="Overpass"/>
    </font>
    <font>
      <b/>
      <sz val="11"/>
      <color rgb="FF000000"/>
      <name val="Overpass"/>
    </font>
    <font>
      <sz val="10"/>
      <name val="Arial"/>
      <family val="2"/>
    </font>
    <font>
      <sz val="11"/>
      <color rgb="FF000000"/>
      <name val="Arial"/>
      <family val="2"/>
    </font>
    <font>
      <sz val="12"/>
      <color rgb="FF000000"/>
      <name val="Overpass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Overpass"/>
    </font>
    <font>
      <sz val="11"/>
      <color theme="1"/>
      <name val="Aptos Narrow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DEBF7"/>
        <bgColor rgb="FFDDEBF7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theme="5"/>
      </patternFill>
    </fill>
    <fill>
      <patternFill patternType="solid">
        <fgColor rgb="FFEBD1DD"/>
        <bgColor indexed="64"/>
      </patternFill>
    </fill>
    <fill>
      <patternFill patternType="solid">
        <fgColor theme="0" tint="-4.9989318521683403E-2"/>
        <bgColor rgb="FF3C7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D1DD"/>
        <bgColor rgb="FFFFD966"/>
      </patternFill>
    </fill>
    <fill>
      <patternFill patternType="solid">
        <fgColor rgb="FF93C57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rgb="FFEAD1DC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5">
    <xf numFmtId="0" fontId="0" fillId="0" borderId="0" xfId="0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9" fontId="5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10" fontId="5" fillId="0" borderId="6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0" fillId="0" borderId="10" xfId="0" applyFon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8" fillId="5" borderId="1" xfId="0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16" borderId="10" xfId="0" applyFont="1" applyFill="1" applyBorder="1" applyAlignment="1">
      <alignment horizontal="center"/>
    </xf>
    <xf numFmtId="9" fontId="10" fillId="0" borderId="0" xfId="0" applyNumberFormat="1" applyFont="1" applyAlignment="1">
      <alignment horizontal="center"/>
    </xf>
    <xf numFmtId="9" fontId="1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15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0" fontId="10" fillId="0" borderId="10" xfId="0" applyFont="1" applyBorder="1" applyAlignment="1">
      <alignment horizontal="center" wrapText="1"/>
    </xf>
    <xf numFmtId="9" fontId="10" fillId="0" borderId="1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164" fontId="10" fillId="0" borderId="11" xfId="0" applyNumberFormat="1" applyFont="1" applyBorder="1" applyAlignment="1">
      <alignment horizontal="center"/>
    </xf>
    <xf numFmtId="164" fontId="10" fillId="0" borderId="16" xfId="0" applyNumberFormat="1" applyFont="1" applyBorder="1" applyAlignment="1">
      <alignment horizontal="center"/>
    </xf>
    <xf numFmtId="9" fontId="10" fillId="0" borderId="17" xfId="0" applyNumberFormat="1" applyFont="1" applyBorder="1" applyAlignment="1">
      <alignment horizontal="center"/>
    </xf>
    <xf numFmtId="9" fontId="12" fillId="0" borderId="17" xfId="0" applyNumberFormat="1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0" fontId="5" fillId="0" borderId="9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7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10" fontId="0" fillId="0" borderId="10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7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8" borderId="4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17" borderId="10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165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0" fontId="0" fillId="0" borderId="17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0" fontId="10" fillId="0" borderId="0" xfId="0" applyFont="1" applyAlignment="1">
      <alignment horizontal="center" wrapText="1"/>
    </xf>
    <xf numFmtId="10" fontId="0" fillId="0" borderId="10" xfId="1" applyNumberFormat="1" applyFont="1" applyFill="1" applyBorder="1" applyAlignment="1">
      <alignment horizontal="center" vertical="center"/>
    </xf>
    <xf numFmtId="10" fontId="10" fillId="0" borderId="10" xfId="0" applyNumberFormat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9" fontId="11" fillId="0" borderId="0" xfId="0" applyNumberFormat="1" applyFont="1" applyAlignment="1">
      <alignment horizontal="center"/>
    </xf>
    <xf numFmtId="0" fontId="15" fillId="0" borderId="10" xfId="0" applyFont="1" applyBorder="1" applyAlignment="1">
      <alignment horizontal="center" vertical="top"/>
    </xf>
    <xf numFmtId="9" fontId="4" fillId="0" borderId="10" xfId="1" applyFont="1" applyBorder="1" applyAlignment="1">
      <alignment horizontal="center"/>
    </xf>
    <xf numFmtId="0" fontId="7" fillId="0" borderId="0" xfId="0" applyFont="1" applyAlignment="1">
      <alignment horizontal="center"/>
    </xf>
    <xf numFmtId="1" fontId="10" fillId="0" borderId="5" xfId="0" applyNumberFormat="1" applyFont="1" applyBorder="1" applyAlignment="1">
      <alignment horizontal="center"/>
    </xf>
    <xf numFmtId="1" fontId="10" fillId="0" borderId="24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6" fillId="0" borderId="10" xfId="0" applyFon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11" fillId="18" borderId="10" xfId="0" applyFont="1" applyFill="1" applyBorder="1" applyAlignment="1">
      <alignment horizontal="center"/>
    </xf>
    <xf numFmtId="0" fontId="3" fillId="18" borderId="10" xfId="0" applyFont="1" applyFill="1" applyBorder="1" applyAlignment="1">
      <alignment horizontal="center"/>
    </xf>
    <xf numFmtId="0" fontId="0" fillId="18" borderId="10" xfId="0" applyFill="1" applyBorder="1" applyAlignment="1">
      <alignment horizontal="center" vertical="center"/>
    </xf>
    <xf numFmtId="10" fontId="11" fillId="0" borderId="10" xfId="1" applyNumberFormat="1" applyFont="1" applyBorder="1" applyAlignment="1">
      <alignment horizontal="center"/>
    </xf>
    <xf numFmtId="10" fontId="0" fillId="0" borderId="10" xfId="1" applyNumberFormat="1" applyFont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166" fontId="3" fillId="0" borderId="10" xfId="1" applyNumberFormat="1" applyFont="1" applyBorder="1" applyAlignment="1">
      <alignment horizontal="center"/>
    </xf>
    <xf numFmtId="1" fontId="0" fillId="0" borderId="10" xfId="1" applyNumberFormat="1" applyFont="1" applyBorder="1" applyAlignment="1">
      <alignment horizontal="center"/>
    </xf>
    <xf numFmtId="167" fontId="0" fillId="0" borderId="10" xfId="0" applyNumberFormat="1" applyBorder="1" applyAlignment="1">
      <alignment horizontal="center" wrapText="1"/>
    </xf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wrapText="1"/>
    </xf>
    <xf numFmtId="165" fontId="2" fillId="0" borderId="10" xfId="0" applyNumberFormat="1" applyFont="1" applyBorder="1" applyAlignment="1">
      <alignment horizontal="center"/>
    </xf>
    <xf numFmtId="10" fontId="0" fillId="0" borderId="10" xfId="1" applyNumberFormat="1" applyFont="1" applyBorder="1"/>
    <xf numFmtId="10" fontId="0" fillId="0" borderId="0" xfId="1" applyNumberFormat="1" applyFont="1" applyAlignment="1">
      <alignment horizontal="center"/>
    </xf>
    <xf numFmtId="168" fontId="0" fillId="0" borderId="10" xfId="1" applyNumberFormat="1" applyFont="1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23" xfId="0" applyBorder="1" applyAlignment="1">
      <alignment horizontal="center" wrapText="1"/>
    </xf>
    <xf numFmtId="10" fontId="0" fillId="0" borderId="18" xfId="0" applyNumberFormat="1" applyBorder="1" applyAlignment="1">
      <alignment horizontal="center" vertical="center"/>
    </xf>
    <xf numFmtId="10" fontId="0" fillId="0" borderId="18" xfId="0" applyNumberFormat="1" applyBorder="1" applyAlignment="1">
      <alignment horizontal="center"/>
    </xf>
    <xf numFmtId="0" fontId="16" fillId="0" borderId="0" xfId="0" applyFont="1"/>
    <xf numFmtId="0" fontId="5" fillId="0" borderId="0" xfId="0" applyFont="1"/>
    <xf numFmtId="0" fontId="6" fillId="3" borderId="6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169" fontId="5" fillId="0" borderId="8" xfId="0" applyNumberFormat="1" applyFont="1" applyBorder="1" applyAlignment="1">
      <alignment horizontal="center"/>
    </xf>
    <xf numFmtId="169" fontId="5" fillId="0" borderId="6" xfId="0" applyNumberFormat="1" applyFont="1" applyBorder="1" applyAlignment="1">
      <alignment horizontal="center"/>
    </xf>
    <xf numFmtId="170" fontId="6" fillId="0" borderId="8" xfId="0" applyNumberFormat="1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69" fontId="6" fillId="2" borderId="4" xfId="0" applyNumberFormat="1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6" fillId="0" borderId="1" xfId="0" applyFont="1" applyBorder="1" applyAlignment="1">
      <alignment horizontal="center"/>
    </xf>
    <xf numFmtId="10" fontId="11" fillId="0" borderId="10" xfId="0" applyNumberFormat="1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11" fillId="15" borderId="10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9" fontId="11" fillId="0" borderId="10" xfId="0" applyNumberFormat="1" applyFont="1" applyBorder="1" applyAlignment="1">
      <alignment horizontal="center"/>
    </xf>
    <xf numFmtId="0" fontId="11" fillId="16" borderId="10" xfId="0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0" xfId="0" applyNumberFormat="1" applyBorder="1" applyAlignment="1">
      <alignment horizontal="center" wrapText="1"/>
    </xf>
    <xf numFmtId="0" fontId="14" fillId="0" borderId="19" xfId="0" applyFont="1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9" fontId="0" fillId="0" borderId="19" xfId="0" applyNumberFormat="1" applyBorder="1" applyAlignment="1">
      <alignment horizontal="center" wrapText="1"/>
    </xf>
    <xf numFmtId="9" fontId="0" fillId="0" borderId="21" xfId="0" applyNumberFormat="1" applyBorder="1" applyAlignment="1">
      <alignment horizontal="center" wrapText="1"/>
    </xf>
    <xf numFmtId="0" fontId="14" fillId="0" borderId="2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0" xfId="0" applyAlignment="1">
      <alignment horizontal="center"/>
    </xf>
    <xf numFmtId="167" fontId="0" fillId="0" borderId="10" xfId="1" applyNumberFormat="1" applyFont="1" applyBorder="1" applyAlignment="1">
      <alignment horizontal="center"/>
    </xf>
    <xf numFmtId="0" fontId="7" fillId="0" borderId="3" xfId="0" applyFont="1" applyBorder="1"/>
    <xf numFmtId="0" fontId="6" fillId="4" borderId="1" xfId="0" applyFont="1" applyFill="1" applyBorder="1" applyAlignment="1">
      <alignment horizontal="center"/>
    </xf>
    <xf numFmtId="0" fontId="7" fillId="0" borderId="2" xfId="0" applyFont="1" applyBorder="1"/>
    <xf numFmtId="0" fontId="6" fillId="2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66" fontId="3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6" fontId="3" fillId="0" borderId="0" xfId="1" applyNumberFormat="1" applyFont="1" applyBorder="1" applyAlignment="1">
      <alignment horizontal="center"/>
    </xf>
    <xf numFmtId="172" fontId="5" fillId="0" borderId="6" xfId="0" applyNumberFormat="1" applyFont="1" applyBorder="1" applyAlignment="1">
      <alignment horizontal="center"/>
    </xf>
    <xf numFmtId="0" fontId="17" fillId="0" borderId="10" xfId="0" applyFont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3C57D"/>
      <color rgb="FFEBD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aseline="0"/>
              <a:t>Optimización Fuller - Thompson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Objetivo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PLANTILLA!$I$70:$I$79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>
                  <c:v>1.25</c:v>
                </c:pt>
                <c:pt idx="7">
                  <c:v>0.63</c:v>
                </c:pt>
                <c:pt idx="8">
                  <c:v>0.315</c:v>
                </c:pt>
                <c:pt idx="9">
                  <c:v>0.16</c:v>
                </c:pt>
              </c:numCache>
            </c:numRef>
          </c:xVal>
          <c:yVal>
            <c:numRef>
              <c:f>PLANTILLA!$J$70:$J$79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0.63</c:v>
                </c:pt>
                <c:pt idx="5">
                  <c:v>0.49000000000000005</c:v>
                </c:pt>
                <c:pt idx="6">
                  <c:v>0.38</c:v>
                </c:pt>
                <c:pt idx="7">
                  <c:v>0.20750000000000002</c:v>
                </c:pt>
                <c:pt idx="8">
                  <c:v>0.11</c:v>
                </c:pt>
                <c:pt idx="9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8D-FA41-8DD0-15CF5C574EBE}"/>
            </c:ext>
          </c:extLst>
        </c:ser>
        <c:ser>
          <c:idx val="1"/>
          <c:order val="1"/>
          <c:tx>
            <c:v>Optimizada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PLANTILLA!$I$70:$I$79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>
                  <c:v>1.25</c:v>
                </c:pt>
                <c:pt idx="7">
                  <c:v>0.63</c:v>
                </c:pt>
                <c:pt idx="8">
                  <c:v>0.315</c:v>
                </c:pt>
                <c:pt idx="9">
                  <c:v>0.16</c:v>
                </c:pt>
              </c:numCache>
            </c:numRef>
          </c:xVal>
          <c:yVal>
            <c:numRef>
              <c:f>PLANTILLA!$M$70:$M$79</c:f>
              <c:numCache>
                <c:formatCode>0%</c:formatCode>
                <c:ptCount val="10"/>
                <c:pt idx="0">
                  <c:v>1.0000000000009583</c:v>
                </c:pt>
                <c:pt idx="1">
                  <c:v>1.0000000000009583</c:v>
                </c:pt>
                <c:pt idx="2">
                  <c:v>0.97865759798811347</c:v>
                </c:pt>
                <c:pt idx="3">
                  <c:v>0.81618714321704289</c:v>
                </c:pt>
                <c:pt idx="4">
                  <c:v>0.48874049548274839</c:v>
                </c:pt>
                <c:pt idx="5">
                  <c:v>0.39953252445268334</c:v>
                </c:pt>
                <c:pt idx="6">
                  <c:v>0.27915342646643082</c:v>
                </c:pt>
                <c:pt idx="7">
                  <c:v>0.19336871568502345</c:v>
                </c:pt>
                <c:pt idx="8">
                  <c:v>6.5491126476450098E-2</c:v>
                </c:pt>
                <c:pt idx="9">
                  <c:v>3.3579030867231227E-2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D8D-FA41-8DD0-15CF5C574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437472"/>
        <c:axId val="1298032496"/>
      </c:scatterChart>
      <c:valAx>
        <c:axId val="12974374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98032496"/>
        <c:crosses val="autoZero"/>
        <c:crossBetween val="midCat"/>
      </c:valAx>
      <c:valAx>
        <c:axId val="12980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% Pasante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9743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Granulometría</a:t>
            </a:r>
            <a:r>
              <a:rPr lang="es-MX" baseline="0"/>
              <a:t> Entregadas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Grava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PLANTILLA!$M$5:$M$19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</c:v>
                </c:pt>
                <c:pt idx="5">
                  <c:v>0.19999999999999996</c:v>
                </c:pt>
                <c:pt idx="6">
                  <c:v>4.9999999999999961E-2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FB-9744-A89E-7FC1428A5217}"/>
            </c:ext>
          </c:extLst>
        </c:ser>
        <c:ser>
          <c:idx val="1"/>
          <c:order val="1"/>
          <c:tx>
            <c:v>Gravilla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PLANTILLA!$P$5:$P$19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0.92999999999999994</c:v>
                </c:pt>
                <c:pt idx="6">
                  <c:v>0.76999999999999991</c:v>
                </c:pt>
                <c:pt idx="7">
                  <c:v>0.54999999999999993</c:v>
                </c:pt>
                <c:pt idx="8">
                  <c:v>0.26999999999999991</c:v>
                </c:pt>
                <c:pt idx="9">
                  <c:v>1.9999999999999907E-2</c:v>
                </c:pt>
                <c:pt idx="10">
                  <c:v>-9.3675067702747583E-17</c:v>
                </c:pt>
                <c:pt idx="11">
                  <c:v>-9.3675067702747583E-17</c:v>
                </c:pt>
                <c:pt idx="12">
                  <c:v>-9.3675067702747583E-17</c:v>
                </c:pt>
                <c:pt idx="13">
                  <c:v>-9.3675067702747583E-17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FB-9744-A89E-7FC1428A5217}"/>
            </c:ext>
          </c:extLst>
        </c:ser>
        <c:ser>
          <c:idx val="2"/>
          <c:order val="2"/>
          <c:tx>
            <c:v>Arena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PLANTILLA!$S$5:$S$19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0.94</c:v>
                </c:pt>
                <c:pt idx="8">
                  <c:v>0.79999999999999993</c:v>
                </c:pt>
                <c:pt idx="9">
                  <c:v>0.73</c:v>
                </c:pt>
                <c:pt idx="10">
                  <c:v>0.63</c:v>
                </c:pt>
                <c:pt idx="11">
                  <c:v>0.43</c:v>
                </c:pt>
                <c:pt idx="12">
                  <c:v>0.3</c:v>
                </c:pt>
                <c:pt idx="13">
                  <c:v>0.09</c:v>
                </c:pt>
                <c:pt idx="14">
                  <c:v>4.9999999999999996E-2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FB-9744-A89E-7FC1428A5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535968"/>
        <c:axId val="139891408"/>
      </c:scatterChart>
      <c:valAx>
        <c:axId val="20055359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9891408"/>
        <c:crosses val="autoZero"/>
        <c:crossBetween val="midCat"/>
      </c:valAx>
      <c:valAx>
        <c:axId val="1398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Pasante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0553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Optimización con</a:t>
            </a:r>
            <a:r>
              <a:rPr lang="es-MX" baseline="0"/>
              <a:t> Banda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14084962893897968"/>
          <c:y val="0.28963646275403804"/>
          <c:w val="0.82704713545932185"/>
          <c:h val="0.62379530132307837"/>
        </c:manualLayout>
      </c:layout>
      <c:scatterChart>
        <c:scatterStyle val="lineMarker"/>
        <c:varyColors val="0"/>
        <c:ser>
          <c:idx val="0"/>
          <c:order val="0"/>
          <c:tx>
            <c:v>Objetivo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PLANTILLA!$I$40:$I$49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>
                  <c:v>1.25</c:v>
                </c:pt>
                <c:pt idx="7">
                  <c:v>0.63</c:v>
                </c:pt>
                <c:pt idx="8">
                  <c:v>0.315</c:v>
                </c:pt>
                <c:pt idx="9">
                  <c:v>0.16</c:v>
                </c:pt>
              </c:numCache>
            </c:numRef>
          </c:xVal>
          <c:yVal>
            <c:numRef>
              <c:f>PLANTILLA!$S$40:$S$49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0.63</c:v>
                </c:pt>
                <c:pt idx="5">
                  <c:v>0.49000000000000005</c:v>
                </c:pt>
                <c:pt idx="6">
                  <c:v>0.38</c:v>
                </c:pt>
                <c:pt idx="7">
                  <c:v>0.20750000000000002</c:v>
                </c:pt>
                <c:pt idx="8">
                  <c:v>0.11</c:v>
                </c:pt>
                <c:pt idx="9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0F-244D-B8DE-5E29EEB68ABE}"/>
            </c:ext>
          </c:extLst>
        </c:ser>
        <c:ser>
          <c:idx val="1"/>
          <c:order val="1"/>
          <c:tx>
            <c:v>Optimizada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PLANTILLA!$I$40:$I$49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>
                  <c:v>1.25</c:v>
                </c:pt>
                <c:pt idx="7">
                  <c:v>0.63</c:v>
                </c:pt>
                <c:pt idx="8">
                  <c:v>0.315</c:v>
                </c:pt>
                <c:pt idx="9">
                  <c:v>0.16</c:v>
                </c:pt>
              </c:numCache>
            </c:numRef>
          </c:xVal>
          <c:yVal>
            <c:numRef>
              <c:f>PLANTILLA!$M$40:$M$49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0.84161536203356024</c:v>
                </c:pt>
                <c:pt idx="3">
                  <c:v>0.65481180475667256</c:v>
                </c:pt>
                <c:pt idx="4">
                  <c:v>0.390979327830347</c:v>
                </c:pt>
                <c:pt idx="5">
                  <c:v>0.31961373660749964</c:v>
                </c:pt>
                <c:pt idx="6">
                  <c:v>0.22331412353002456</c:v>
                </c:pt>
                <c:pt idx="7">
                  <c:v>0.1546890031332655</c:v>
                </c:pt>
                <c:pt idx="8">
                  <c:v>5.2390879428596784E-2</c:v>
                </c:pt>
                <c:pt idx="9">
                  <c:v>2.6862188087829624E-2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0F-244D-B8DE-5E29EEB68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311984"/>
        <c:axId val="595961792"/>
      </c:scatterChart>
      <c:valAx>
        <c:axId val="100331198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95961792"/>
        <c:crosses val="autoZero"/>
        <c:crossBetween val="midCat"/>
      </c:valAx>
      <c:valAx>
        <c:axId val="59596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% Pasante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0331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Distribucion</a:t>
            </a:r>
            <a:r>
              <a:rPr lang="es-MX" baseline="0"/>
              <a:t> Granulometrica Optimizada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Grava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PLANTILLA!$L$5:$L$19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</c:v>
                </c:pt>
                <c:pt idx="5">
                  <c:v>0.5</c:v>
                </c:pt>
                <c:pt idx="6">
                  <c:v>0.15</c:v>
                </c:pt>
                <c:pt idx="7">
                  <c:v>0.05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A-E446-A3F6-2F29C6BB6434}"/>
            </c:ext>
          </c:extLst>
        </c:ser>
        <c:ser>
          <c:idx val="1"/>
          <c:order val="1"/>
          <c:tx>
            <c:v>Gravilla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PLANTILLA!$O$5:$O$19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7.0000000000000007E-2</c:v>
                </c:pt>
                <c:pt idx="6">
                  <c:v>0.16</c:v>
                </c:pt>
                <c:pt idx="7">
                  <c:v>0.22</c:v>
                </c:pt>
                <c:pt idx="8">
                  <c:v>0.28000000000000003</c:v>
                </c:pt>
                <c:pt idx="9">
                  <c:v>0.25</c:v>
                </c:pt>
                <c:pt idx="10">
                  <c:v>0.02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3A-E446-A3F6-2F29C6BB6434}"/>
            </c:ext>
          </c:extLst>
        </c:ser>
        <c:ser>
          <c:idx val="2"/>
          <c:order val="2"/>
          <c:tx>
            <c:v>Arena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PLANTILLA!$R$5:$R$19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0.06</c:v>
                </c:pt>
                <c:pt idx="8">
                  <c:v>0.14000000000000001</c:v>
                </c:pt>
                <c:pt idx="9">
                  <c:v>7.0000000000000007E-2</c:v>
                </c:pt>
                <c:pt idx="10">
                  <c:v>0.1</c:v>
                </c:pt>
                <c:pt idx="11">
                  <c:v>0.2</c:v>
                </c:pt>
                <c:pt idx="12">
                  <c:v>0.13</c:v>
                </c:pt>
                <c:pt idx="13">
                  <c:v>0.21</c:v>
                </c:pt>
                <c:pt idx="14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3A-E446-A3F6-2F29C6BB6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477392"/>
        <c:axId val="1991479104"/>
      </c:scatterChart>
      <c:valAx>
        <c:axId val="19914773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91479104"/>
        <c:crosses val="autoZero"/>
        <c:crossBetween val="midCat"/>
      </c:valAx>
      <c:valAx>
        <c:axId val="19914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Pasante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9147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Gráfico</a:t>
            </a:r>
            <a:r>
              <a:rPr lang="es-MX" baseline="0"/>
              <a:t> Tarántula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Lim Sup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PLANTILLA!$AI$4:$AI$18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PLANTILLA!$AG$4:$AG$18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2.5000000000000001E-2</c:v>
                </c:pt>
                <c:pt idx="4">
                  <c:v>0.15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0.125</c:v>
                </c:pt>
                <c:pt idx="11">
                  <c:v>0.125</c:v>
                </c:pt>
                <c:pt idx="12">
                  <c:v>0.2</c:v>
                </c:pt>
                <c:pt idx="13">
                  <c:v>0.2</c:v>
                </c:pt>
                <c:pt idx="14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50-704C-B44D-9D9265B44F6D}"/>
            </c:ext>
          </c:extLst>
        </c:ser>
        <c:ser>
          <c:idx val="1"/>
          <c:order val="1"/>
          <c:tx>
            <c:v>Lim Sup Acotado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PLANTILLA!$K$40:$K$54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PLANTILLA!$O$40:$O$54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2.5000000000000001E-2</c:v>
                </c:pt>
                <c:pt idx="4">
                  <c:v>0.15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0.125</c:v>
                </c:pt>
                <c:pt idx="11">
                  <c:v>0.125</c:v>
                </c:pt>
                <c:pt idx="12">
                  <c:v>0.2</c:v>
                </c:pt>
                <c:pt idx="13">
                  <c:v>0.2</c:v>
                </c:pt>
                <c:pt idx="14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50-704C-B44D-9D9265B44F6D}"/>
            </c:ext>
          </c:extLst>
        </c:ser>
        <c:ser>
          <c:idx val="4"/>
          <c:order val="2"/>
          <c:tx>
            <c:v>TMA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PLANTILLA!$K$40:$K$54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PLANTILLA!$N$40:$N$54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6.0000000000000053E-2</c:v>
                </c:pt>
                <c:pt idx="5">
                  <c:v>0.121</c:v>
                </c:pt>
                <c:pt idx="6">
                  <c:v>7.8000000000000069E-2</c:v>
                </c:pt>
                <c:pt idx="7">
                  <c:v>0.10599999999999987</c:v>
                </c:pt>
                <c:pt idx="8">
                  <c:v>0.15400000000000008</c:v>
                </c:pt>
                <c:pt idx="9">
                  <c:v>0.10999999999999999</c:v>
                </c:pt>
                <c:pt idx="10">
                  <c:v>5.5999999999999994E-2</c:v>
                </c:pt>
                <c:pt idx="11">
                  <c:v>9.9999999999999978E-2</c:v>
                </c:pt>
                <c:pt idx="12">
                  <c:v>6.5000000000000002E-2</c:v>
                </c:pt>
                <c:pt idx="13">
                  <c:v>0.105</c:v>
                </c:pt>
                <c:pt idx="14">
                  <c:v>1.9999999999999973E-2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50-704C-B44D-9D9265B44F6D}"/>
            </c:ext>
          </c:extLst>
        </c:ser>
        <c:ser>
          <c:idx val="2"/>
          <c:order val="3"/>
          <c:tx>
            <c:v>Lim Inf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PLANTILLA!$AI$4:$AI$18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PLANTILLA!$AH$4:$AH$18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</c:v>
                </c:pt>
                <c:pt idx="11">
                  <c:v>0</c:v>
                </c:pt>
                <c:pt idx="12">
                  <c:v>0.05</c:v>
                </c:pt>
                <c:pt idx="13">
                  <c:v>0.05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50-704C-B44D-9D9265B44F6D}"/>
            </c:ext>
          </c:extLst>
        </c:ser>
        <c:ser>
          <c:idx val="3"/>
          <c:order val="4"/>
          <c:tx>
            <c:v>Lim Inf Acotado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PLANTILLA!$K$40:$K$54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PLANTILLA!$P$40:$P$54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</c:v>
                </c:pt>
                <c:pt idx="11">
                  <c:v>0</c:v>
                </c:pt>
                <c:pt idx="12">
                  <c:v>0.05</c:v>
                </c:pt>
                <c:pt idx="13">
                  <c:v>0.05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50-704C-B44D-9D9265B44F6D}"/>
            </c:ext>
          </c:extLst>
        </c:ser>
        <c:ser>
          <c:idx val="5"/>
          <c:order val="5"/>
          <c:tx>
            <c:v>Thomson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PLANTILLA!$K$70:$K$84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PLANTILLA!$N$70:$N$84</c:f>
              <c:numCache>
                <c:formatCode>0.00%</c:formatCode>
                <c:ptCount val="15"/>
                <c:pt idx="0">
                  <c:v>-9.5834451485643513E-13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2.6248311697148585E-2</c:v>
                </c:pt>
                <c:pt idx="6">
                  <c:v>5.9996141022053751E-2</c:v>
                </c:pt>
                <c:pt idx="7">
                  <c:v>0.11999614102211142</c:v>
                </c:pt>
                <c:pt idx="8">
                  <c:v>0.1924966233944313</c:v>
                </c:pt>
                <c:pt idx="9">
                  <c:v>0.13749565864987762</c:v>
                </c:pt>
                <c:pt idx="10">
                  <c:v>7.0001929489068915E-2</c:v>
                </c:pt>
                <c:pt idx="11">
                  <c:v>0.12500482372262439</c:v>
                </c:pt>
                <c:pt idx="12">
                  <c:v>8.125313541970583E-2</c:v>
                </c:pt>
                <c:pt idx="13">
                  <c:v>0.1312550649087556</c:v>
                </c:pt>
                <c:pt idx="14">
                  <c:v>2.5000964744524845E-2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50-704C-B44D-9D9265B44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334815"/>
        <c:axId val="1445336527"/>
      </c:scatterChart>
      <c:valAx>
        <c:axId val="14453348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45336527"/>
        <c:crosses val="autoZero"/>
        <c:crossBetween val="midCat"/>
      </c:valAx>
      <c:valAx>
        <c:axId val="144533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Pasante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45334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Granulometría NCh 163 - Dm 10mm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PLANTILLA!$I$26:$I$35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 formatCode="0.000">
                  <c:v>1.25</c:v>
                </c:pt>
                <c:pt idx="7" formatCode="0.000">
                  <c:v>0.63</c:v>
                </c:pt>
                <c:pt idx="8" formatCode="0.000">
                  <c:v>0.315</c:v>
                </c:pt>
                <c:pt idx="9" formatCode="0.000">
                  <c:v>0.16</c:v>
                </c:pt>
              </c:numCache>
            </c:numRef>
          </c:xVal>
          <c:yVal>
            <c:numRef>
              <c:f>PLANTILLA!$V$26:$V$35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0.61</c:v>
                </c:pt>
                <c:pt idx="5">
                  <c:v>0.37</c:v>
                </c:pt>
                <c:pt idx="6">
                  <c:v>0.22</c:v>
                </c:pt>
                <c:pt idx="7">
                  <c:v>0.13</c:v>
                </c:pt>
                <c:pt idx="8">
                  <c:v>0.05</c:v>
                </c:pt>
                <c:pt idx="9">
                  <c:v>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42-4AAB-A2C5-5BD86EB548F9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PLANTILLA!$I$26:$I$35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 formatCode="0.000">
                  <c:v>1.25</c:v>
                </c:pt>
                <c:pt idx="7" formatCode="0.000">
                  <c:v>0.63</c:v>
                </c:pt>
                <c:pt idx="8" formatCode="0.000">
                  <c:v>0.315</c:v>
                </c:pt>
                <c:pt idx="9" formatCode="0.000">
                  <c:v>0.16</c:v>
                </c:pt>
              </c:numCache>
            </c:numRef>
          </c:xVal>
          <c:yVal>
            <c:numRef>
              <c:f>PLANTILLA!$W$26:$W$35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0.74</c:v>
                </c:pt>
                <c:pt idx="5">
                  <c:v>0.56000000000000005</c:v>
                </c:pt>
                <c:pt idx="6">
                  <c:v>0.41</c:v>
                </c:pt>
                <c:pt idx="7">
                  <c:v>0.27</c:v>
                </c:pt>
                <c:pt idx="8">
                  <c:v>0.13</c:v>
                </c:pt>
                <c:pt idx="9">
                  <c:v>7.0000000000000007E-2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42-4AAB-A2C5-5BD86EB548F9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PLANTILLA!$I$26:$I$35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 formatCode="0.000">
                  <c:v>1.25</c:v>
                </c:pt>
                <c:pt idx="7" formatCode="0.000">
                  <c:v>0.63</c:v>
                </c:pt>
                <c:pt idx="8" formatCode="0.000">
                  <c:v>0.315</c:v>
                </c:pt>
                <c:pt idx="9" formatCode="0.000">
                  <c:v>0.16</c:v>
                </c:pt>
              </c:numCache>
            </c:numRef>
          </c:xVal>
          <c:yVal>
            <c:numRef>
              <c:f>PLANTILLA!$X$26:$X$35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0.87</c:v>
                </c:pt>
                <c:pt idx="5">
                  <c:v>0.73</c:v>
                </c:pt>
                <c:pt idx="6">
                  <c:v>0.59</c:v>
                </c:pt>
                <c:pt idx="7">
                  <c:v>0.43</c:v>
                </c:pt>
                <c:pt idx="8">
                  <c:v>0.26</c:v>
                </c:pt>
                <c:pt idx="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42-4AAB-A2C5-5BD86EB548F9}"/>
            </c:ext>
          </c:extLst>
        </c:ser>
        <c:ser>
          <c:idx val="3"/>
          <c:order val="3"/>
          <c:tx>
            <c:v>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PLANTILLA!$I$26:$I$35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 formatCode="0.000">
                  <c:v>1.25</c:v>
                </c:pt>
                <c:pt idx="7" formatCode="0.000">
                  <c:v>0.63</c:v>
                </c:pt>
                <c:pt idx="8" formatCode="0.000">
                  <c:v>0.315</c:v>
                </c:pt>
                <c:pt idx="9" formatCode="0.000">
                  <c:v>0.16</c:v>
                </c:pt>
              </c:numCache>
            </c:numRef>
          </c:xVal>
          <c:yVal>
            <c:numRef>
              <c:f>PLANTILLA!$Y$26:$Y$35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042-4AAB-A2C5-5BD86EB548F9}"/>
            </c:ext>
          </c:extLst>
        </c:ser>
        <c:ser>
          <c:idx val="4"/>
          <c:order val="4"/>
          <c:tx>
            <c:v>Promedio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PLANTILLA!$I$26:$I$35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 formatCode="0.000">
                  <c:v>1.25</c:v>
                </c:pt>
                <c:pt idx="7" formatCode="0.000">
                  <c:v>0.63</c:v>
                </c:pt>
                <c:pt idx="8" formatCode="0.000">
                  <c:v>0.315</c:v>
                </c:pt>
                <c:pt idx="9" formatCode="0.000">
                  <c:v>0.16</c:v>
                </c:pt>
              </c:numCache>
            </c:numRef>
          </c:xVal>
          <c:yVal>
            <c:numRef>
              <c:f>PLANTILLA!$AD$26:$AD$35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0.63</c:v>
                </c:pt>
                <c:pt idx="5">
                  <c:v>0.49000000000000005</c:v>
                </c:pt>
                <c:pt idx="6">
                  <c:v>0.38</c:v>
                </c:pt>
                <c:pt idx="7">
                  <c:v>0.20750000000000002</c:v>
                </c:pt>
                <c:pt idx="8">
                  <c:v>0.11</c:v>
                </c:pt>
                <c:pt idx="9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042-4AAB-A2C5-5BD86EB54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411423"/>
        <c:axId val="1107412863"/>
      </c:scatterChart>
      <c:valAx>
        <c:axId val="110741142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07412863"/>
        <c:crosses val="autoZero"/>
        <c:crossBetween val="midCat"/>
      </c:valAx>
      <c:valAx>
        <c:axId val="1107412863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Pasante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0741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Granulometrías</a:t>
            </a:r>
            <a:r>
              <a:rPr lang="es-CL" baseline="0"/>
              <a:t> iniciales y optimizadas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11203937007874015"/>
          <c:y val="0.12603476121993415"/>
          <c:w val="0.85862729658792647"/>
          <c:h val="0.79382028948758898"/>
        </c:manualLayout>
      </c:layout>
      <c:scatterChart>
        <c:scatterStyle val="smoothMarker"/>
        <c:varyColors val="0"/>
        <c:ser>
          <c:idx val="0"/>
          <c:order val="0"/>
          <c:tx>
            <c:v>Grava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PLANTILLA!$M$5:$M$19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</c:v>
                </c:pt>
                <c:pt idx="5">
                  <c:v>0.19999999999999996</c:v>
                </c:pt>
                <c:pt idx="6">
                  <c:v>4.9999999999999961E-2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A2-4729-BD44-FF3D765E9EE3}"/>
            </c:ext>
          </c:extLst>
        </c:ser>
        <c:ser>
          <c:idx val="1"/>
          <c:order val="1"/>
          <c:tx>
            <c:v>Gravilla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PLANTILLA!$P$5:$P$19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0.92999999999999994</c:v>
                </c:pt>
                <c:pt idx="6">
                  <c:v>0.76999999999999991</c:v>
                </c:pt>
                <c:pt idx="7">
                  <c:v>0.54999999999999993</c:v>
                </c:pt>
                <c:pt idx="8">
                  <c:v>0.26999999999999991</c:v>
                </c:pt>
                <c:pt idx="9">
                  <c:v>1.9999999999999907E-2</c:v>
                </c:pt>
                <c:pt idx="10">
                  <c:v>-9.3675067702747583E-17</c:v>
                </c:pt>
                <c:pt idx="11">
                  <c:v>-9.3675067702747583E-17</c:v>
                </c:pt>
                <c:pt idx="12">
                  <c:v>-9.3675067702747583E-17</c:v>
                </c:pt>
                <c:pt idx="13">
                  <c:v>-9.3675067702747583E-17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A2-4729-BD44-FF3D765E9EE3}"/>
            </c:ext>
          </c:extLst>
        </c:ser>
        <c:ser>
          <c:idx val="2"/>
          <c:order val="2"/>
          <c:tx>
            <c:v>Arena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PLANTILLA!$S$5:$S$19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0.94</c:v>
                </c:pt>
                <c:pt idx="8">
                  <c:v>0.79999999999999993</c:v>
                </c:pt>
                <c:pt idx="9">
                  <c:v>0.73</c:v>
                </c:pt>
                <c:pt idx="10">
                  <c:v>0.63</c:v>
                </c:pt>
                <c:pt idx="11">
                  <c:v>0.43</c:v>
                </c:pt>
                <c:pt idx="12">
                  <c:v>0.3</c:v>
                </c:pt>
                <c:pt idx="13">
                  <c:v>0.09</c:v>
                </c:pt>
                <c:pt idx="14">
                  <c:v>4.9999999999999996E-2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A2-4729-BD44-FF3D765E9EE3}"/>
            </c:ext>
          </c:extLst>
        </c:ser>
        <c:ser>
          <c:idx val="3"/>
          <c:order val="3"/>
          <c:tx>
            <c:v>Banda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PLANTILLA!$U$5:$U$19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0.94</c:v>
                </c:pt>
                <c:pt idx="5">
                  <c:v>0.81899999999999995</c:v>
                </c:pt>
                <c:pt idx="6">
                  <c:v>0.74099999999999988</c:v>
                </c:pt>
                <c:pt idx="7">
                  <c:v>0.63500000000000001</c:v>
                </c:pt>
                <c:pt idx="8">
                  <c:v>0.48099999999999993</c:v>
                </c:pt>
                <c:pt idx="9">
                  <c:v>0.37099999999999994</c:v>
                </c:pt>
                <c:pt idx="10">
                  <c:v>0.31499999999999995</c:v>
                </c:pt>
                <c:pt idx="11">
                  <c:v>0.21499999999999997</c:v>
                </c:pt>
                <c:pt idx="12">
                  <c:v>0.14999999999999997</c:v>
                </c:pt>
                <c:pt idx="13">
                  <c:v>4.4999999999999971E-2</c:v>
                </c:pt>
                <c:pt idx="14">
                  <c:v>2.4999999999999998E-2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A2-4729-BD44-FF3D765E9EE3}"/>
            </c:ext>
          </c:extLst>
        </c:ser>
        <c:ser>
          <c:idx val="4"/>
          <c:order val="4"/>
          <c:tx>
            <c:v>F-T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PLANTILLA!$V$5:$V$19</c:f>
              <c:numCache>
                <c:formatCode>0%</c:formatCode>
                <c:ptCount val="15"/>
                <c:pt idx="0">
                  <c:v>1.0000000000009583</c:v>
                </c:pt>
                <c:pt idx="1">
                  <c:v>1.0000000000009583</c:v>
                </c:pt>
                <c:pt idx="2">
                  <c:v>1.0000000000009583</c:v>
                </c:pt>
                <c:pt idx="3">
                  <c:v>1.0000000000009583</c:v>
                </c:pt>
                <c:pt idx="4">
                  <c:v>1.0000000000009583</c:v>
                </c:pt>
                <c:pt idx="5">
                  <c:v>0.97375168830380976</c:v>
                </c:pt>
                <c:pt idx="6">
                  <c:v>0.91375554728175601</c:v>
                </c:pt>
                <c:pt idx="7">
                  <c:v>0.79375940625964458</c:v>
                </c:pt>
                <c:pt idx="8">
                  <c:v>0.60126278286521329</c:v>
                </c:pt>
                <c:pt idx="9">
                  <c:v>0.46376712421533567</c:v>
                </c:pt>
                <c:pt idx="10">
                  <c:v>0.39376519472626675</c:v>
                </c:pt>
                <c:pt idx="11">
                  <c:v>0.26876037100364236</c:v>
                </c:pt>
                <c:pt idx="12">
                  <c:v>0.18750723558393653</c:v>
                </c:pt>
                <c:pt idx="13">
                  <c:v>5.6252170675180936E-2</c:v>
                </c:pt>
                <c:pt idx="14">
                  <c:v>3.1251205930656091E-2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3A2-4729-BD44-FF3D765E9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089327"/>
        <c:axId val="1963086927"/>
      </c:scatterChart>
      <c:valAx>
        <c:axId val="196308932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Abertura</a:t>
                </a:r>
                <a:r>
                  <a:rPr lang="es-CL" baseline="0"/>
                  <a:t> Tamiz (mm)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63086927"/>
        <c:crosses val="autoZero"/>
        <c:crossBetween val="midCat"/>
      </c:valAx>
      <c:valAx>
        <c:axId val="196308692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Pasante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63089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1883104</xdr:colOff>
      <xdr:row>14</xdr:row>
      <xdr:rowOff>0</xdr:rowOff>
    </xdr:from>
    <xdr:to>
      <xdr:col>6</xdr:col>
      <xdr:colOff>14598</xdr:colOff>
      <xdr:row>15</xdr:row>
      <xdr:rowOff>29195</xdr:rowOff>
    </xdr:to>
    <xdr:sp macro="[0]!MACRO" textlink="">
      <xdr:nvSpPr>
        <xdr:cNvPr id="2" name="Rectángulo 1">
          <a:extLst>
            <a:ext uri="{FF2B5EF4-FFF2-40B4-BE49-F238E27FC236}">
              <a16:creationId xmlns:a16="http://schemas.microsoft.com/office/drawing/2014/main" id="{0703CFC5-C1D9-8546-8867-701EC59C9E0F}"/>
            </a:ext>
          </a:extLst>
        </xdr:cNvPr>
        <xdr:cNvSpPr/>
      </xdr:nvSpPr>
      <xdr:spPr>
        <a:xfrm>
          <a:off x="5795288" y="4189540"/>
          <a:ext cx="5123793" cy="2335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EJECUTAR MACRO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431800</xdr:colOff>
      <xdr:row>31</xdr:row>
      <xdr:rowOff>190500</xdr:rowOff>
    </xdr:from>
    <xdr:to>
      <xdr:col>7</xdr:col>
      <xdr:colOff>50800</xdr:colOff>
      <xdr:row>45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23C6300-E83F-29C6-E706-1602F767D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445043</xdr:colOff>
      <xdr:row>2</xdr:row>
      <xdr:rowOff>19647</xdr:rowOff>
    </xdr:from>
    <xdr:to>
      <xdr:col>7</xdr:col>
      <xdr:colOff>66757</xdr:colOff>
      <xdr:row>15</xdr:row>
      <xdr:rowOff>81736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0EB0D9-A574-1C4B-906D-B4D06BDAB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7682</xdr:colOff>
      <xdr:row>16</xdr:row>
      <xdr:rowOff>127000</xdr:rowOff>
    </xdr:from>
    <xdr:to>
      <xdr:col>7</xdr:col>
      <xdr:colOff>63501</xdr:colOff>
      <xdr:row>30</xdr:row>
      <xdr:rowOff>25400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C956496-3477-EE82-27C2-5EE62F893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131885</xdr:colOff>
      <xdr:row>2</xdr:row>
      <xdr:rowOff>8304</xdr:rowOff>
    </xdr:from>
    <xdr:to>
      <xdr:col>13</xdr:col>
      <xdr:colOff>551962</xdr:colOff>
      <xdr:row>15</xdr:row>
      <xdr:rowOff>52754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6FAA11-A490-2AA1-9D5C-EB0CBC84C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186836</xdr:colOff>
      <xdr:row>16</xdr:row>
      <xdr:rowOff>203690</xdr:rowOff>
    </xdr:from>
    <xdr:to>
      <xdr:col>13</xdr:col>
      <xdr:colOff>606913</xdr:colOff>
      <xdr:row>30</xdr:row>
      <xdr:rowOff>40543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6915167-9602-8ECD-B23E-1BD1D29AE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153012</xdr:colOff>
      <xdr:row>31</xdr:row>
      <xdr:rowOff>153012</xdr:rowOff>
    </xdr:from>
    <xdr:to>
      <xdr:col>13</xdr:col>
      <xdr:colOff>526712</xdr:colOff>
      <xdr:row>45</xdr:row>
      <xdr:rowOff>73183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EC20BF0-9F36-4D62-997A-7828C2EB7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443735</xdr:colOff>
      <xdr:row>2</xdr:row>
      <xdr:rowOff>15302</xdr:rowOff>
    </xdr:from>
    <xdr:to>
      <xdr:col>20</xdr:col>
      <xdr:colOff>331875</xdr:colOff>
      <xdr:row>16</xdr:row>
      <xdr:rowOff>90325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8398EFC-5355-468F-B859-1FB7AFAD2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F1EF-BE06-8C42-B267-5F50F3069F0B}">
  <sheetPr codeName="Hoja1"/>
  <dimension ref="B1:AI96"/>
  <sheetViews>
    <sheetView tabSelected="1" topLeftCell="A36" zoomScale="87" zoomScaleNormal="216" workbookViewId="0">
      <selection activeCell="D55" sqref="D55"/>
    </sheetView>
  </sheetViews>
  <sheetFormatPr baseColWidth="10" defaultColWidth="25.6640625" defaultRowHeight="16"/>
  <cols>
    <col min="1" max="2" width="25.6640625" style="13"/>
    <col min="3" max="3" width="25.5" style="13" bestFit="1" customWidth="1"/>
    <col min="4" max="4" width="16" style="13" bestFit="1" customWidth="1"/>
    <col min="5" max="5" width="25.5" style="13" bestFit="1" customWidth="1"/>
    <col min="6" max="6" width="24.6640625" style="13" bestFit="1" customWidth="1"/>
    <col min="7" max="7" width="24.1640625" style="13" bestFit="1" customWidth="1"/>
    <col min="8" max="8" width="25.6640625" style="13"/>
    <col min="9" max="9" width="9" style="13" bestFit="1" customWidth="1"/>
    <col min="10" max="10" width="17.5" style="13" bestFit="1" customWidth="1"/>
    <col min="11" max="11" width="8" style="13" bestFit="1" customWidth="1"/>
    <col min="12" max="12" width="17" style="13" bestFit="1" customWidth="1"/>
    <col min="13" max="13" width="20.83203125" style="13" bestFit="1" customWidth="1"/>
    <col min="14" max="14" width="23.33203125" style="13" bestFit="1" customWidth="1"/>
    <col min="15" max="15" width="10" style="13" bestFit="1" customWidth="1"/>
    <col min="16" max="16" width="21.5" style="13" bestFit="1" customWidth="1"/>
    <col min="17" max="17" width="13.6640625" style="13" bestFit="1" customWidth="1"/>
    <col min="18" max="18" width="10" style="13" bestFit="1" customWidth="1"/>
    <col min="19" max="19" width="14.33203125" style="13" bestFit="1" customWidth="1"/>
    <col min="20" max="20" width="25" style="13" bestFit="1" customWidth="1"/>
    <col min="21" max="21" width="19.6640625" style="13" bestFit="1" customWidth="1"/>
    <col min="22" max="22" width="23.33203125" style="13" bestFit="1" customWidth="1"/>
    <col min="23" max="23" width="13.6640625" style="13" bestFit="1" customWidth="1"/>
    <col min="24" max="24" width="19.33203125" style="13" customWidth="1"/>
    <col min="25" max="25" width="10.33203125" style="13" bestFit="1" customWidth="1"/>
    <col min="26" max="28" width="14" style="13" bestFit="1" customWidth="1"/>
    <col min="29" max="30" width="9.33203125" style="13" bestFit="1" customWidth="1"/>
    <col min="31" max="31" width="6.83203125" style="13" bestFit="1" customWidth="1"/>
    <col min="32" max="32" width="25.6640625" style="13"/>
    <col min="33" max="33" width="8" style="13" bestFit="1" customWidth="1"/>
    <col min="34" max="34" width="6.83203125" style="13" bestFit="1" customWidth="1"/>
    <col min="35" max="35" width="5.1640625" style="13" bestFit="1" customWidth="1"/>
    <col min="36" max="16384" width="25.6640625" style="13"/>
  </cols>
  <sheetData>
    <row r="1" spans="2:35"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X1" s="143" t="s">
        <v>172</v>
      </c>
      <c r="Y1" s="143"/>
      <c r="Z1" s="143"/>
      <c r="AA1" s="143"/>
      <c r="AB1" s="143"/>
      <c r="AC1" s="143"/>
      <c r="AD1" s="143"/>
    </row>
    <row r="2" spans="2:35">
      <c r="B2" s="50"/>
      <c r="C2" s="51"/>
      <c r="D2" s="48" t="s">
        <v>111</v>
      </c>
      <c r="E2" s="143" t="s">
        <v>112</v>
      </c>
      <c r="F2" s="143"/>
      <c r="G2" s="143"/>
      <c r="I2" s="11"/>
      <c r="J2" s="11"/>
      <c r="K2" s="156" t="str">
        <f>D12</f>
        <v>Grava 2</v>
      </c>
      <c r="L2" s="145"/>
      <c r="M2" s="146"/>
      <c r="N2" s="157" t="str">
        <f>D11</f>
        <v>Gravilla 1</v>
      </c>
      <c r="O2" s="145"/>
      <c r="P2" s="146"/>
      <c r="Q2" s="144" t="str">
        <f>D10</f>
        <v>Arena 1</v>
      </c>
      <c r="R2" s="145"/>
      <c r="S2" s="146"/>
      <c r="T2" s="20" t="s">
        <v>67</v>
      </c>
      <c r="U2" s="22" t="s">
        <v>220</v>
      </c>
      <c r="V2" s="101" t="s">
        <v>177</v>
      </c>
      <c r="X2" s="91" t="s">
        <v>126</v>
      </c>
      <c r="Y2" s="204" t="s">
        <v>166</v>
      </c>
      <c r="Z2" s="204" t="s">
        <v>167</v>
      </c>
      <c r="AA2" s="204" t="s">
        <v>168</v>
      </c>
      <c r="AB2" s="204" t="s">
        <v>169</v>
      </c>
      <c r="AC2" s="204" t="str">
        <f>J8</f>
        <v>1 1/2"</v>
      </c>
      <c r="AD2" s="204" t="s">
        <v>170</v>
      </c>
      <c r="AE2" s="204" t="s">
        <v>171</v>
      </c>
      <c r="AG2" s="143" t="s">
        <v>185</v>
      </c>
      <c r="AH2" s="143"/>
    </row>
    <row r="3" spans="2:35" ht="17" customHeight="1">
      <c r="B3" s="147" t="s">
        <v>3</v>
      </c>
      <c r="C3" s="52" t="s">
        <v>4</v>
      </c>
      <c r="D3" s="82" t="s">
        <v>5</v>
      </c>
      <c r="E3" s="155" t="s">
        <v>122</v>
      </c>
      <c r="F3" s="155"/>
      <c r="G3" s="155"/>
      <c r="I3" s="150" t="s">
        <v>6</v>
      </c>
      <c r="J3" s="151"/>
      <c r="K3" s="152" t="s">
        <v>7</v>
      </c>
      <c r="L3" s="151"/>
      <c r="M3" s="83" t="s">
        <v>8</v>
      </c>
      <c r="N3" s="153" t="s">
        <v>7</v>
      </c>
      <c r="O3" s="151"/>
      <c r="P3" s="84" t="s">
        <v>8</v>
      </c>
      <c r="Q3" s="154" t="s">
        <v>7</v>
      </c>
      <c r="R3" s="151"/>
      <c r="S3" s="85" t="s">
        <v>8</v>
      </c>
      <c r="T3" s="86" t="s">
        <v>8</v>
      </c>
      <c r="U3" s="87" t="str">
        <f>T3</f>
        <v>PASA</v>
      </c>
      <c r="V3" s="102" t="s">
        <v>178</v>
      </c>
      <c r="X3" s="14" t="s">
        <v>127</v>
      </c>
      <c r="Y3" s="36">
        <v>350</v>
      </c>
      <c r="Z3" s="36">
        <v>335</v>
      </c>
      <c r="AA3" s="36">
        <v>315</v>
      </c>
      <c r="AB3" s="36">
        <v>300</v>
      </c>
      <c r="AC3" s="36">
        <v>275</v>
      </c>
      <c r="AD3" s="36">
        <v>260</v>
      </c>
      <c r="AE3" s="36">
        <v>220</v>
      </c>
      <c r="AG3" s="29" t="s">
        <v>119</v>
      </c>
      <c r="AH3" s="29" t="s">
        <v>120</v>
      </c>
    </row>
    <row r="4" spans="2:35" ht="17" customHeight="1">
      <c r="B4" s="148"/>
      <c r="C4" s="52" t="s">
        <v>9</v>
      </c>
      <c r="D4" s="92">
        <v>0.01</v>
      </c>
      <c r="E4" s="155" t="s">
        <v>123</v>
      </c>
      <c r="F4" s="155"/>
      <c r="G4" s="155"/>
      <c r="I4" s="88" t="s">
        <v>10</v>
      </c>
      <c r="J4" s="89" t="s">
        <v>11</v>
      </c>
      <c r="K4" s="142" t="s">
        <v>12</v>
      </c>
      <c r="L4" s="83" t="s">
        <v>13</v>
      </c>
      <c r="M4" s="83" t="s">
        <v>13</v>
      </c>
      <c r="N4" s="84" t="s">
        <v>12</v>
      </c>
      <c r="O4" s="84" t="s">
        <v>13</v>
      </c>
      <c r="P4" s="84" t="s">
        <v>13</v>
      </c>
      <c r="Q4" s="85" t="s">
        <v>12</v>
      </c>
      <c r="R4" s="85" t="s">
        <v>13</v>
      </c>
      <c r="S4" s="85" t="s">
        <v>13</v>
      </c>
      <c r="T4" s="86" t="s">
        <v>13</v>
      </c>
      <c r="U4" s="87" t="str">
        <f>T4</f>
        <v>[%]</v>
      </c>
      <c r="V4" s="102" t="str">
        <f>U4</f>
        <v>[%]</v>
      </c>
      <c r="X4" s="14" t="s">
        <v>128</v>
      </c>
      <c r="Y4" s="36">
        <v>385</v>
      </c>
      <c r="Z4" s="36">
        <v>365</v>
      </c>
      <c r="AA4" s="36">
        <v>340</v>
      </c>
      <c r="AB4" s="36">
        <v>325</v>
      </c>
      <c r="AC4" s="36">
        <v>300</v>
      </c>
      <c r="AD4" s="36">
        <v>285</v>
      </c>
      <c r="AE4" s="36">
        <v>245</v>
      </c>
      <c r="AG4" s="49">
        <v>0</v>
      </c>
      <c r="AH4" s="99">
        <v>0</v>
      </c>
      <c r="AI4" s="97">
        <v>75</v>
      </c>
    </row>
    <row r="5" spans="2:35">
      <c r="B5" s="148"/>
      <c r="C5" s="52" t="s">
        <v>14</v>
      </c>
      <c r="D5" s="45">
        <v>9.5</v>
      </c>
      <c r="E5" s="158" t="s">
        <v>124</v>
      </c>
      <c r="F5" s="159"/>
      <c r="G5" s="160"/>
      <c r="I5" s="1">
        <v>75</v>
      </c>
      <c r="J5" s="2" t="s">
        <v>171</v>
      </c>
      <c r="K5" s="44">
        <f>IF($D$12="Grava 1", ARIDOS!D28,
 IF($D$12="Grava 2", ARIDOS!G28,
 IF($D$12="Grava 3", ARIDOS!J28,
 IF($D$12="Grava 4", ARIDOS!M28, ""))))</f>
        <v>0</v>
      </c>
      <c r="L5" s="4">
        <f>IF($D$12="Grava 1", ARIDOS!E28,
 IF($D$12="Grava 2", ARIDOS!H28,
 IF($D$12="Grava 3", ARIDOS!K28,
 IF($D$12="Grava 4", ARIDOS!N28, ""))))</f>
        <v>0</v>
      </c>
      <c r="M5" s="4">
        <f>IF($D$12="Grava 1", ARIDOS!F28,
 IF($D$12="Grava 2", ARIDOS!I28,
 IF($D$12="Grava 3", ARIDOS!L28,
 IF($D$12="Grava 4", ARIDOS!O28, ""))))</f>
        <v>1</v>
      </c>
      <c r="N5" s="5">
        <f>IF($D$11="Gravilla 1", ARIDOS!D5,
 IF($D$11="Gravilla 2", ARIDOS!G5,
 IF($D$11="Gravilla 3", ARIDOS!J5,
 IF($D$11="Gravilla 4", ARIDOS!M5, ""))))</f>
        <v>0</v>
      </c>
      <c r="O5" s="4">
        <f>IF($D$11="Gravilla 1", ARIDOS!E5,
 IF($D$11="Gravilla 2", ARIDOS!H5,
 IF($D$11="Gravilla 3", ARIDOS!K5,
 IF($D$11="Gravilla 4", ARIDOS!N5, ""))))</f>
        <v>0</v>
      </c>
      <c r="P5" s="4">
        <f>IF($D$11="Gravilla 1", ARIDOS!F5,
 IF($D$11="Gravilla 2", ARIDOS!I5,
 IF($D$11="Gravilla 3", ARIDOS!L5,
 IF($D$11="Gravilla 4", ARIDOS!O5, ""))))</f>
        <v>1</v>
      </c>
      <c r="Q5" s="5">
        <f>IF($D$10="Arena 1", ARIDOS!D52,
 IF($D$10="Arena 2", ARIDOS!G52,
 IF($D$10="Arena 3", ARIDOS!J52,
 IF($D$10="Arena 4", ARIDOS!M52, ""))))</f>
        <v>0</v>
      </c>
      <c r="R5" s="4">
        <f>IF($D$10="Arena 1", ARIDOS!E52,
 IF($D$10="Arena 2", ARIDOS!H52,
 IF($D$10="Arena 3", ARIDOS!K52,
 IF($D$10="Arena 4", ARIDOS!N52, ""))))</f>
        <v>0</v>
      </c>
      <c r="S5" s="4">
        <f>IF($D$10="Arena 1", ARIDOS!F52,
 IF($D$10="Arena 2", ARIDOS!I52,
 IF($D$10="Arena 3", ARIDOS!L52,
 IF($D$10="Arena 4", ARIDOS!O52, ""))))</f>
        <v>1</v>
      </c>
      <c r="T5" s="21">
        <f>$C$26*M5+$C$27*P5+$C$28*S5</f>
        <v>1</v>
      </c>
      <c r="U5" s="16">
        <f>$C$31*M5+$C$32*P5+$C$33*S5</f>
        <v>1</v>
      </c>
      <c r="V5" s="16">
        <f>M5*$E$31+P5*$E$32+S5*$E$33</f>
        <v>1.0000000000009583</v>
      </c>
      <c r="X5" s="14" t="s">
        <v>129</v>
      </c>
      <c r="Y5" s="36">
        <v>400</v>
      </c>
      <c r="Z5" s="36">
        <v>375</v>
      </c>
      <c r="AA5" s="36">
        <v>350</v>
      </c>
      <c r="AB5" s="36">
        <v>330</v>
      </c>
      <c r="AC5" s="36">
        <v>305</v>
      </c>
      <c r="AD5" s="36">
        <v>290</v>
      </c>
      <c r="AE5" s="36">
        <v>255</v>
      </c>
      <c r="AG5" s="49">
        <v>0</v>
      </c>
      <c r="AH5" s="99">
        <v>0</v>
      </c>
      <c r="AI5" s="97">
        <v>63</v>
      </c>
    </row>
    <row r="6" spans="2:35" ht="30" customHeight="1">
      <c r="B6" s="148"/>
      <c r="C6" s="53" t="s">
        <v>16</v>
      </c>
      <c r="D6" s="46" t="s">
        <v>17</v>
      </c>
      <c r="E6" s="155" t="s">
        <v>165</v>
      </c>
      <c r="F6" s="155"/>
      <c r="G6" s="155"/>
      <c r="I6" s="1">
        <v>63</v>
      </c>
      <c r="J6" s="2" t="s">
        <v>225</v>
      </c>
      <c r="K6" s="44">
        <f>IF($D$12="Grava 1", ARIDOS!D29,
 IF($D$12="Grava 2", ARIDOS!G29,
 IF($D$12="Grava 3", ARIDOS!J29,
 IF($D$12="Grava 4", ARIDOS!M29, ""))))</f>
        <v>0</v>
      </c>
      <c r="L6" s="4">
        <f>IF($D$12="Grava 1", ARIDOS!E29,
 IF($D$12="Grava 2", ARIDOS!H29,
 IF($D$12="Grava 3", ARIDOS!K29,
 IF($D$12="Grava 4", ARIDOS!N29, ""))))</f>
        <v>0</v>
      </c>
      <c r="M6" s="4">
        <f>IF($D$12="Grava 1", ARIDOS!F29,
 IF($D$12="Grava 2", ARIDOS!I29,
 IF($D$12="Grava 3", ARIDOS!L29,
 IF($D$12="Grava 4", ARIDOS!O29, ""))))</f>
        <v>1</v>
      </c>
      <c r="N6" s="5">
        <f>IF($D$11="Gravilla 1", ARIDOS!D6,
 IF($D$11="Gravilla 2", ARIDOS!G6,
 IF($D$11="Gravilla 3", ARIDOS!J6,
 IF($D$11="Gravilla 4", ARIDOS!M6, ""))))</f>
        <v>0</v>
      </c>
      <c r="O6" s="4">
        <f>IF($D$11="Gravilla 1", ARIDOS!E6,
 IF($D$11="Gravilla 2", ARIDOS!H6,
 IF($D$11="Gravilla 3", ARIDOS!K6,
 IF($D$11="Gravilla 4", ARIDOS!N6, ""))))</f>
        <v>0</v>
      </c>
      <c r="P6" s="4">
        <f>IF($D$11="Gravilla 1", ARIDOS!F6,
 IF($D$11="Gravilla 2", ARIDOS!I6,
 IF($D$11="Gravilla 3", ARIDOS!L6,
 IF($D$11="Gravilla 4", ARIDOS!O6, ""))))</f>
        <v>1</v>
      </c>
      <c r="Q6" s="5">
        <f>IF($D$10="Arena 1", ARIDOS!D53,
 IF($D$10="Arena 2", ARIDOS!G53,
 IF($D$10="Arena 3", ARIDOS!J53,
 IF($D$10="Arena 4", ARIDOS!M53, ""))))</f>
        <v>0</v>
      </c>
      <c r="R6" s="4">
        <f>IF($D$10="Arena 1", ARIDOS!E53,
 IF($D$10="Arena 2", ARIDOS!H53,
 IF($D$10="Arena 3", ARIDOS!K53,
 IF($D$10="Arena 4", ARIDOS!N53, ""))))</f>
        <v>0</v>
      </c>
      <c r="S6" s="4">
        <f>IF($D$10="Arena 1", ARIDOS!F53,
 IF($D$10="Arena 2", ARIDOS!I53,
 IF($D$10="Arena 3", ARIDOS!L53,
 IF($D$10="Arena 4", ARIDOS!O53, ""))))</f>
        <v>1</v>
      </c>
      <c r="T6" s="21">
        <f>$C$26*M6+$C$27*P6+$C$28*S6</f>
        <v>1</v>
      </c>
      <c r="U6" s="16">
        <f>$C$31*M6+$C$32*P6+$C$33*S6</f>
        <v>1</v>
      </c>
      <c r="V6" s="16">
        <f>M6*$E$31+P6*$E$32+S6*$E$33</f>
        <v>1.0000000000009583</v>
      </c>
      <c r="X6" s="14" t="s">
        <v>130</v>
      </c>
      <c r="Y6" s="36">
        <v>410</v>
      </c>
      <c r="Z6" s="36">
        <v>385</v>
      </c>
      <c r="AA6" s="36">
        <v>360</v>
      </c>
      <c r="AB6" s="36">
        <v>340</v>
      </c>
      <c r="AC6" s="36">
        <v>315</v>
      </c>
      <c r="AD6" s="36">
        <v>300</v>
      </c>
      <c r="AE6" s="36">
        <v>270</v>
      </c>
      <c r="AG6" s="49">
        <v>0</v>
      </c>
      <c r="AH6" s="99">
        <v>0</v>
      </c>
      <c r="AI6" s="97">
        <v>50</v>
      </c>
    </row>
    <row r="7" spans="2:35" ht="35" customHeight="1">
      <c r="B7" s="148"/>
      <c r="C7" s="52" t="s">
        <v>19</v>
      </c>
      <c r="D7" s="45" t="s">
        <v>20</v>
      </c>
      <c r="E7" s="155" t="s">
        <v>125</v>
      </c>
      <c r="F7" s="155"/>
      <c r="G7" s="155"/>
      <c r="I7" s="1">
        <v>50</v>
      </c>
      <c r="J7" s="2" t="s">
        <v>170</v>
      </c>
      <c r="K7" s="44">
        <f>IF($D$12="Grava 1", ARIDOS!D30,
 IF($D$12="Grava 2", ARIDOS!G30,
 IF($D$12="Grava 3", ARIDOS!J30,
 IF($D$12="Grava 4", ARIDOS!M30, ""))))</f>
        <v>0</v>
      </c>
      <c r="L7" s="4">
        <f>IF($D$12="Grava 1", ARIDOS!E30,
 IF($D$12="Grava 2", ARIDOS!H30,
 IF($D$12="Grava 3", ARIDOS!K30,
 IF($D$12="Grava 4", ARIDOS!N30, ""))))</f>
        <v>0</v>
      </c>
      <c r="M7" s="4">
        <f>IF($D$12="Grava 1", ARIDOS!F30,
 IF($D$12="Grava 2", ARIDOS!I30,
 IF($D$12="Grava 3", ARIDOS!L30,
 IF($D$12="Grava 4", ARIDOS!O30, ""))))</f>
        <v>1</v>
      </c>
      <c r="N7" s="5">
        <f>IF($D$11="Gravilla 1", ARIDOS!D7,
 IF($D$11="Gravilla 2", ARIDOS!G7,
 IF($D$11="Gravilla 3", ARIDOS!J7,
 IF($D$11="Gravilla 4", ARIDOS!M7, ""))))</f>
        <v>0</v>
      </c>
      <c r="O7" s="4">
        <f>IF($D$11="Gravilla 1", ARIDOS!E7,
 IF($D$11="Gravilla 2", ARIDOS!H7,
 IF($D$11="Gravilla 3", ARIDOS!K7,
 IF($D$11="Gravilla 4", ARIDOS!N7, ""))))</f>
        <v>0</v>
      </c>
      <c r="P7" s="4">
        <f>IF($D$11="Gravilla 1", ARIDOS!F7,
 IF($D$11="Gravilla 2", ARIDOS!I7,
 IF($D$11="Gravilla 3", ARIDOS!L7,
 IF($D$11="Gravilla 4", ARIDOS!O7, ""))))</f>
        <v>1</v>
      </c>
      <c r="Q7" s="5">
        <f>IF($D$10="Arena 1", ARIDOS!D54,
 IF($D$10="Arena 2", ARIDOS!G54,
 IF($D$10="Arena 3", ARIDOS!J54,
 IF($D$10="Arena 4", ARIDOS!M54, ""))))</f>
        <v>0</v>
      </c>
      <c r="R7" s="4">
        <f>IF($D$10="Arena 1", ARIDOS!E54,
 IF($D$10="Arena 2", ARIDOS!H54,
 IF($D$10="Arena 3", ARIDOS!K54,
 IF($D$10="Arena 4", ARIDOS!N54, ""))))</f>
        <v>0</v>
      </c>
      <c r="S7" s="4">
        <f>IF($D$10="Arena 1", ARIDOS!F54,
 IF($D$10="Arena 2", ARIDOS!I54,
 IF($D$10="Arena 3", ARIDOS!L54,
 IF($D$10="Arena 4", ARIDOS!O54, ""))))</f>
        <v>1</v>
      </c>
      <c r="T7" s="21">
        <f>$C$26*M7+$C$27*P7+$C$28*S7</f>
        <v>1</v>
      </c>
      <c r="U7" s="16">
        <f>$C$31*M7+$C$32*P7+$C$33*S7</f>
        <v>1</v>
      </c>
      <c r="V7" s="16">
        <f>M7*$E$31+P7*$E$32+S7*$E$33</f>
        <v>1.0000000000009583</v>
      </c>
      <c r="X7" s="14" t="s">
        <v>131</v>
      </c>
      <c r="Y7" s="17"/>
      <c r="Z7" s="17"/>
      <c r="AA7" s="17"/>
      <c r="AB7" s="17"/>
      <c r="AC7" s="17"/>
      <c r="AD7" s="17"/>
      <c r="AE7" s="17"/>
      <c r="AG7" s="49">
        <v>2.5000000000000001E-2</v>
      </c>
      <c r="AH7" s="99">
        <v>0</v>
      </c>
      <c r="AI7" s="97">
        <v>37.5</v>
      </c>
    </row>
    <row r="8" spans="2:35" ht="68">
      <c r="B8" s="148"/>
      <c r="C8" s="52" t="s">
        <v>22</v>
      </c>
      <c r="D8" s="45" t="s">
        <v>23</v>
      </c>
      <c r="E8" s="143" t="s">
        <v>141</v>
      </c>
      <c r="F8" s="143"/>
      <c r="G8" s="143"/>
      <c r="I8" s="1">
        <v>37.5</v>
      </c>
      <c r="J8" s="2" t="s">
        <v>226</v>
      </c>
      <c r="K8" s="44">
        <f>IF($D$12="Grava 1", ARIDOS!D31,
 IF($D$12="Grava 2", ARIDOS!G31,
 IF($D$12="Grava 3", ARIDOS!J31,
 IF($D$12="Grava 4", ARIDOS!M31, ""))))</f>
        <v>0</v>
      </c>
      <c r="L8" s="4">
        <f>IF($D$12="Grava 1", ARIDOS!E31,
 IF($D$12="Grava 2", ARIDOS!H31,
 IF($D$12="Grava 3", ARIDOS!K31,
 IF($D$12="Grava 4", ARIDOS!N31, ""))))</f>
        <v>0</v>
      </c>
      <c r="M8" s="4">
        <f>IF($D$12="Grava 1", ARIDOS!F31,
 IF($D$12="Grava 2", ARIDOS!I31,
 IF($D$12="Grava 3", ARIDOS!L31,
 IF($D$12="Grava 4", ARIDOS!O31, ""))))</f>
        <v>1</v>
      </c>
      <c r="N8" s="5">
        <f>IF($D$11="Gravilla 1", ARIDOS!D8,
 IF($D$11="Gravilla 2", ARIDOS!G8,
 IF($D$11="Gravilla 3", ARIDOS!J8,
 IF($D$11="Gravilla 4", ARIDOS!M8, ""))))</f>
        <v>0</v>
      </c>
      <c r="O8" s="4">
        <f>IF($D$11="Gravilla 1", ARIDOS!E8,
 IF($D$11="Gravilla 2", ARIDOS!H8,
 IF($D$11="Gravilla 3", ARIDOS!K8,
 IF($D$11="Gravilla 4", ARIDOS!N8, ""))))</f>
        <v>0</v>
      </c>
      <c r="P8" s="4">
        <f>IF($D$11="Gravilla 1", ARIDOS!F8,
 IF($D$11="Gravilla 2", ARIDOS!I8,
 IF($D$11="Gravilla 3", ARIDOS!L8,
 IF($D$11="Gravilla 4", ARIDOS!O8, ""))))</f>
        <v>1</v>
      </c>
      <c r="Q8" s="5">
        <f>IF($D$10="Arena 1", ARIDOS!D55,
 IF($D$10="Arena 2", ARIDOS!G55,
 IF($D$10="Arena 3", ARIDOS!J55,
 IF($D$10="Arena 4", ARIDOS!M55, ""))))</f>
        <v>0</v>
      </c>
      <c r="R8" s="4">
        <f>IF($D$10="Arena 1", ARIDOS!E55,
 IF($D$10="Arena 2", ARIDOS!H55,
 IF($D$10="Arena 3", ARIDOS!K55,
 IF($D$10="Arena 4", ARIDOS!N55, ""))))</f>
        <v>0</v>
      </c>
      <c r="S8" s="4">
        <f>IF($D$10="Arena 1", ARIDOS!F55,
 IF($D$10="Arena 2", ARIDOS!I55,
 IF($D$10="Arena 3", ARIDOS!L55,
 IF($D$10="Arena 4", ARIDOS!O55, ""))))</f>
        <v>1</v>
      </c>
      <c r="T8" s="21">
        <f>$C$26*M8+$C$27*P8+$C$28*S8</f>
        <v>1</v>
      </c>
      <c r="U8" s="16">
        <f>$C$31*M8+$C$32*P8+$C$33*S8</f>
        <v>1</v>
      </c>
      <c r="V8" s="16">
        <f>M8*$E$31+P8*$E$32+S8*$E$33</f>
        <v>1.0000000000009583</v>
      </c>
      <c r="X8" s="111" t="s">
        <v>132</v>
      </c>
      <c r="Y8" s="113">
        <v>0.03</v>
      </c>
      <c r="Z8" s="113">
        <v>2.5000000000000001E-2</v>
      </c>
      <c r="AA8" s="113">
        <v>0.02</v>
      </c>
      <c r="AB8" s="113">
        <v>1.4999999999999999E-2</v>
      </c>
      <c r="AC8" s="113">
        <v>0.01</v>
      </c>
      <c r="AD8" s="113">
        <v>5.0000000000000001E-3</v>
      </c>
      <c r="AE8" s="113">
        <v>3.0000000000000001E-3</v>
      </c>
      <c r="AG8" s="49">
        <v>0.15</v>
      </c>
      <c r="AH8" s="99">
        <v>0</v>
      </c>
      <c r="AI8" s="97">
        <v>25</v>
      </c>
    </row>
    <row r="9" spans="2:35" ht="34" customHeight="1">
      <c r="B9" s="148"/>
      <c r="C9" s="52" t="s">
        <v>25</v>
      </c>
      <c r="D9" s="45" t="s">
        <v>26</v>
      </c>
      <c r="E9" s="155" t="s">
        <v>140</v>
      </c>
      <c r="F9" s="155"/>
      <c r="G9" s="155"/>
      <c r="I9" s="1">
        <v>25</v>
      </c>
      <c r="J9" s="2" t="s">
        <v>169</v>
      </c>
      <c r="K9" s="44">
        <f>IF($D$12="Grava 1", ARIDOS!D32,
 IF($D$12="Grava 2", ARIDOS!G32,
 IF($D$12="Grava 3", ARIDOS!J32,
 IF($D$12="Grava 4", ARIDOS!M32, ""))))</f>
        <v>300</v>
      </c>
      <c r="L9" s="4">
        <f>IF($D$12="Grava 1", ARIDOS!E32,
 IF($D$12="Grava 2", ARIDOS!H32,
 IF($D$12="Grava 3", ARIDOS!K32,
 IF($D$12="Grava 4", ARIDOS!N32, ""))))</f>
        <v>0.3</v>
      </c>
      <c r="M9" s="4">
        <f>IF($D$12="Grava 1", ARIDOS!F32,
 IF($D$12="Grava 2", ARIDOS!I32,
 IF($D$12="Grava 3", ARIDOS!L32,
 IF($D$12="Grava 4", ARIDOS!O32, ""))))</f>
        <v>0.7</v>
      </c>
      <c r="N9" s="5">
        <f>IF($D$11="Gravilla 1", ARIDOS!D9,
 IF($D$11="Gravilla 2", ARIDOS!G9,
 IF($D$11="Gravilla 3", ARIDOS!J9,
 IF($D$11="Gravilla 4", ARIDOS!M9, ""))))</f>
        <v>0</v>
      </c>
      <c r="O9" s="4">
        <f>IF($D$11="Gravilla 1", ARIDOS!E9,
 IF($D$11="Gravilla 2", ARIDOS!H9,
 IF($D$11="Gravilla 3", ARIDOS!K9,
 IF($D$11="Gravilla 4", ARIDOS!N9, ""))))</f>
        <v>0</v>
      </c>
      <c r="P9" s="4">
        <f>IF($D$11="Gravilla 1", ARIDOS!F9,
 IF($D$11="Gravilla 2", ARIDOS!I9,
 IF($D$11="Gravilla 3", ARIDOS!L9,
 IF($D$11="Gravilla 4", ARIDOS!O9, ""))))</f>
        <v>1</v>
      </c>
      <c r="Q9" s="5">
        <f>IF($D$10="Arena 1", ARIDOS!D56,
 IF($D$10="Arena 2", ARIDOS!G56,
 IF($D$10="Arena 3", ARIDOS!J56,
 IF($D$10="Arena 4", ARIDOS!M56, ""))))</f>
        <v>0</v>
      </c>
      <c r="R9" s="4">
        <f>IF($D$10="Arena 1", ARIDOS!E56,
 IF($D$10="Arena 2", ARIDOS!H56,
 IF($D$10="Arena 3", ARIDOS!K56,
 IF($D$10="Arena 4", ARIDOS!N56, ""))))</f>
        <v>0</v>
      </c>
      <c r="S9" s="4">
        <f>IF($D$10="Arena 1", ARIDOS!F56,
 IF($D$10="Arena 2", ARIDOS!I56,
 IF($D$10="Arena 3", ARIDOS!L56,
 IF($D$10="Arena 4", ARIDOS!O56, ""))))</f>
        <v>1</v>
      </c>
      <c r="T9" s="21">
        <f>$C$26*M9+$C$27*P9+$C$28*S9</f>
        <v>0.94</v>
      </c>
      <c r="U9" s="16">
        <f>$C$31*M9+$C$32*P9+$C$33*S9</f>
        <v>0.94</v>
      </c>
      <c r="V9" s="16">
        <f>M9*$E$31+P9*$E$32+S9*$E$33</f>
        <v>1.0000000000009583</v>
      </c>
      <c r="AG9" s="49">
        <v>0.2</v>
      </c>
      <c r="AH9" s="99">
        <v>0</v>
      </c>
      <c r="AI9" s="97">
        <v>19</v>
      </c>
    </row>
    <row r="10" spans="2:35">
      <c r="B10" s="148"/>
      <c r="C10" s="54" t="s">
        <v>28</v>
      </c>
      <c r="D10" s="47" t="s">
        <v>222</v>
      </c>
      <c r="E10" s="143" t="s">
        <v>217</v>
      </c>
      <c r="F10" s="143"/>
      <c r="G10" s="143"/>
      <c r="I10" s="1">
        <v>19</v>
      </c>
      <c r="J10" s="2" t="s">
        <v>168</v>
      </c>
      <c r="K10" s="44">
        <f>IF($D$12="Grava 1", ARIDOS!D33,
 IF($D$12="Grava 2", ARIDOS!G33,
 IF($D$12="Grava 3", ARIDOS!J33,
 IF($D$12="Grava 4", ARIDOS!M33, ""))))</f>
        <v>500</v>
      </c>
      <c r="L10" s="4">
        <f>IF($D$12="Grava 1", ARIDOS!E33,
 IF($D$12="Grava 2", ARIDOS!H33,
 IF($D$12="Grava 3", ARIDOS!K33,
 IF($D$12="Grava 4", ARIDOS!N33, ""))))</f>
        <v>0.5</v>
      </c>
      <c r="M10" s="4">
        <f>IF($D$12="Grava 1", ARIDOS!F33,
 IF($D$12="Grava 2", ARIDOS!I33,
 IF($D$12="Grava 3", ARIDOS!L33,
 IF($D$12="Grava 4", ARIDOS!O33, ""))))</f>
        <v>0.19999999999999996</v>
      </c>
      <c r="N10" s="5">
        <f>IF($D$11="Gravilla 1", ARIDOS!D10,
 IF($D$11="Gravilla 2", ARIDOS!G10,
 IF($D$11="Gravilla 3", ARIDOS!J10,
 IF($D$11="Gravilla 4", ARIDOS!M10, ""))))</f>
        <v>70</v>
      </c>
      <c r="O10" s="4">
        <f>IF($D$11="Gravilla 1", ARIDOS!E10,
 IF($D$11="Gravilla 2", ARIDOS!H10,
 IF($D$11="Gravilla 3", ARIDOS!K10,
 IF($D$11="Gravilla 4", ARIDOS!N10, ""))))</f>
        <v>7.0000000000000007E-2</v>
      </c>
      <c r="P10" s="4">
        <f>IF($D$11="Gravilla 1", ARIDOS!F10,
 IF($D$11="Gravilla 2", ARIDOS!I10,
 IF($D$11="Gravilla 3", ARIDOS!L10,
 IF($D$11="Gravilla 4", ARIDOS!O10, ""))))</f>
        <v>0.92999999999999994</v>
      </c>
      <c r="Q10" s="5">
        <f>IF($D$10="Arena 1", ARIDOS!D57,
 IF($D$10="Arena 2", ARIDOS!G57,
 IF($D$10="Arena 3", ARIDOS!J57,
 IF($D$10="Arena 4", ARIDOS!M57, ""))))</f>
        <v>0</v>
      </c>
      <c r="R10" s="4">
        <f>IF($D$10="Arena 1", ARIDOS!E57,
 IF($D$10="Arena 2", ARIDOS!H57,
 IF($D$10="Arena 3", ARIDOS!K57,
 IF($D$10="Arena 4", ARIDOS!N57, ""))))</f>
        <v>0</v>
      </c>
      <c r="S10" s="4">
        <f>IF($D$10="Arena 1", ARIDOS!F57,
 IF($D$10="Arena 2", ARIDOS!I57,
 IF($D$10="Arena 3", ARIDOS!L57,
 IF($D$10="Arena 4", ARIDOS!O57, ""))))</f>
        <v>1</v>
      </c>
      <c r="T10" s="21">
        <f>$C$26*M10+$C$27*P10+$C$28*S10</f>
        <v>0.81899999999999995</v>
      </c>
      <c r="U10" s="16">
        <f>$C$31*M10+$C$32*P10+$C$33*S10</f>
        <v>0.81899999999999995</v>
      </c>
      <c r="V10" s="16">
        <f>M10*$E$31+P10*$E$32+S10*$E$33</f>
        <v>0.97375168830380976</v>
      </c>
      <c r="AG10" s="49">
        <v>0.2</v>
      </c>
      <c r="AH10" s="99">
        <v>0.05</v>
      </c>
      <c r="AI10" s="97">
        <v>12.5</v>
      </c>
    </row>
    <row r="11" spans="2:35">
      <c r="B11" s="148"/>
      <c r="C11" s="54" t="s">
        <v>30</v>
      </c>
      <c r="D11" s="47" t="s">
        <v>223</v>
      </c>
      <c r="E11" s="143" t="s">
        <v>218</v>
      </c>
      <c r="F11" s="143"/>
      <c r="G11" s="143"/>
      <c r="I11" s="1">
        <v>12.5</v>
      </c>
      <c r="J11" s="2" t="s">
        <v>167</v>
      </c>
      <c r="K11" s="44">
        <f>IF($D$12="Grava 1", ARIDOS!D34,
 IF($D$12="Grava 2", ARIDOS!G34,
 IF($D$12="Grava 3", ARIDOS!J34,
 IF($D$12="Grava 4", ARIDOS!M34, ""))))</f>
        <v>150</v>
      </c>
      <c r="L11" s="4">
        <f>IF($D$12="Grava 1", ARIDOS!E34,
 IF($D$12="Grava 2", ARIDOS!H34,
 IF($D$12="Grava 3", ARIDOS!K34,
 IF($D$12="Grava 4", ARIDOS!N34, ""))))</f>
        <v>0.15</v>
      </c>
      <c r="M11" s="4">
        <f>IF($D$12="Grava 1", ARIDOS!F34,
 IF($D$12="Grava 2", ARIDOS!I34,
 IF($D$12="Grava 3", ARIDOS!L34,
 IF($D$12="Grava 4", ARIDOS!O34, ""))))</f>
        <v>4.9999999999999961E-2</v>
      </c>
      <c r="N11" s="5">
        <f>IF($D$11="Gravilla 1", ARIDOS!D11,
 IF($D$11="Gravilla 2", ARIDOS!G11,
 IF($D$11="Gravilla 3", ARIDOS!J11,
 IF($D$11="Gravilla 4", ARIDOS!M11, ""))))</f>
        <v>160</v>
      </c>
      <c r="O11" s="4">
        <f>IF($D$11="Gravilla 1", ARIDOS!E11,
 IF($D$11="Gravilla 2", ARIDOS!H11,
 IF($D$11="Gravilla 3", ARIDOS!K11,
 IF($D$11="Gravilla 4", ARIDOS!N11, ""))))</f>
        <v>0.16</v>
      </c>
      <c r="P11" s="4">
        <f>IF($D$11="Gravilla 1", ARIDOS!F11,
 IF($D$11="Gravilla 2", ARIDOS!I11,
 IF($D$11="Gravilla 3", ARIDOS!L11,
 IF($D$11="Gravilla 4", ARIDOS!O11, ""))))</f>
        <v>0.76999999999999991</v>
      </c>
      <c r="Q11" s="5">
        <f>IF($D$10="Arena 1", ARIDOS!D58,
 IF($D$10="Arena 2", ARIDOS!G58,
 IF($D$10="Arena 3", ARIDOS!J58,
 IF($D$10="Arena 4", ARIDOS!M58, ""))))</f>
        <v>0</v>
      </c>
      <c r="R11" s="4">
        <f>IF($D$10="Arena 1", ARIDOS!E58,
 IF($D$10="Arena 2", ARIDOS!H58,
 IF($D$10="Arena 3", ARIDOS!K58,
 IF($D$10="Arena 4", ARIDOS!N58, ""))))</f>
        <v>0</v>
      </c>
      <c r="S11" s="4">
        <f>IF($D$10="Arena 1", ARIDOS!F58,
 IF($D$10="Arena 2", ARIDOS!I58,
 IF($D$10="Arena 3", ARIDOS!L58,
 IF($D$10="Arena 4", ARIDOS!O58, ""))))</f>
        <v>1</v>
      </c>
      <c r="T11" s="21">
        <f>$C$26*M11+$C$27*P11+$C$28*S11</f>
        <v>0.74099999999999988</v>
      </c>
      <c r="U11" s="16">
        <f>$C$31*M11+$C$32*P11+$C$33*S11</f>
        <v>0.74099999999999988</v>
      </c>
      <c r="V11" s="16">
        <f>M11*$E$31+P11*$E$32+S11*$E$33</f>
        <v>0.91375554728175601</v>
      </c>
      <c r="AG11" s="49">
        <v>0.2</v>
      </c>
      <c r="AH11" s="99">
        <v>0.05</v>
      </c>
      <c r="AI11" s="97">
        <v>9.5</v>
      </c>
    </row>
    <row r="12" spans="2:35">
      <c r="B12" s="149"/>
      <c r="C12" s="105" t="s">
        <v>32</v>
      </c>
      <c r="D12" s="106" t="s">
        <v>224</v>
      </c>
      <c r="E12" s="163" t="s">
        <v>219</v>
      </c>
      <c r="F12" s="163"/>
      <c r="G12" s="163"/>
      <c r="I12" s="1">
        <v>9.5</v>
      </c>
      <c r="J12" s="2" t="s">
        <v>166</v>
      </c>
      <c r="K12" s="44">
        <f>IF($D$12="Grava 1", ARIDOS!D35,
 IF($D$12="Grava 2", ARIDOS!G35,
 IF($D$12="Grava 3", ARIDOS!J35,
 IF($D$12="Grava 4", ARIDOS!M35, ""))))</f>
        <v>50</v>
      </c>
      <c r="L12" s="4">
        <f>IF($D$12="Grava 1", ARIDOS!E35,
 IF($D$12="Grava 2", ARIDOS!H35,
 IF($D$12="Grava 3", ARIDOS!K35,
 IF($D$12="Grava 4", ARIDOS!N35, ""))))</f>
        <v>0.05</v>
      </c>
      <c r="M12" s="4">
        <f>IF($D$12="Grava 1", ARIDOS!F35,
 IF($D$12="Grava 2", ARIDOS!I35,
 IF($D$12="Grava 3", ARIDOS!L35,
 IF($D$12="Grava 4", ARIDOS!O35, ""))))</f>
        <v>0</v>
      </c>
      <c r="N12" s="5">
        <f>IF($D$11="Gravilla 1", ARIDOS!D12,
 IF($D$11="Gravilla 2", ARIDOS!G12,
 IF($D$11="Gravilla 3", ARIDOS!J12,
 IF($D$11="Gravilla 4", ARIDOS!M12, ""))))</f>
        <v>220</v>
      </c>
      <c r="O12" s="4">
        <f>IF($D$11="Gravilla 1", ARIDOS!E12,
 IF($D$11="Gravilla 2", ARIDOS!H12,
 IF($D$11="Gravilla 3", ARIDOS!K12,
 IF($D$11="Gravilla 4", ARIDOS!N12, ""))))</f>
        <v>0.22</v>
      </c>
      <c r="P12" s="4">
        <f>IF($D$11="Gravilla 1", ARIDOS!F12,
 IF($D$11="Gravilla 2", ARIDOS!I12,
 IF($D$11="Gravilla 3", ARIDOS!L12,
 IF($D$11="Gravilla 4", ARIDOS!O12, ""))))</f>
        <v>0.54999999999999993</v>
      </c>
      <c r="Q12" s="5">
        <f>IF($D$10="Arena 1", ARIDOS!D59,
 IF($D$10="Arena 2", ARIDOS!G59,
 IF($D$10="Arena 3", ARIDOS!J59,
 IF($D$10="Arena 4", ARIDOS!M59, ""))))</f>
        <v>60</v>
      </c>
      <c r="R12" s="4">
        <f>IF($D$10="Arena 1", ARIDOS!E59,
 IF($D$10="Arena 2", ARIDOS!H59,
 IF($D$10="Arena 3", ARIDOS!K59,
 IF($D$10="Arena 4", ARIDOS!N59, ""))))</f>
        <v>0.06</v>
      </c>
      <c r="S12" s="4">
        <f>IF($D$10="Arena 1", ARIDOS!F59,
 IF($D$10="Arena 2", ARIDOS!I59,
 IF($D$10="Arena 3", ARIDOS!L59,
 IF($D$10="Arena 4", ARIDOS!O59, ""))))</f>
        <v>0.94</v>
      </c>
      <c r="T12" s="21">
        <f>$C$26*M12+$C$27*P12+$C$28*S12</f>
        <v>0.63500000000000001</v>
      </c>
      <c r="U12" s="16">
        <f>$C$31*M12+$C$32*P12+$C$33*S12</f>
        <v>0.63500000000000001</v>
      </c>
      <c r="V12" s="16">
        <f>M12*$E$31+P12*$E$32+S12*$E$33</f>
        <v>0.79375940625964458</v>
      </c>
      <c r="AG12" s="49">
        <v>0.2</v>
      </c>
      <c r="AH12" s="99">
        <v>0.05</v>
      </c>
      <c r="AI12" s="97">
        <v>6.3</v>
      </c>
    </row>
    <row r="13" spans="2:35">
      <c r="B13" s="50"/>
      <c r="C13" s="48" t="s">
        <v>183</v>
      </c>
      <c r="D13" s="107">
        <v>0</v>
      </c>
      <c r="E13" s="143" t="s">
        <v>184</v>
      </c>
      <c r="F13" s="143"/>
      <c r="G13" s="143"/>
      <c r="I13" s="1">
        <v>6.3</v>
      </c>
      <c r="J13" s="2" t="s">
        <v>227</v>
      </c>
      <c r="K13" s="44">
        <f>IF($D$12="Grava 1", ARIDOS!D36,
 IF($D$12="Grava 2", ARIDOS!G36,
 IF($D$12="Grava 3", ARIDOS!J36,
 IF($D$12="Grava 4", ARIDOS!M36, ""))))</f>
        <v>0</v>
      </c>
      <c r="L13" s="4">
        <f>IF($D$12="Grava 1", ARIDOS!E36,
 IF($D$12="Grava 2", ARIDOS!H36,
 IF($D$12="Grava 3", ARIDOS!K36,
 IF($D$12="Grava 4", ARIDOS!N36, ""))))</f>
        <v>0</v>
      </c>
      <c r="M13" s="4">
        <f>IF($D$12="Grava 1", ARIDOS!F36,
 IF($D$12="Grava 2", ARIDOS!I36,
 IF($D$12="Grava 3", ARIDOS!L36,
 IF($D$12="Grava 4", ARIDOS!O36, ""))))</f>
        <v>0</v>
      </c>
      <c r="N13" s="5">
        <f>IF($D$11="Gravilla 1", ARIDOS!D13,
 IF($D$11="Gravilla 2", ARIDOS!G13,
 IF($D$11="Gravilla 3", ARIDOS!J13,
 IF($D$11="Gravilla 4", ARIDOS!M13, ""))))</f>
        <v>280</v>
      </c>
      <c r="O13" s="4">
        <f>IF($D$11="Gravilla 1", ARIDOS!E13,
 IF($D$11="Gravilla 2", ARIDOS!H13,
 IF($D$11="Gravilla 3", ARIDOS!K13,
 IF($D$11="Gravilla 4", ARIDOS!N13, ""))))</f>
        <v>0.28000000000000003</v>
      </c>
      <c r="P13" s="4">
        <f>IF($D$11="Gravilla 1", ARIDOS!F13,
 IF($D$11="Gravilla 2", ARIDOS!I13,
 IF($D$11="Gravilla 3", ARIDOS!L13,
 IF($D$11="Gravilla 4", ARIDOS!O13, ""))))</f>
        <v>0.26999999999999991</v>
      </c>
      <c r="Q13" s="5">
        <f>IF($D$10="Arena 1", ARIDOS!D60,
 IF($D$10="Arena 2", ARIDOS!G60,
 IF($D$10="Arena 3", ARIDOS!J60,
 IF($D$10="Arena 4", ARIDOS!M60, ""))))</f>
        <v>140</v>
      </c>
      <c r="R13" s="4">
        <f>IF($D$10="Arena 1", ARIDOS!E60,
 IF($D$10="Arena 2", ARIDOS!H60,
 IF($D$10="Arena 3", ARIDOS!K60,
 IF($D$10="Arena 4", ARIDOS!N60, ""))))</f>
        <v>0.14000000000000001</v>
      </c>
      <c r="S13" s="4">
        <f>IF($D$10="Arena 1", ARIDOS!F60,
 IF($D$10="Arena 2", ARIDOS!I60,
 IF($D$10="Arena 3", ARIDOS!L60,
 IF($D$10="Arena 4", ARIDOS!O60, ""))))</f>
        <v>0.79999999999999993</v>
      </c>
      <c r="T13" s="21">
        <f>$C$26*M13+$C$27*P13+$C$28*S13</f>
        <v>0.48099999999999993</v>
      </c>
      <c r="U13" s="16">
        <f>$C$31*M13+$C$32*P13+$C$33*S13</f>
        <v>0.48099999999999993</v>
      </c>
      <c r="V13" s="16">
        <f>M13*$E$31+P13*$E$32+S13*$E$33</f>
        <v>0.60126278286521329</v>
      </c>
      <c r="AG13" s="49">
        <v>0.2</v>
      </c>
      <c r="AH13" s="99">
        <v>0.05</v>
      </c>
      <c r="AI13" s="97">
        <v>4.75</v>
      </c>
    </row>
    <row r="14" spans="2:35">
      <c r="B14" s="50"/>
      <c r="C14" s="199"/>
      <c r="D14" s="200"/>
      <c r="E14" s="201"/>
      <c r="F14" s="201"/>
      <c r="G14" s="201"/>
      <c r="I14" s="1">
        <v>4.75</v>
      </c>
      <c r="J14" s="2" t="s">
        <v>35</v>
      </c>
      <c r="K14" s="44">
        <f>IF($D$12="Grava 1", ARIDOS!D37,
 IF($D$12="Grava 2", ARIDOS!G37,
 IF($D$12="Grava 3", ARIDOS!J37,
 IF($D$12="Grava 4", ARIDOS!M37, ""))))</f>
        <v>0</v>
      </c>
      <c r="L14" s="4">
        <f>IF($D$12="Grava 1", ARIDOS!E37,
 IF($D$12="Grava 2", ARIDOS!H37,
 IF($D$12="Grava 3", ARIDOS!K37,
 IF($D$12="Grava 4", ARIDOS!N37, ""))))</f>
        <v>0</v>
      </c>
      <c r="M14" s="4">
        <f>IF($D$12="Grava 1", ARIDOS!F37,
 IF($D$12="Grava 2", ARIDOS!I37,
 IF($D$12="Grava 3", ARIDOS!L37,
 IF($D$12="Grava 4", ARIDOS!O37, ""))))</f>
        <v>0</v>
      </c>
      <c r="N14" s="5">
        <f>IF($D$11="Gravilla 1", ARIDOS!D14,
 IF($D$11="Gravilla 2", ARIDOS!G14,
 IF($D$11="Gravilla 3", ARIDOS!J14,
 IF($D$11="Gravilla 4", ARIDOS!M14, ""))))</f>
        <v>250</v>
      </c>
      <c r="O14" s="4">
        <f>IF($D$11="Gravilla 1", ARIDOS!E14,
 IF($D$11="Gravilla 2", ARIDOS!H14,
 IF($D$11="Gravilla 3", ARIDOS!K14,
 IF($D$11="Gravilla 4", ARIDOS!N14, ""))))</f>
        <v>0.25</v>
      </c>
      <c r="P14" s="4">
        <f>IF($D$11="Gravilla 1", ARIDOS!F14,
 IF($D$11="Gravilla 2", ARIDOS!I14,
 IF($D$11="Gravilla 3", ARIDOS!L14,
 IF($D$11="Gravilla 4", ARIDOS!O14, ""))))</f>
        <v>1.9999999999999907E-2</v>
      </c>
      <c r="Q14" s="5">
        <f>IF($D$10="Arena 1", ARIDOS!D61,
 IF($D$10="Arena 2", ARIDOS!G61,
 IF($D$10="Arena 3", ARIDOS!J61,
 IF($D$10="Arena 4", ARIDOS!M61, ""))))</f>
        <v>70</v>
      </c>
      <c r="R14" s="4">
        <f>IF($D$10="Arena 1", ARIDOS!E61,
 IF($D$10="Arena 2", ARIDOS!H61,
 IF($D$10="Arena 3", ARIDOS!K61,
 IF($D$10="Arena 4", ARIDOS!N61, ""))))</f>
        <v>7.0000000000000007E-2</v>
      </c>
      <c r="S14" s="4">
        <f>IF($D$10="Arena 1", ARIDOS!F61,
 IF($D$10="Arena 2", ARIDOS!I61,
 IF($D$10="Arena 3", ARIDOS!L61,
 IF($D$10="Arena 4", ARIDOS!O61, ""))))</f>
        <v>0.73</v>
      </c>
      <c r="T14" s="21">
        <f>$C$26*M14+$C$27*P14+$C$28*S14</f>
        <v>0.37099999999999994</v>
      </c>
      <c r="U14" s="16">
        <f>$C$31*M14+$C$32*P14+$C$33*S14</f>
        <v>0.37099999999999994</v>
      </c>
      <c r="V14" s="16">
        <f>M14*$E$31+P14*$E$32+S14*$E$33</f>
        <v>0.46376712421533567</v>
      </c>
      <c r="AG14" s="49">
        <v>0.125</v>
      </c>
      <c r="AH14" s="99">
        <v>0</v>
      </c>
      <c r="AI14" s="97">
        <v>2.36</v>
      </c>
    </row>
    <row r="15" spans="2:35">
      <c r="B15" s="50"/>
      <c r="C15" s="199"/>
      <c r="D15" s="202"/>
      <c r="E15" s="202"/>
      <c r="F15" s="202"/>
      <c r="G15" s="201"/>
      <c r="I15" s="1">
        <v>2.36</v>
      </c>
      <c r="J15" s="2" t="s">
        <v>36</v>
      </c>
      <c r="K15" s="44">
        <f>IF($D$12="Grava 1", ARIDOS!D38,
 IF($D$12="Grava 2", ARIDOS!G38,
 IF($D$12="Grava 3", ARIDOS!J38,
 IF($D$12="Grava 4", ARIDOS!M38, ""))))</f>
        <v>0</v>
      </c>
      <c r="L15" s="4">
        <f>IF($D$12="Grava 1", ARIDOS!E38,
 IF($D$12="Grava 2", ARIDOS!H38,
 IF($D$12="Grava 3", ARIDOS!K38,
 IF($D$12="Grava 4", ARIDOS!N38, ""))))</f>
        <v>0</v>
      </c>
      <c r="M15" s="4">
        <f>IF($D$12="Grava 1", ARIDOS!F38,
 IF($D$12="Grava 2", ARIDOS!I38,
 IF($D$12="Grava 3", ARIDOS!L38,
 IF($D$12="Grava 4", ARIDOS!O38, ""))))</f>
        <v>0</v>
      </c>
      <c r="N15" s="5">
        <f>IF($D$11="Gravilla 1", ARIDOS!D15,
 IF($D$11="Gravilla 2", ARIDOS!G15,
 IF($D$11="Gravilla 3", ARIDOS!J15,
 IF($D$11="Gravilla 4", ARIDOS!M15, ""))))</f>
        <v>20</v>
      </c>
      <c r="O15" s="4">
        <f>IF($D$11="Gravilla 1", ARIDOS!E15,
 IF($D$11="Gravilla 2", ARIDOS!H15,
 IF($D$11="Gravilla 3", ARIDOS!K15,
 IF($D$11="Gravilla 4", ARIDOS!N15, ""))))</f>
        <v>0.02</v>
      </c>
      <c r="P15" s="4">
        <f>IF($D$11="Gravilla 1", ARIDOS!F15,
 IF($D$11="Gravilla 2", ARIDOS!I15,
 IF($D$11="Gravilla 3", ARIDOS!L15,
 IF($D$11="Gravilla 4", ARIDOS!O15, ""))))</f>
        <v>-9.3675067702747583E-17</v>
      </c>
      <c r="Q15" s="5">
        <f>IF($D$10="Arena 1", ARIDOS!D62,
 IF($D$10="Arena 2", ARIDOS!G62,
 IF($D$10="Arena 3", ARIDOS!J62,
 IF($D$10="Arena 4", ARIDOS!M62, ""))))</f>
        <v>100</v>
      </c>
      <c r="R15" s="4">
        <f>IF($D$10="Arena 1", ARIDOS!E62,
 IF($D$10="Arena 2", ARIDOS!H62,
 IF($D$10="Arena 3", ARIDOS!K62,
 IF($D$10="Arena 4", ARIDOS!N62, ""))))</f>
        <v>0.1</v>
      </c>
      <c r="S15" s="4">
        <f>IF($D$10="Arena 1", ARIDOS!F62,
 IF($D$10="Arena 2", ARIDOS!I62,
 IF($D$10="Arena 3", ARIDOS!L62,
 IF($D$10="Arena 4", ARIDOS!O62, ""))))</f>
        <v>0.63</v>
      </c>
      <c r="T15" s="21">
        <f>$C$26*M15+$C$27*P15+$C$28*S15</f>
        <v>0.31499999999999995</v>
      </c>
      <c r="U15" s="16">
        <f>$C$31*M15+$C$32*P15+$C$33*S15</f>
        <v>0.31499999999999995</v>
      </c>
      <c r="V15" s="16">
        <f>M15*$E$31+P15*$E$32+S15*$E$33</f>
        <v>0.39376519472626675</v>
      </c>
      <c r="AG15" s="49">
        <v>0.125</v>
      </c>
      <c r="AH15" s="99">
        <v>0</v>
      </c>
      <c r="AI15" s="97">
        <v>1.18</v>
      </c>
    </row>
    <row r="16" spans="2:35">
      <c r="B16" s="50"/>
      <c r="C16" s="50"/>
      <c r="D16" s="50"/>
      <c r="F16" s="50"/>
      <c r="I16" s="1">
        <v>1.18</v>
      </c>
      <c r="J16" s="2" t="s">
        <v>38</v>
      </c>
      <c r="K16" s="44">
        <f>IF($D$12="Grava 1", ARIDOS!D39,
 IF($D$12="Grava 2", ARIDOS!G39,
 IF($D$12="Grava 3", ARIDOS!J39,
 IF($D$12="Grava 4", ARIDOS!M39, ""))))</f>
        <v>0</v>
      </c>
      <c r="L16" s="4">
        <f>IF($D$12="Grava 1", ARIDOS!E39,
 IF($D$12="Grava 2", ARIDOS!H39,
 IF($D$12="Grava 3", ARIDOS!K39,
 IF($D$12="Grava 4", ARIDOS!N39, ""))))</f>
        <v>0</v>
      </c>
      <c r="M16" s="4">
        <f>IF($D$12="Grava 1", ARIDOS!F39,
 IF($D$12="Grava 2", ARIDOS!I39,
 IF($D$12="Grava 3", ARIDOS!L39,
 IF($D$12="Grava 4", ARIDOS!O39, ""))))</f>
        <v>0</v>
      </c>
      <c r="N16" s="5">
        <f>IF($D$11="Gravilla 1", ARIDOS!D16,
 IF($D$11="Gravilla 2", ARIDOS!G16,
 IF($D$11="Gravilla 3", ARIDOS!J16,
 IF($D$11="Gravilla 4", ARIDOS!M16, ""))))</f>
        <v>0</v>
      </c>
      <c r="O16" s="4">
        <f>IF($D$11="Gravilla 1", ARIDOS!E16,
 IF($D$11="Gravilla 2", ARIDOS!H16,
 IF($D$11="Gravilla 3", ARIDOS!K16,
 IF($D$11="Gravilla 4", ARIDOS!N16, ""))))</f>
        <v>0</v>
      </c>
      <c r="P16" s="4">
        <f>IF($D$11="Gravilla 1", ARIDOS!F16,
 IF($D$11="Gravilla 2", ARIDOS!I16,
 IF($D$11="Gravilla 3", ARIDOS!L16,
 IF($D$11="Gravilla 4", ARIDOS!O16, ""))))</f>
        <v>-9.3675067702747583E-17</v>
      </c>
      <c r="Q16" s="5">
        <f>IF($D$10="Arena 1", ARIDOS!D63,
 IF($D$10="Arena 2", ARIDOS!G63,
 IF($D$10="Arena 3", ARIDOS!J63,
 IF($D$10="Arena 4", ARIDOS!M63, ""))))</f>
        <v>200</v>
      </c>
      <c r="R16" s="4">
        <f>IF($D$10="Arena 1", ARIDOS!E63,
 IF($D$10="Arena 2", ARIDOS!H63,
 IF($D$10="Arena 3", ARIDOS!K63,
 IF($D$10="Arena 4", ARIDOS!N63, ""))))</f>
        <v>0.2</v>
      </c>
      <c r="S16" s="4">
        <f>IF($D$10="Arena 1", ARIDOS!F63,
 IF($D$10="Arena 2", ARIDOS!I63,
 IF($D$10="Arena 3", ARIDOS!L63,
 IF($D$10="Arena 4", ARIDOS!O63, ""))))</f>
        <v>0.43</v>
      </c>
      <c r="T16" s="21">
        <f>$C$26*M16+$C$27*P16+$C$28*S16</f>
        <v>0.21499999999999997</v>
      </c>
      <c r="U16" s="16">
        <f>$C$31*M16+$C$32*P16+$C$33*S16</f>
        <v>0.21499999999999997</v>
      </c>
      <c r="V16" s="16">
        <f>M16*$E$31+P16*$E$32+S16*$E$33</f>
        <v>0.26876037100364236</v>
      </c>
      <c r="AG16" s="49">
        <v>0.2</v>
      </c>
      <c r="AH16" s="99">
        <v>0.05</v>
      </c>
      <c r="AI16" s="97">
        <v>0.6</v>
      </c>
    </row>
    <row r="17" spans="2:35">
      <c r="B17" s="11"/>
      <c r="C17" s="11"/>
      <c r="D17" s="6" t="str">
        <f>D12</f>
        <v>Grava 2</v>
      </c>
      <c r="E17" s="7" t="str">
        <f>D11</f>
        <v>Gravilla 1</v>
      </c>
      <c r="F17" s="42" t="str">
        <f>D10</f>
        <v>Arena 1</v>
      </c>
      <c r="G17" s="41" t="s">
        <v>110</v>
      </c>
      <c r="I17" s="1">
        <v>0.6</v>
      </c>
      <c r="J17" s="2" t="s">
        <v>40</v>
      </c>
      <c r="K17" s="44">
        <f>IF($D$12="Grava 1", ARIDOS!D40,
 IF($D$12="Grava 2", ARIDOS!G40,
 IF($D$12="Grava 3", ARIDOS!J40,
 IF($D$12="Grava 4", ARIDOS!M40, ""))))</f>
        <v>0</v>
      </c>
      <c r="L17" s="4">
        <f>IF($D$12="Grava 1", ARIDOS!E40,
 IF($D$12="Grava 2", ARIDOS!H40,
 IF($D$12="Grava 3", ARIDOS!K40,
 IF($D$12="Grava 4", ARIDOS!N40, ""))))</f>
        <v>0</v>
      </c>
      <c r="M17" s="4">
        <f>IF($D$12="Grava 1", ARIDOS!F40,
 IF($D$12="Grava 2", ARIDOS!I40,
 IF($D$12="Grava 3", ARIDOS!L40,
 IF($D$12="Grava 4", ARIDOS!O40, ""))))</f>
        <v>0</v>
      </c>
      <c r="N17" s="5">
        <f>IF($D$11="Gravilla 1", ARIDOS!D17,
 IF($D$11="Gravilla 2", ARIDOS!G17,
 IF($D$11="Gravilla 3", ARIDOS!J17,
 IF($D$11="Gravilla 4", ARIDOS!M17, ""))))</f>
        <v>0</v>
      </c>
      <c r="O17" s="4">
        <f>IF($D$11="Gravilla 1", ARIDOS!E17,
 IF($D$11="Gravilla 2", ARIDOS!H17,
 IF($D$11="Gravilla 3", ARIDOS!K17,
 IF($D$11="Gravilla 4", ARIDOS!N17, ""))))</f>
        <v>0</v>
      </c>
      <c r="P17" s="4">
        <f>IF($D$11="Gravilla 1", ARIDOS!F17,
 IF($D$11="Gravilla 2", ARIDOS!I17,
 IF($D$11="Gravilla 3", ARIDOS!L17,
 IF($D$11="Gravilla 4", ARIDOS!O17, ""))))</f>
        <v>-9.3675067702747583E-17</v>
      </c>
      <c r="Q17" s="5">
        <f>IF($D$10="Arena 1", ARIDOS!D64,
 IF($D$10="Arena 2", ARIDOS!G64,
 IF($D$10="Arena 3", ARIDOS!J64,
 IF($D$10="Arena 4", ARIDOS!M64, ""))))</f>
        <v>130</v>
      </c>
      <c r="R17" s="4">
        <f>IF($D$10="Arena 1", ARIDOS!E64,
 IF($D$10="Arena 2", ARIDOS!H64,
 IF($D$10="Arena 3", ARIDOS!K64,
 IF($D$10="Arena 4", ARIDOS!N64, ""))))</f>
        <v>0.13</v>
      </c>
      <c r="S17" s="4">
        <f>IF($D$10="Arena 1", ARIDOS!F64,
 IF($D$10="Arena 2", ARIDOS!I64,
 IF($D$10="Arena 3", ARIDOS!L64,
 IF($D$10="Arena 4", ARIDOS!O64, ""))))</f>
        <v>0.3</v>
      </c>
      <c r="T17" s="21">
        <f>$C$26*M17+$C$27*P17+$C$28*S17</f>
        <v>0.14999999999999997</v>
      </c>
      <c r="U17" s="16">
        <f>$C$31*M17+$C$32*P17+$C$33*S17</f>
        <v>0.14999999999999997</v>
      </c>
      <c r="V17" s="16">
        <f>M17*$E$31+P17*$E$32+S17*$E$33</f>
        <v>0.18750723558393653</v>
      </c>
      <c r="AG17" s="49">
        <v>0.2</v>
      </c>
      <c r="AH17" s="99">
        <v>0.05</v>
      </c>
      <c r="AI17" s="97">
        <v>0.3</v>
      </c>
    </row>
    <row r="18" spans="2:35">
      <c r="B18" s="164" t="s">
        <v>37</v>
      </c>
      <c r="C18" s="146"/>
      <c r="D18" s="8">
        <f>IF($D$12="Grava 1", ARIDOS!S32,
 IF($D$12="Grava 2", ARIDOS!T32,
 IF($D$12="Grava 3", ARIDOS!U32,
 IF($D$12="Grava 4", ARIDOS!V32, ""))))</f>
        <v>1.2E-2</v>
      </c>
      <c r="E18" s="8">
        <f>IF($D$11="Gravilla 1", ARIDOS!S10,
 IF($D$11="Gravilla 2", ARIDOS!T10,
 IF($D$11="Gravilla 3", ARIDOS!U10,
 IF($D$11="Gravilla 4", ARIDOS!V10, ""))))</f>
        <v>1.2E-2</v>
      </c>
      <c r="F18" s="43">
        <f>IF($D$10="Arena 1", ARIDOS!S57,
 IF($D$10="Arena 2", ARIDOS!T57,
 IF($D$10="Arena 3", ARIDOS!U57,
 IF($D$10="Arena 4", ARIDOS!V57, ""))))</f>
        <v>1.2E-2</v>
      </c>
      <c r="G18" s="14" t="s">
        <v>64</v>
      </c>
      <c r="I18" s="1">
        <v>0.3</v>
      </c>
      <c r="J18" s="2" t="s">
        <v>41</v>
      </c>
      <c r="K18" s="44">
        <f>IF($D$12="Grava 1", ARIDOS!D41,
 IF($D$12="Grava 2", ARIDOS!G41,
 IF($D$12="Grava 3", ARIDOS!J41,
 IF($D$12="Grava 4", ARIDOS!M41, ""))))</f>
        <v>0</v>
      </c>
      <c r="L18" s="4">
        <f>IF($D$12="Grava 1", ARIDOS!E41,
 IF($D$12="Grava 2", ARIDOS!H41,
 IF($D$12="Grava 3", ARIDOS!K41,
 IF($D$12="Grava 4", ARIDOS!N41, ""))))</f>
        <v>0</v>
      </c>
      <c r="M18" s="4">
        <f>IF($D$12="Grava 1", ARIDOS!F41,
 IF($D$12="Grava 2", ARIDOS!I41,
 IF($D$12="Grava 3", ARIDOS!L41,
 IF($D$12="Grava 4", ARIDOS!O41, ""))))</f>
        <v>0</v>
      </c>
      <c r="N18" s="5">
        <f>IF($D$11="Gravilla 1", ARIDOS!D18,
 IF($D$11="Gravilla 2", ARIDOS!G18,
 IF($D$11="Gravilla 3", ARIDOS!J18,
 IF($D$11="Gravilla 4", ARIDOS!M18, ""))))</f>
        <v>0</v>
      </c>
      <c r="O18" s="4">
        <f>IF($D$11="Gravilla 1", ARIDOS!E18,
 IF($D$11="Gravilla 2", ARIDOS!H18,
 IF($D$11="Gravilla 3", ARIDOS!K18,
 IF($D$11="Gravilla 4", ARIDOS!N18, ""))))</f>
        <v>0</v>
      </c>
      <c r="P18" s="4">
        <f>IF($D$11="Gravilla 1", ARIDOS!F18,
 IF($D$11="Gravilla 2", ARIDOS!I18,
 IF($D$11="Gravilla 3", ARIDOS!L18,
 IF($D$11="Gravilla 4", ARIDOS!O18, ""))))</f>
        <v>-9.3675067702747583E-17</v>
      </c>
      <c r="Q18" s="5">
        <f>IF($D$10="Arena 1", ARIDOS!D65,
 IF($D$10="Arena 2", ARIDOS!G65,
 IF($D$10="Arena 3", ARIDOS!J65,
 IF($D$10="Arena 4", ARIDOS!M65, ""))))</f>
        <v>210</v>
      </c>
      <c r="R18" s="4">
        <f>IF($D$10="Arena 1", ARIDOS!E65,
 IF($D$10="Arena 2", ARIDOS!H65,
 IF($D$10="Arena 3", ARIDOS!K65,
 IF($D$10="Arena 4", ARIDOS!N65, ""))))</f>
        <v>0.21</v>
      </c>
      <c r="S18" s="4">
        <f>IF($D$10="Arena 1", ARIDOS!F65,
 IF($D$10="Arena 2", ARIDOS!I65,
 IF($D$10="Arena 3", ARIDOS!L65,
 IF($D$10="Arena 4", ARIDOS!O65, ""))))</f>
        <v>0.09</v>
      </c>
      <c r="T18" s="21">
        <f>$C$26*M18+$C$27*P18+$C$28*S18</f>
        <v>4.4999999999999971E-2</v>
      </c>
      <c r="U18" s="16">
        <f>$C$31*M18+$C$32*P18+$C$33*S18</f>
        <v>4.4999999999999971E-2</v>
      </c>
      <c r="V18" s="16">
        <f>M18*$E$31+P18*$E$32+S18*$E$33</f>
        <v>5.6252170675180936E-2</v>
      </c>
      <c r="AG18" s="79">
        <v>0.1</v>
      </c>
      <c r="AH18" s="99">
        <v>0</v>
      </c>
      <c r="AI18" s="97">
        <v>0.15</v>
      </c>
    </row>
    <row r="19" spans="2:35">
      <c r="B19" s="164" t="s">
        <v>39</v>
      </c>
      <c r="C19" s="146"/>
      <c r="D19" s="8">
        <f>IF($D$12="Grava 1", ARIDOS!S33,
 IF($D$12="Grava 2", ARIDOS!T33,
 IF($D$12="Grava 3", ARIDOS!U33,
 IF($D$12="Grava 4", ARIDOS!V33, ""))))</f>
        <v>0.05</v>
      </c>
      <c r="E19" s="8">
        <f>IF($D$11="Gravilla 1", ARIDOS!S11,
 IF($D$11="Gravilla 2", ARIDOS!T11,
 IF($D$11="Gravilla 3", ARIDOS!U11,
 IF($D$11="Gravilla 4", ARIDOS!V11, ""))))</f>
        <v>7.0000000000000007E-2</v>
      </c>
      <c r="F19" s="43">
        <f>IF($D$10="Arena 1", ARIDOS!S58,
 IF($D$10="Arena 2", ARIDOS!T58,
 IF($D$10="Arena 3", ARIDOS!U58,
 IF($D$10="Arena 4", ARIDOS!V58, ""))))</f>
        <v>0.06</v>
      </c>
      <c r="G19" s="14" t="s">
        <v>64</v>
      </c>
      <c r="I19" s="9">
        <v>0.15</v>
      </c>
      <c r="J19" s="10" t="s">
        <v>43</v>
      </c>
      <c r="K19" s="44">
        <f>IF($D$12="Grava 1", ARIDOS!D42,
 IF($D$12="Grava 2", ARIDOS!G42,
 IF($D$12="Grava 3", ARIDOS!J42,
 IF($D$12="Grava 4", ARIDOS!M42, ""))))</f>
        <v>0</v>
      </c>
      <c r="L19" s="4">
        <f>IF($D$12="Grava 1", ARIDOS!E42,
 IF($D$12="Grava 2", ARIDOS!H42,
 IF($D$12="Grava 3", ARIDOS!K42,
 IF($D$12="Grava 4", ARIDOS!N42, ""))))</f>
        <v>0</v>
      </c>
      <c r="M19" s="4">
        <f>IF($D$12="Grava 1", ARIDOS!F42,
 IF($D$12="Grava 2", ARIDOS!I42,
 IF($D$12="Grava 3", ARIDOS!L42,
 IF($D$12="Grava 4", ARIDOS!O42, ""))))</f>
        <v>0</v>
      </c>
      <c r="N19" s="141">
        <f>IF($D$11="Gravilla 1", ARIDOS!D19,
 IF($D$11="Gravilla 2", ARIDOS!G19,
 IF($D$11="Gravilla 3", ARIDOS!J19,
 IF($D$11="Gravilla 4", ARIDOS!M19, ""))))</f>
        <v>0</v>
      </c>
      <c r="O19" s="4">
        <f>IF($D$11="Gravilla 1", ARIDOS!E19,
 IF($D$11="Gravilla 2", ARIDOS!H19,
 IF($D$11="Gravilla 3", ARIDOS!K19,
 IF($D$11="Gravilla 4", ARIDOS!N19, ""))))</f>
        <v>0</v>
      </c>
      <c r="P19" s="4">
        <f>IF($D$11="Gravilla 1", ARIDOS!F19,
 IF($D$11="Gravilla 2", ARIDOS!I19,
 IF($D$11="Gravilla 3", ARIDOS!L19,
 IF($D$11="Gravilla 4", ARIDOS!O19, ""))))</f>
        <v>0</v>
      </c>
      <c r="Q19" s="141">
        <f>IF($D$10="Arena 1", ARIDOS!D66,
 IF($D$10="Arena 2", ARIDOS!G66,
 IF($D$10="Arena 3", ARIDOS!J66,
 IF($D$10="Arena 4", ARIDOS!M66, ""))))</f>
        <v>40</v>
      </c>
      <c r="R19" s="4">
        <f>IF($D$10="Arena 1", ARIDOS!E66,
 IF($D$10="Arena 2", ARIDOS!H66,
 IF($D$10="Arena 3", ARIDOS!K66,
 IF($D$10="Arena 4", ARIDOS!N66, ""))))</f>
        <v>0.04</v>
      </c>
      <c r="S19" s="4">
        <f>IF($D$10="Arena 1", ARIDOS!F66,
 IF($D$10="Arena 2", ARIDOS!I66,
 IF($D$10="Arena 3", ARIDOS!L66,
 IF($D$10="Arena 4", ARIDOS!O66, ""))))</f>
        <v>4.9999999999999996E-2</v>
      </c>
      <c r="T19" s="21">
        <f>$C$26*M19+$C$27*P19+$C$28*S19</f>
        <v>2.4999999999999998E-2</v>
      </c>
      <c r="U19" s="16">
        <f>$C$31*M19+$C$32*P19+$C$33*S19</f>
        <v>2.4999999999999998E-2</v>
      </c>
      <c r="V19" s="16">
        <f>M19*$E$31+P19*$E$32+S19*$E$33</f>
        <v>3.1251205930656091E-2</v>
      </c>
    </row>
    <row r="20" spans="2:35">
      <c r="B20" s="164" t="s">
        <v>137</v>
      </c>
      <c r="C20" s="146"/>
      <c r="D20" s="203">
        <f>IF($D$12="Grava 1", ARIDOS!S34,
 IF($D$12="Grava 2", ARIDOS!T34,
 IF($D$12="Grava 3", ARIDOS!U34,
 IF($D$12="Grava 4", ARIDOS!V34, ""))))</f>
        <v>2.6</v>
      </c>
      <c r="E20" s="5">
        <f>IF($D$11="Gravilla 1", ARIDOS!S12,
 IF($D$11="Gravilla 2", ARIDOS!T12,
 IF($D$11="Gravilla 3", ARIDOS!U12,
 IF($D$11="Gravilla 4", ARIDOS!V12, ""))))</f>
        <v>2.8</v>
      </c>
      <c r="F20" s="140">
        <f>IF($D$10="Arena 1", ARIDOS!S59,
 IF($D$10="Arena 2", ARIDOS!T59,
 IF($D$10="Arena 3", ARIDOS!U59,
 IF($D$10="Arena 4", ARIDOS!V59, ""))))</f>
        <v>2.7</v>
      </c>
      <c r="G20" s="44">
        <f>IF(D8="Melón Extra",2.81,IF(D8="Melón Especial",3,""))</f>
        <v>2.81</v>
      </c>
      <c r="I20" s="164" t="s">
        <v>44</v>
      </c>
      <c r="J20" s="145"/>
      <c r="K20" s="44">
        <f>IF($D$12="Grava 1", ARIDOS!D43,
 IF($D$12="Grava 2", ARIDOS!G43,
 IF($D$12="Grava 3", ARIDOS!J43,
 IF($D$12="Grava 4", ARIDOS!M43, ""))))</f>
        <v>0</v>
      </c>
      <c r="L20" s="11"/>
      <c r="M20" s="11"/>
      <c r="N20" s="44">
        <f>IF($D$11="Gravilla 1", ARIDOS!D20,
 IF($D$11="Gravilla 2", ARIDOS!G20,
 IF($D$11="Gravilla 3", ARIDOS!J20,
 IF($D$11="Gravilla 4", ARIDOS!M20, ""))))</f>
        <v>0</v>
      </c>
      <c r="O20" s="11"/>
      <c r="P20" s="11"/>
      <c r="Q20" s="44">
        <f>IF($D$10="Arena 1", ARIDOS!D67,
 IF($D$10="Arena 2", ARIDOS!G67,
 IF($D$10="Arena 3", ARIDOS!J67,
 IF($D$10="Arena 4", ARIDOS!M67, ""))))</f>
        <v>50</v>
      </c>
      <c r="R20" s="11"/>
      <c r="S20" s="11"/>
      <c r="T20" s="50"/>
      <c r="U20" s="50"/>
      <c r="V20" s="50"/>
    </row>
    <row r="21" spans="2:35">
      <c r="B21" s="171" t="s">
        <v>42</v>
      </c>
      <c r="C21" s="172"/>
      <c r="D21" s="94">
        <f>D20*1000</f>
        <v>2600</v>
      </c>
      <c r="E21" s="94">
        <f t="shared" ref="E21:F21" si="0">E20*1000</f>
        <v>2800</v>
      </c>
      <c r="F21" s="95">
        <f t="shared" si="0"/>
        <v>2700</v>
      </c>
      <c r="G21" s="96">
        <f>G20*1000</f>
        <v>2810</v>
      </c>
      <c r="I21" s="164" t="s">
        <v>45</v>
      </c>
      <c r="J21" s="146"/>
      <c r="K21" s="5">
        <f>IF($D$12="Grava 1", ARIDOS!D44,
 IF($D$12="Grava 2", ARIDOS!G44,
 IF($D$12="Grava 3", ARIDOS!J44,
 IF($D$12="Grava 4", ARIDOS!M44, ""))))</f>
        <v>1000</v>
      </c>
      <c r="L21" s="11"/>
      <c r="M21" s="11"/>
      <c r="N21" s="44">
        <f>IF($D$11="Gravilla 1", ARIDOS!D21,
 IF($D$11="Gravilla 2", ARIDOS!G21,
 IF($D$11="Gravilla 3", ARIDOS!J21,
 IF($D$11="Gravilla 4", ARIDOS!M21, ""))))</f>
        <v>1000</v>
      </c>
      <c r="O21" s="11"/>
      <c r="P21" s="11"/>
      <c r="Q21" s="44">
        <f>IF($D$10="Arena 1", ARIDOS!D68,
 IF($D$10="Arena 2", ARIDOS!G68,
 IF($D$10="Arena 3", ARIDOS!J68,
 IF($D$10="Arena 4", ARIDOS!M68, ""))))</f>
        <v>1000</v>
      </c>
      <c r="R21" s="11"/>
      <c r="S21" s="11"/>
      <c r="T21" s="50"/>
      <c r="U21" s="50"/>
    </row>
    <row r="22" spans="2:35">
      <c r="B22" s="161" t="s">
        <v>135</v>
      </c>
      <c r="C22" s="161"/>
      <c r="D22" s="40" t="str">
        <f>G18</f>
        <v>-</v>
      </c>
      <c r="E22" s="40" t="str">
        <f>G18</f>
        <v>-</v>
      </c>
      <c r="F22" s="40" t="str">
        <f>G18</f>
        <v>-</v>
      </c>
      <c r="G22" s="14">
        <v>15</v>
      </c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</row>
    <row r="23" spans="2:35">
      <c r="B23" s="162" t="s">
        <v>136</v>
      </c>
      <c r="C23" s="162"/>
      <c r="D23" s="40" t="str">
        <f>G19</f>
        <v>-</v>
      </c>
      <c r="E23" s="40" t="str">
        <f>G19</f>
        <v>-</v>
      </c>
      <c r="F23" s="40" t="str">
        <f>G19</f>
        <v>-</v>
      </c>
      <c r="G23" s="14">
        <v>24.32</v>
      </c>
    </row>
    <row r="24" spans="2:35">
      <c r="B24" s="10"/>
      <c r="C24" s="93"/>
      <c r="I24" s="168" t="s">
        <v>46</v>
      </c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70"/>
      <c r="Z24" s="58"/>
      <c r="AA24" s="176" t="s">
        <v>73</v>
      </c>
      <c r="AB24" s="176"/>
      <c r="AC24" s="176"/>
      <c r="AD24" s="176"/>
    </row>
    <row r="25" spans="2:35">
      <c r="C25" s="167" t="s">
        <v>65</v>
      </c>
      <c r="D25" s="167"/>
      <c r="F25" s="50"/>
      <c r="I25" s="60" t="s">
        <v>47</v>
      </c>
      <c r="J25" s="61" t="s">
        <v>48</v>
      </c>
      <c r="K25" s="61" t="s">
        <v>49</v>
      </c>
      <c r="L25" s="61" t="s">
        <v>50</v>
      </c>
      <c r="M25" s="61" t="s">
        <v>51</v>
      </c>
      <c r="N25" s="62" t="s">
        <v>52</v>
      </c>
      <c r="O25" s="62" t="s">
        <v>53</v>
      </c>
      <c r="P25" s="62" t="s">
        <v>54</v>
      </c>
      <c r="Q25" s="62" t="s">
        <v>55</v>
      </c>
      <c r="R25" s="63" t="s">
        <v>56</v>
      </c>
      <c r="S25" s="63" t="s">
        <v>57</v>
      </c>
      <c r="T25" s="63" t="s">
        <v>58</v>
      </c>
      <c r="U25" s="64" t="s">
        <v>59</v>
      </c>
      <c r="V25" s="65" t="s">
        <v>69</v>
      </c>
      <c r="W25" s="65" t="s">
        <v>70</v>
      </c>
      <c r="X25" s="65" t="s">
        <v>71</v>
      </c>
      <c r="Y25" s="65" t="s">
        <v>72</v>
      </c>
      <c r="AA25" s="15" t="s">
        <v>113</v>
      </c>
      <c r="AB25" s="16" t="s">
        <v>114</v>
      </c>
      <c r="AC25" s="16" t="s">
        <v>115</v>
      </c>
      <c r="AD25" s="36" t="s">
        <v>74</v>
      </c>
    </row>
    <row r="26" spans="2:35">
      <c r="B26" s="55" t="str">
        <f>D12</f>
        <v>Grava 2</v>
      </c>
      <c r="C26" s="174">
        <v>0.2</v>
      </c>
      <c r="D26" s="174"/>
      <c r="E26" s="50"/>
      <c r="F26" s="50"/>
      <c r="G26" s="50"/>
      <c r="H26" s="50"/>
      <c r="I26" s="31">
        <v>80</v>
      </c>
      <c r="J26" s="23">
        <v>1</v>
      </c>
      <c r="K26" s="23">
        <v>1</v>
      </c>
      <c r="L26" s="23">
        <v>1</v>
      </c>
      <c r="M26" s="23">
        <v>1</v>
      </c>
      <c r="N26" s="23">
        <v>1</v>
      </c>
      <c r="O26" s="23">
        <v>1</v>
      </c>
      <c r="P26" s="23">
        <v>1</v>
      </c>
      <c r="Q26" s="23">
        <v>1</v>
      </c>
      <c r="R26" s="23">
        <v>1</v>
      </c>
      <c r="S26" s="23">
        <v>1</v>
      </c>
      <c r="T26" s="23">
        <v>1</v>
      </c>
      <c r="U26" s="23">
        <v>1</v>
      </c>
      <c r="V26" s="25">
        <v>1</v>
      </c>
      <c r="W26" s="25">
        <v>1</v>
      </c>
      <c r="X26" s="25">
        <v>1</v>
      </c>
      <c r="Y26" s="26">
        <v>1</v>
      </c>
      <c r="AA26" s="16">
        <f t="shared" ref="AA26:AA35" si="1">AVERAGE(J26:M26)</f>
        <v>1</v>
      </c>
      <c r="AB26" s="16">
        <f t="shared" ref="AB26:AB35" si="2">AVERAGE(N26:Q26)</f>
        <v>1</v>
      </c>
      <c r="AC26" s="16">
        <f t="shared" ref="AC26:AC35" si="3">AVERAGE(R26:U26)</f>
        <v>1</v>
      </c>
      <c r="AD26" s="16">
        <f t="shared" ref="AD26:AD35" si="4">AVERAGE(V26:Y26)</f>
        <v>1</v>
      </c>
    </row>
    <row r="27" spans="2:35">
      <c r="B27" s="56" t="str">
        <f>D11</f>
        <v>Gravilla 1</v>
      </c>
      <c r="C27" s="174">
        <v>0.3</v>
      </c>
      <c r="D27" s="174"/>
      <c r="E27" s="50"/>
      <c r="F27" s="50"/>
      <c r="G27" s="50"/>
      <c r="H27" s="50"/>
      <c r="I27" s="31">
        <v>40</v>
      </c>
      <c r="J27" s="23">
        <v>0.7</v>
      </c>
      <c r="K27" s="23">
        <v>0.8</v>
      </c>
      <c r="L27" s="23">
        <v>0.9</v>
      </c>
      <c r="M27" s="23">
        <v>0.3</v>
      </c>
      <c r="N27" s="23">
        <v>1</v>
      </c>
      <c r="O27" s="23">
        <v>1</v>
      </c>
      <c r="P27" s="23">
        <v>1</v>
      </c>
      <c r="Q27" s="23">
        <v>1</v>
      </c>
      <c r="R27" s="24">
        <v>1</v>
      </c>
      <c r="S27" s="24">
        <v>1</v>
      </c>
      <c r="T27" s="24">
        <v>1</v>
      </c>
      <c r="U27" s="24">
        <v>1</v>
      </c>
      <c r="V27" s="25">
        <v>1</v>
      </c>
      <c r="W27" s="25">
        <v>1</v>
      </c>
      <c r="X27" s="25">
        <v>1</v>
      </c>
      <c r="Y27" s="26">
        <v>1</v>
      </c>
      <c r="AA27" s="16">
        <f t="shared" si="1"/>
        <v>0.67499999999999993</v>
      </c>
      <c r="AB27" s="16">
        <f t="shared" si="2"/>
        <v>1</v>
      </c>
      <c r="AC27" s="16">
        <f t="shared" si="3"/>
        <v>1</v>
      </c>
      <c r="AD27" s="16">
        <f t="shared" si="4"/>
        <v>1</v>
      </c>
    </row>
    <row r="28" spans="2:35">
      <c r="B28" s="57" t="str">
        <f>D10</f>
        <v>Arena 1</v>
      </c>
      <c r="C28" s="174">
        <v>0.5</v>
      </c>
      <c r="D28" s="174"/>
      <c r="I28" s="31">
        <v>20</v>
      </c>
      <c r="J28" s="23">
        <v>0.45</v>
      </c>
      <c r="K28" s="23">
        <v>0.65</v>
      </c>
      <c r="L28" s="23">
        <v>0.8</v>
      </c>
      <c r="M28" s="23">
        <v>0.3</v>
      </c>
      <c r="N28" s="23">
        <v>0.6</v>
      </c>
      <c r="O28" s="23">
        <v>0.8</v>
      </c>
      <c r="P28" s="23">
        <v>0.9</v>
      </c>
      <c r="Q28" s="23">
        <v>0.3</v>
      </c>
      <c r="R28" s="24">
        <v>1</v>
      </c>
      <c r="S28" s="24">
        <v>1</v>
      </c>
      <c r="T28" s="24">
        <v>1</v>
      </c>
      <c r="U28" s="24">
        <v>1</v>
      </c>
      <c r="V28" s="25">
        <v>1</v>
      </c>
      <c r="W28" s="25">
        <v>1</v>
      </c>
      <c r="X28" s="25">
        <v>1</v>
      </c>
      <c r="Y28" s="26">
        <v>1</v>
      </c>
      <c r="AA28" s="16">
        <f t="shared" si="1"/>
        <v>0.55000000000000004</v>
      </c>
      <c r="AB28" s="16">
        <f t="shared" si="2"/>
        <v>0.64999999999999991</v>
      </c>
      <c r="AC28" s="16">
        <f t="shared" si="3"/>
        <v>1</v>
      </c>
      <c r="AD28" s="16">
        <f t="shared" si="4"/>
        <v>1</v>
      </c>
    </row>
    <row r="29" spans="2:35">
      <c r="D29" s="59"/>
      <c r="E29" s="59"/>
      <c r="F29" s="59"/>
      <c r="I29" s="31">
        <v>10</v>
      </c>
      <c r="J29" s="23">
        <v>0.3</v>
      </c>
      <c r="K29" s="23">
        <v>0.5</v>
      </c>
      <c r="L29" s="23">
        <v>0.7</v>
      </c>
      <c r="M29" s="23">
        <v>0.3</v>
      </c>
      <c r="N29" s="23">
        <v>0.4</v>
      </c>
      <c r="O29" s="23">
        <v>0.61</v>
      </c>
      <c r="P29" s="23">
        <v>0.8</v>
      </c>
      <c r="Q29" s="23">
        <v>0.3</v>
      </c>
      <c r="R29" s="24">
        <v>0.62</v>
      </c>
      <c r="S29" s="24">
        <v>0.77</v>
      </c>
      <c r="T29" s="24">
        <v>0.88</v>
      </c>
      <c r="U29" s="24">
        <v>0.3</v>
      </c>
      <c r="V29" s="25">
        <v>1</v>
      </c>
      <c r="W29" s="25">
        <v>1</v>
      </c>
      <c r="X29" s="25">
        <v>1</v>
      </c>
      <c r="Y29" s="26">
        <v>1</v>
      </c>
      <c r="AA29" s="16">
        <f t="shared" si="1"/>
        <v>0.45</v>
      </c>
      <c r="AB29" s="16">
        <f t="shared" si="2"/>
        <v>0.52749999999999997</v>
      </c>
      <c r="AC29" s="16">
        <f t="shared" si="3"/>
        <v>0.64249999999999996</v>
      </c>
      <c r="AD29" s="16">
        <f t="shared" si="4"/>
        <v>1</v>
      </c>
    </row>
    <row r="30" spans="2:35">
      <c r="C30" s="175" t="s">
        <v>221</v>
      </c>
      <c r="D30" s="175"/>
      <c r="E30" s="100" t="s">
        <v>116</v>
      </c>
      <c r="F30" s="59"/>
      <c r="I30" s="31">
        <v>5</v>
      </c>
      <c r="J30" s="23">
        <v>0.2</v>
      </c>
      <c r="K30" s="23">
        <v>0.4</v>
      </c>
      <c r="L30" s="23">
        <v>0.6</v>
      </c>
      <c r="M30" s="23">
        <v>0.3</v>
      </c>
      <c r="N30" s="23">
        <v>0.24</v>
      </c>
      <c r="O30" s="23">
        <v>0.48</v>
      </c>
      <c r="P30" s="23">
        <v>0.66</v>
      </c>
      <c r="Q30" s="23">
        <v>0.3</v>
      </c>
      <c r="R30" s="24">
        <v>0.37</v>
      </c>
      <c r="S30" s="24">
        <v>0.57999999999999996</v>
      </c>
      <c r="T30" s="24">
        <v>0.75</v>
      </c>
      <c r="U30" s="24">
        <v>0.3</v>
      </c>
      <c r="V30" s="25">
        <v>0.61</v>
      </c>
      <c r="W30" s="25">
        <v>0.74</v>
      </c>
      <c r="X30" s="25">
        <v>0.87</v>
      </c>
      <c r="Y30" s="26">
        <v>0.3</v>
      </c>
      <c r="AA30" s="16">
        <f t="shared" si="1"/>
        <v>0.37500000000000006</v>
      </c>
      <c r="AB30" s="16">
        <f t="shared" si="2"/>
        <v>0.42</v>
      </c>
      <c r="AC30" s="16">
        <f t="shared" si="3"/>
        <v>0.5</v>
      </c>
      <c r="AD30" s="16">
        <f t="shared" si="4"/>
        <v>0.63</v>
      </c>
    </row>
    <row r="31" spans="2:35">
      <c r="B31" s="66" t="str">
        <f>D12</f>
        <v>Grava 2</v>
      </c>
      <c r="C31" s="165">
        <v>0.2</v>
      </c>
      <c r="D31" s="165"/>
      <c r="E31" s="103">
        <v>0</v>
      </c>
      <c r="F31" s="59"/>
      <c r="I31" s="31">
        <v>2.5</v>
      </c>
      <c r="J31" s="23">
        <v>0.12</v>
      </c>
      <c r="K31" s="23">
        <v>0.3</v>
      </c>
      <c r="L31" s="23">
        <v>0.5</v>
      </c>
      <c r="M31" s="23">
        <v>0</v>
      </c>
      <c r="N31" s="23">
        <v>0.15</v>
      </c>
      <c r="O31" s="23">
        <v>0.37</v>
      </c>
      <c r="P31" s="23">
        <v>0.55000000000000004</v>
      </c>
      <c r="Q31" s="23">
        <v>0</v>
      </c>
      <c r="R31" s="24">
        <v>0.22</v>
      </c>
      <c r="S31" s="24">
        <v>0.43</v>
      </c>
      <c r="T31" s="24">
        <v>0.63</v>
      </c>
      <c r="U31" s="24">
        <v>0.3</v>
      </c>
      <c r="V31" s="25">
        <v>0.37</v>
      </c>
      <c r="W31" s="25">
        <v>0.56000000000000005</v>
      </c>
      <c r="X31" s="25">
        <v>0.73</v>
      </c>
      <c r="Y31" s="26">
        <v>0.3</v>
      </c>
      <c r="AA31" s="16">
        <f t="shared" si="1"/>
        <v>0.22999999999999998</v>
      </c>
      <c r="AB31" s="16">
        <f t="shared" si="2"/>
        <v>0.26750000000000002</v>
      </c>
      <c r="AC31" s="16">
        <f t="shared" si="3"/>
        <v>0.39500000000000002</v>
      </c>
      <c r="AD31" s="16">
        <f t="shared" si="4"/>
        <v>0.49000000000000005</v>
      </c>
    </row>
    <row r="32" spans="2:35">
      <c r="B32" s="67" t="str">
        <f>D11</f>
        <v>Gravilla 1</v>
      </c>
      <c r="C32" s="166">
        <v>0.3</v>
      </c>
      <c r="D32" s="166"/>
      <c r="E32" s="104">
        <v>0.3749758813878365</v>
      </c>
      <c r="I32" s="32">
        <v>1.25</v>
      </c>
      <c r="J32" s="23">
        <v>7.0000000000000007E-2</v>
      </c>
      <c r="K32" s="23">
        <v>0.25</v>
      </c>
      <c r="L32" s="23">
        <v>0.4</v>
      </c>
      <c r="M32" s="23">
        <v>0</v>
      </c>
      <c r="N32" s="23">
        <v>0.1</v>
      </c>
      <c r="O32" s="23">
        <v>0.28000000000000003</v>
      </c>
      <c r="P32" s="23">
        <v>0.42</v>
      </c>
      <c r="Q32" s="23">
        <v>0</v>
      </c>
      <c r="R32" s="24">
        <v>0.13</v>
      </c>
      <c r="S32" s="24">
        <v>0.33</v>
      </c>
      <c r="T32" s="24">
        <v>0.52</v>
      </c>
      <c r="U32" s="23">
        <v>0</v>
      </c>
      <c r="V32" s="25">
        <v>0.22</v>
      </c>
      <c r="W32" s="25">
        <v>0.41</v>
      </c>
      <c r="X32" s="25">
        <v>0.59</v>
      </c>
      <c r="Y32" s="26">
        <v>0.3</v>
      </c>
      <c r="AA32" s="16">
        <f t="shared" si="1"/>
        <v>0.18</v>
      </c>
      <c r="AB32" s="16">
        <f t="shared" si="2"/>
        <v>0.2</v>
      </c>
      <c r="AC32" s="16">
        <f t="shared" si="3"/>
        <v>0.245</v>
      </c>
      <c r="AD32" s="16">
        <f t="shared" si="4"/>
        <v>0.38</v>
      </c>
    </row>
    <row r="33" spans="2:30">
      <c r="B33" s="68" t="str">
        <f>D10</f>
        <v>Arena 1</v>
      </c>
      <c r="C33" s="166">
        <v>0.5</v>
      </c>
      <c r="D33" s="166"/>
      <c r="E33" s="104">
        <v>0.6250241186131219</v>
      </c>
      <c r="I33" s="32">
        <v>0.63</v>
      </c>
      <c r="J33" s="23">
        <v>0.04</v>
      </c>
      <c r="K33" s="23">
        <v>0.17</v>
      </c>
      <c r="L33" s="23">
        <v>0.28000000000000003</v>
      </c>
      <c r="M33" s="23">
        <v>0</v>
      </c>
      <c r="N33" s="23">
        <v>0.06</v>
      </c>
      <c r="O33" s="23">
        <v>0.19</v>
      </c>
      <c r="P33" s="23">
        <v>0.3</v>
      </c>
      <c r="Q33" s="23">
        <v>0</v>
      </c>
      <c r="R33" s="24">
        <v>0.08</v>
      </c>
      <c r="S33" s="24">
        <v>0.23</v>
      </c>
      <c r="T33" s="24">
        <v>0.38</v>
      </c>
      <c r="U33" s="23">
        <v>0</v>
      </c>
      <c r="V33" s="25">
        <v>0.13</v>
      </c>
      <c r="W33" s="25">
        <v>0.27</v>
      </c>
      <c r="X33" s="25">
        <v>0.43</v>
      </c>
      <c r="Y33" s="26">
        <v>0</v>
      </c>
      <c r="AA33" s="16">
        <f t="shared" si="1"/>
        <v>0.12250000000000001</v>
      </c>
      <c r="AB33" s="16">
        <f t="shared" si="2"/>
        <v>0.13750000000000001</v>
      </c>
      <c r="AC33" s="16">
        <f t="shared" si="3"/>
        <v>0.17249999999999999</v>
      </c>
      <c r="AD33" s="16">
        <f t="shared" si="4"/>
        <v>0.20750000000000002</v>
      </c>
    </row>
    <row r="34" spans="2:30">
      <c r="B34" s="14" t="s">
        <v>68</v>
      </c>
      <c r="C34" s="173">
        <v>1</v>
      </c>
      <c r="D34" s="173"/>
      <c r="E34" s="81">
        <v>1</v>
      </c>
      <c r="I34" s="32">
        <v>0.315</v>
      </c>
      <c r="J34" s="23">
        <v>0.03</v>
      </c>
      <c r="K34" s="23">
        <v>0.09</v>
      </c>
      <c r="L34" s="23">
        <v>0.17</v>
      </c>
      <c r="M34" s="23">
        <v>0</v>
      </c>
      <c r="N34" s="23">
        <v>0.03</v>
      </c>
      <c r="O34" s="23">
        <v>0.11</v>
      </c>
      <c r="P34" s="23">
        <v>0.19</v>
      </c>
      <c r="Q34" s="23">
        <v>0</v>
      </c>
      <c r="R34" s="24">
        <v>0.04</v>
      </c>
      <c r="S34" s="24">
        <v>0.12</v>
      </c>
      <c r="T34" s="24">
        <v>0.23</v>
      </c>
      <c r="U34" s="23">
        <v>0</v>
      </c>
      <c r="V34" s="25">
        <v>0.05</v>
      </c>
      <c r="W34" s="25">
        <v>0.13</v>
      </c>
      <c r="X34" s="25">
        <v>0.26</v>
      </c>
      <c r="Y34" s="26">
        <v>0</v>
      </c>
      <c r="AA34" s="16">
        <f t="shared" si="1"/>
        <v>7.2500000000000009E-2</v>
      </c>
      <c r="AB34" s="16">
        <f t="shared" si="2"/>
        <v>8.2500000000000004E-2</v>
      </c>
      <c r="AC34" s="16">
        <f t="shared" si="3"/>
        <v>9.7500000000000003E-2</v>
      </c>
      <c r="AD34" s="16">
        <f t="shared" si="4"/>
        <v>0.11</v>
      </c>
    </row>
    <row r="35" spans="2:30">
      <c r="B35" s="14" t="s">
        <v>75</v>
      </c>
      <c r="C35" s="174">
        <f>SUM(C31:D33)</f>
        <v>1</v>
      </c>
      <c r="D35" s="174"/>
      <c r="E35" s="81">
        <f>SUM(E31:E33)</f>
        <v>1.0000000000009583</v>
      </c>
      <c r="I35" s="33">
        <v>0.16</v>
      </c>
      <c r="J35" s="34">
        <v>0.02</v>
      </c>
      <c r="K35" s="34">
        <v>0.04</v>
      </c>
      <c r="L35" s="34">
        <v>7.0000000000000007E-2</v>
      </c>
      <c r="M35" s="34">
        <v>0</v>
      </c>
      <c r="N35" s="34">
        <v>0.02</v>
      </c>
      <c r="O35" s="34">
        <v>0.05</v>
      </c>
      <c r="P35" s="34">
        <v>0.08</v>
      </c>
      <c r="Q35" s="34">
        <v>0</v>
      </c>
      <c r="R35" s="35">
        <v>0.03</v>
      </c>
      <c r="S35" s="35">
        <v>0.06</v>
      </c>
      <c r="T35" s="35">
        <v>0.09</v>
      </c>
      <c r="U35" s="34">
        <v>0</v>
      </c>
      <c r="V35" s="27">
        <v>0.03</v>
      </c>
      <c r="W35" s="27">
        <v>7.0000000000000007E-2</v>
      </c>
      <c r="X35" s="27">
        <v>0.1</v>
      </c>
      <c r="Y35" s="28">
        <v>0</v>
      </c>
      <c r="AA35" s="16">
        <f t="shared" si="1"/>
        <v>3.2500000000000001E-2</v>
      </c>
      <c r="AB35" s="16">
        <f t="shared" si="2"/>
        <v>3.7500000000000006E-2</v>
      </c>
      <c r="AC35" s="16">
        <f t="shared" si="3"/>
        <v>4.4999999999999998E-2</v>
      </c>
      <c r="AD35" s="16">
        <f t="shared" si="4"/>
        <v>0.05</v>
      </c>
    </row>
    <row r="36" spans="2:30">
      <c r="C36" s="90"/>
      <c r="D36" s="90"/>
      <c r="I36" s="69"/>
      <c r="J36" s="23"/>
      <c r="K36" s="23"/>
      <c r="L36" s="23"/>
      <c r="M36" s="23"/>
      <c r="N36" s="23"/>
      <c r="O36" s="23"/>
      <c r="P36" s="23"/>
      <c r="Q36" s="23"/>
      <c r="R36" s="24"/>
      <c r="S36" s="24"/>
      <c r="T36" s="24"/>
      <c r="U36" s="23"/>
      <c r="V36" s="25"/>
      <c r="W36" s="25"/>
      <c r="X36" s="25"/>
      <c r="Y36" s="25"/>
    </row>
    <row r="37" spans="2:30">
      <c r="B37" s="161" t="s">
        <v>76</v>
      </c>
      <c r="C37" s="143"/>
      <c r="D37" s="143"/>
      <c r="F37" s="14" t="s">
        <v>134</v>
      </c>
      <c r="G37" s="14" t="s">
        <v>79</v>
      </c>
      <c r="I37" s="69"/>
      <c r="J37" s="23"/>
      <c r="K37" s="23"/>
      <c r="L37" s="23"/>
      <c r="M37" s="23"/>
      <c r="N37" s="23"/>
      <c r="O37" s="23"/>
      <c r="P37" s="23"/>
      <c r="Q37" s="23"/>
      <c r="R37" s="24"/>
      <c r="S37" s="24"/>
      <c r="T37" s="24"/>
      <c r="U37" s="23"/>
      <c r="V37" s="25"/>
      <c r="W37" s="25"/>
      <c r="X37" s="25"/>
      <c r="Y37" s="25"/>
    </row>
    <row r="38" spans="2:30" ht="17" customHeight="1">
      <c r="B38" s="18" t="s">
        <v>77</v>
      </c>
      <c r="C38" s="14">
        <f>IF(VALUE(SUBSTITUTE(SUBSTITUTE(D3,"G",""),"H",""))&lt;=15,
   IF(D7="Regulares",8, IF(D7="Medias",6, IF(D7="Buenas",4, IF(D7="Muy buenas",3,"")))),
   IF(D7="Medias",7, IF(D7="Buenas",5, IF(D7="Muy buenas",4,"")))
)</f>
        <v>4</v>
      </c>
      <c r="D38" s="14" t="s">
        <v>78</v>
      </c>
      <c r="F38" s="81">
        <v>0.01</v>
      </c>
      <c r="G38" s="14">
        <v>2.33</v>
      </c>
      <c r="I38" s="179" t="s">
        <v>176</v>
      </c>
      <c r="J38" s="159"/>
      <c r="K38" s="159"/>
      <c r="L38" s="159"/>
      <c r="M38" s="160"/>
      <c r="S38" s="161" t="s">
        <v>173</v>
      </c>
      <c r="T38" s="143"/>
      <c r="U38" s="143"/>
      <c r="V38" s="143"/>
    </row>
    <row r="39" spans="2:30" ht="36" customHeight="1">
      <c r="B39" s="14" t="s">
        <v>133</v>
      </c>
      <c r="C39" s="14">
        <f>VLOOKUP(D4,$F$38:$G$42,2,FALSE)</f>
        <v>2.33</v>
      </c>
      <c r="D39" s="14" t="s">
        <v>79</v>
      </c>
      <c r="F39" s="81">
        <v>0.05</v>
      </c>
      <c r="G39" s="14">
        <v>1.645</v>
      </c>
      <c r="I39" s="15" t="s">
        <v>60</v>
      </c>
      <c r="J39" s="29" t="s">
        <v>117</v>
      </c>
      <c r="K39" s="15" t="s">
        <v>61</v>
      </c>
      <c r="L39" s="29" t="s">
        <v>62</v>
      </c>
      <c r="M39" s="29" t="s">
        <v>63</v>
      </c>
      <c r="N39" s="29" t="s">
        <v>118</v>
      </c>
      <c r="O39" s="29" t="s">
        <v>119</v>
      </c>
      <c r="P39" s="29" t="s">
        <v>120</v>
      </c>
      <c r="Q39" s="29" t="s">
        <v>121</v>
      </c>
      <c r="R39" s="78"/>
      <c r="S39" s="155" t="s">
        <v>117</v>
      </c>
      <c r="T39" s="155"/>
      <c r="U39" s="155" t="s">
        <v>66</v>
      </c>
      <c r="V39" s="155"/>
    </row>
    <row r="40" spans="2:30">
      <c r="B40" s="14" t="s">
        <v>80</v>
      </c>
      <c r="C40" s="14">
        <f>G22</f>
        <v>15</v>
      </c>
      <c r="D40" s="14" t="s">
        <v>81</v>
      </c>
      <c r="F40" s="81">
        <v>0.1</v>
      </c>
      <c r="G40" s="14">
        <v>1.282</v>
      </c>
      <c r="I40" s="15">
        <f t="shared" ref="I40:I49" si="5">I26</f>
        <v>80</v>
      </c>
      <c r="J40" s="30">
        <f t="shared" ref="J40:J49" si="6">IF($D$5&lt;=10, AD26,
 IF($D$5&lt;=20, AC26,
  IF($D$5&lt;=40, AB26,
   IF($D$5&lt;=80, AA26, ""))))</f>
        <v>1</v>
      </c>
      <c r="K40" s="15">
        <f t="shared" ref="K40:K54" si="7">I5</f>
        <v>75</v>
      </c>
      <c r="L40" s="30">
        <f t="shared" ref="L40:L54" si="8">U5</f>
        <v>1</v>
      </c>
      <c r="M40" s="30" cm="1">
        <f t="array" ref="M40">IF(I40="","",
IF(I40&gt;=MAX($K$40:$K$55),INDEX($L$40:$L$55,1),
IF(I40&lt;=MIN($K$40:$K$55),INDEX($L$40:$L$55,ROWS($K$40:$K$55)),
INDEX($L$40:$L$55,MATCH(I40,$K$40:$K$55,-1))+
(INDEX($L$40:$L$55,MATCH(I40,$K$40:$K$55,-1)+1)-INDEX($L$40:$L$55,MATCH(I40,$K$40:$K$55,-1)))*
(LOG10(I40)-LOG10(INDEX($K$40:$K$55,MATCH(I40,$K$40:$K$55,-1))))/
(LOG10(INDEX($K$40:$K$55,MATCH(I40,$K$40:$K$55,-1)+1))-LOG10(INDEX($K$40:$K$55,MATCH(I40,$K$40:$K$55,-1))))
)
)
)</f>
        <v>1</v>
      </c>
      <c r="N40" s="80">
        <f>1-L40</f>
        <v>0</v>
      </c>
      <c r="O40" s="49">
        <f>MAX(0,AG4-$D$13)</f>
        <v>0</v>
      </c>
      <c r="P40" s="49">
        <f>MIN(O40,MAX(0,AH4+$D$13))</f>
        <v>0</v>
      </c>
      <c r="Q40" s="108">
        <f>IF(AND(ROUND(N40,5)&gt;=ROUND(P40,5), ROUND(N40,5)&lt;=ROUND(O40,5)),1,0)</f>
        <v>1</v>
      </c>
      <c r="R40" s="25"/>
      <c r="S40" s="177">
        <f t="shared" ref="S40:S49" si="9">J40</f>
        <v>1</v>
      </c>
      <c r="T40" s="143"/>
      <c r="U40" s="178">
        <f t="shared" ref="U40:U49" si="10">M40</f>
        <v>1</v>
      </c>
      <c r="V40" s="155"/>
    </row>
    <row r="41" spans="2:30">
      <c r="B41" s="14" t="s">
        <v>82</v>
      </c>
      <c r="C41" s="14">
        <f>G23</f>
        <v>24.32</v>
      </c>
      <c r="D41" s="14" t="s">
        <v>83</v>
      </c>
      <c r="F41" s="81">
        <v>0.15</v>
      </c>
      <c r="G41" s="14">
        <v>1.036</v>
      </c>
      <c r="I41" s="15">
        <f t="shared" si="5"/>
        <v>40</v>
      </c>
      <c r="J41" s="30">
        <f t="shared" si="6"/>
        <v>1</v>
      </c>
      <c r="K41" s="15">
        <f t="shared" si="7"/>
        <v>63</v>
      </c>
      <c r="L41" s="30">
        <f t="shared" si="8"/>
        <v>1</v>
      </c>
      <c r="M41" s="30" cm="1">
        <f t="array" ref="M41">IF(I41="","",
IF(I41&gt;=MAX($K$40:$K$55),INDEX($L$40:$L$55,1),
IF(I41&lt;=MIN($K$40:$K$55),INDEX($L$40:$L$55,ROWS($K$40:$K$55)),
INDEX($L$40:$L$55,MATCH(I41,$K$40:$K$55,-1))+
(INDEX($L$40:$L$55,MATCH(I41,$K$40:$K$55,-1)+1)-INDEX($L$40:$L$55,MATCH(I41,$K$40:$K$55,-1)))*
(LOG10(I41)-LOG10(INDEX($K$40:$K$55,MATCH(I41,$K$40:$K$55,-1))))/
(LOG10(INDEX($K$40:$K$55,MATCH(I41,$K$40:$K$55,-1)+1))-LOG10(INDEX($K$40:$K$55,MATCH(I41,$K$40:$K$55,-1))))
)
)
)</f>
        <v>1</v>
      </c>
      <c r="N41" s="80">
        <f>L40-L41</f>
        <v>0</v>
      </c>
      <c r="O41" s="49">
        <f t="shared" ref="O41:O54" si="11">MAX(0,AG5-$D$13)</f>
        <v>0</v>
      </c>
      <c r="P41" s="49">
        <f t="shared" ref="P41:P54" si="12">MIN(O41,MAX(0,AH5+$D$13))</f>
        <v>0</v>
      </c>
      <c r="Q41" s="108">
        <f t="shared" ref="Q41:Q54" si="13">IF(AND(ROUND(N41,5)&gt;=ROUND(P41,5), ROUND(N41,5)&lt;=ROUND(O41,5)),1,0)</f>
        <v>1</v>
      </c>
      <c r="R41" s="25"/>
      <c r="S41" s="177">
        <f t="shared" si="9"/>
        <v>1</v>
      </c>
      <c r="T41" s="143"/>
      <c r="U41" s="178">
        <f t="shared" si="10"/>
        <v>1</v>
      </c>
      <c r="V41" s="155"/>
    </row>
    <row r="42" spans="2:30">
      <c r="C42" s="14">
        <f>C41*145.038</f>
        <v>3527.3241600000001</v>
      </c>
      <c r="D42" s="14" t="s">
        <v>84</v>
      </c>
      <c r="F42" s="81">
        <v>0.2</v>
      </c>
      <c r="G42" s="14">
        <v>0.84199999999999997</v>
      </c>
      <c r="I42" s="15">
        <f t="shared" si="5"/>
        <v>20</v>
      </c>
      <c r="J42" s="30">
        <f t="shared" si="6"/>
        <v>1</v>
      </c>
      <c r="K42" s="15">
        <f t="shared" si="7"/>
        <v>50</v>
      </c>
      <c r="L42" s="30">
        <f t="shared" si="8"/>
        <v>1</v>
      </c>
      <c r="M42" s="30" cm="1">
        <f t="array" ref="M42">IF(I42="","",
IF(I42&gt;=MAX($K$40:$K$55),INDEX($L$40:$L$55,1),
IF(I42&lt;=MIN($K$40:$K$55),INDEX($L$40:$L$55,ROWS($K$40:$K$55)),
INDEX($L$40:$L$55,MATCH(I42,$K$40:$K$55,-1))+
(INDEX($L$40:$L$55,MATCH(I42,$K$40:$K$55,-1)+1)-INDEX($L$40:$L$55,MATCH(I42,$K$40:$K$55,-1)))*
(LOG10(I42)-LOG10(INDEX($K$40:$K$55,MATCH(I42,$K$40:$K$55,-1))))/
(LOG10(INDEX($K$40:$K$55,MATCH(I42,$K$40:$K$55,-1)+1))-LOG10(INDEX($K$40:$K$55,MATCH(I42,$K$40:$K$55,-1))))
)
)
)</f>
        <v>0.84161536203356024</v>
      </c>
      <c r="N42" s="80">
        <f t="shared" ref="N42:N54" si="14">L41-L42</f>
        <v>0</v>
      </c>
      <c r="O42" s="49">
        <f t="shared" si="11"/>
        <v>0</v>
      </c>
      <c r="P42" s="49">
        <f t="shared" si="12"/>
        <v>0</v>
      </c>
      <c r="Q42" s="108">
        <f t="shared" si="13"/>
        <v>1</v>
      </c>
      <c r="R42" s="25"/>
      <c r="S42" s="177">
        <f t="shared" si="9"/>
        <v>1</v>
      </c>
      <c r="T42" s="143"/>
      <c r="U42" s="178">
        <f t="shared" si="10"/>
        <v>0.84161536203356024</v>
      </c>
      <c r="V42" s="155"/>
    </row>
    <row r="43" spans="2:30">
      <c r="I43" s="15">
        <f t="shared" si="5"/>
        <v>10</v>
      </c>
      <c r="J43" s="30">
        <f t="shared" si="6"/>
        <v>1</v>
      </c>
      <c r="K43" s="15">
        <f t="shared" si="7"/>
        <v>37.5</v>
      </c>
      <c r="L43" s="30">
        <f t="shared" si="8"/>
        <v>1</v>
      </c>
      <c r="M43" s="30" cm="1">
        <f t="array" ref="M43">IF(I43="","",
IF(I43&gt;=MAX($K$40:$K$55),INDEX($L$40:$L$55,1),
IF(I43&lt;=MIN($K$40:$K$55),INDEX($L$40:$L$55,ROWS($K$40:$K$55)),
INDEX($L$40:$L$55,MATCH(I43,$K$40:$K$55,-1))+
(INDEX($L$40:$L$55,MATCH(I43,$K$40:$K$55,-1)+1)-INDEX($L$40:$L$55,MATCH(I43,$K$40:$K$55,-1)))*
(LOG10(I43)-LOG10(INDEX($K$40:$K$55,MATCH(I43,$K$40:$K$55,-1))))/
(LOG10(INDEX($K$40:$K$55,MATCH(I43,$K$40:$K$55,-1)+1))-LOG10(INDEX($K$40:$K$55,MATCH(I43,$K$40:$K$55,-1))))
)
)
)</f>
        <v>0.65481180475667256</v>
      </c>
      <c r="N43" s="80">
        <f t="shared" si="14"/>
        <v>0</v>
      </c>
      <c r="O43" s="49">
        <f t="shared" si="11"/>
        <v>2.5000000000000001E-2</v>
      </c>
      <c r="P43" s="49">
        <f t="shared" si="12"/>
        <v>0</v>
      </c>
      <c r="Q43" s="108">
        <f t="shared" si="13"/>
        <v>1</v>
      </c>
      <c r="R43" s="25"/>
      <c r="S43" s="177">
        <f t="shared" si="9"/>
        <v>1</v>
      </c>
      <c r="T43" s="143"/>
      <c r="U43" s="178">
        <f t="shared" si="10"/>
        <v>0.65481180475667256</v>
      </c>
      <c r="V43" s="155"/>
    </row>
    <row r="44" spans="2:30" ht="34">
      <c r="B44" s="186" t="s">
        <v>85</v>
      </c>
      <c r="C44" s="187"/>
      <c r="D44" s="188"/>
      <c r="F44" s="18" t="s">
        <v>138</v>
      </c>
      <c r="G44" s="18" t="s">
        <v>139</v>
      </c>
      <c r="I44" s="15">
        <f t="shared" si="5"/>
        <v>5</v>
      </c>
      <c r="J44" s="30">
        <f t="shared" si="6"/>
        <v>0.63</v>
      </c>
      <c r="K44" s="15">
        <f t="shared" si="7"/>
        <v>25</v>
      </c>
      <c r="L44" s="30">
        <f t="shared" si="8"/>
        <v>0.94</v>
      </c>
      <c r="M44" s="30" cm="1">
        <f t="array" ref="M44">IF(I44="","",
IF(I44&gt;=MAX($K$40:$K$55),INDEX($L$40:$L$55,1),
IF(I44&lt;=MIN($K$40:$K$55),INDEX($L$40:$L$55,ROWS($K$40:$K$55)),
INDEX($L$40:$L$55,MATCH(I44,$K$40:$K$55,-1))+
(INDEX($L$40:$L$55,MATCH(I44,$K$40:$K$55,-1)+1)-INDEX($L$40:$L$55,MATCH(I44,$K$40:$K$55,-1)))*
(LOG10(I44)-LOG10(INDEX($K$40:$K$55,MATCH(I44,$K$40:$K$55,-1))))/
(LOG10(INDEX($K$40:$K$55,MATCH(I44,$K$40:$K$55,-1)+1))-LOG10(INDEX($K$40:$K$55,MATCH(I44,$K$40:$K$55,-1))))
)
)
)</f>
        <v>0.390979327830347</v>
      </c>
      <c r="N44" s="80">
        <f t="shared" si="14"/>
        <v>6.0000000000000053E-2</v>
      </c>
      <c r="O44" s="49">
        <f t="shared" si="11"/>
        <v>0.15</v>
      </c>
      <c r="P44" s="49">
        <f t="shared" si="12"/>
        <v>0</v>
      </c>
      <c r="Q44" s="108">
        <f t="shared" si="13"/>
        <v>1</v>
      </c>
      <c r="R44" s="25"/>
      <c r="S44" s="177">
        <f t="shared" si="9"/>
        <v>0.63</v>
      </c>
      <c r="T44" s="143"/>
      <c r="U44" s="178">
        <f t="shared" si="10"/>
        <v>0.390979327830347</v>
      </c>
      <c r="V44" s="155"/>
    </row>
    <row r="45" spans="2:30">
      <c r="B45" s="189"/>
      <c r="C45" s="190"/>
      <c r="D45" s="191"/>
      <c r="F45" s="98">
        <v>2000</v>
      </c>
      <c r="G45" s="14">
        <v>0.82</v>
      </c>
      <c r="I45" s="15">
        <f t="shared" si="5"/>
        <v>2.5</v>
      </c>
      <c r="J45" s="30">
        <f t="shared" si="6"/>
        <v>0.49000000000000005</v>
      </c>
      <c r="K45" s="15">
        <f t="shared" si="7"/>
        <v>19</v>
      </c>
      <c r="L45" s="30">
        <f t="shared" si="8"/>
        <v>0.81899999999999995</v>
      </c>
      <c r="M45" s="30" cm="1">
        <f t="array" ref="M45">IF(I45="","",
IF(I45&gt;=MAX($K$40:$K$55),INDEX($L$40:$L$55,1),
IF(I45&lt;=MIN($K$40:$K$55),INDEX($L$40:$L$55,ROWS($K$40:$K$55)),
INDEX($L$40:$L$55,MATCH(I45,$K$40:$K$55,-1))+
(INDEX($L$40:$L$55,MATCH(I45,$K$40:$K$55,-1)+1)-INDEX($L$40:$L$55,MATCH(I45,$K$40:$K$55,-1)))*
(LOG10(I45)-LOG10(INDEX($K$40:$K$55,MATCH(I45,$K$40:$K$55,-1))))/
(LOG10(INDEX($K$40:$K$55,MATCH(I45,$K$40:$K$55,-1)+1))-LOG10(INDEX($K$40:$K$55,MATCH(I45,$K$40:$K$55,-1))))
)
)
)</f>
        <v>0.31961373660749964</v>
      </c>
      <c r="N45" s="80">
        <f t="shared" si="14"/>
        <v>0.121</v>
      </c>
      <c r="O45" s="49">
        <f t="shared" si="11"/>
        <v>0.2</v>
      </c>
      <c r="P45" s="49">
        <f t="shared" si="12"/>
        <v>0</v>
      </c>
      <c r="Q45" s="108">
        <f t="shared" si="13"/>
        <v>1</v>
      </c>
      <c r="R45" s="25"/>
      <c r="S45" s="177">
        <f t="shared" si="9"/>
        <v>0.49000000000000005</v>
      </c>
      <c r="T45" s="143"/>
      <c r="U45" s="178">
        <f t="shared" si="10"/>
        <v>0.31961373660749964</v>
      </c>
      <c r="V45" s="155"/>
    </row>
    <row r="46" spans="2:30">
      <c r="F46" s="98">
        <v>3000</v>
      </c>
      <c r="G46" s="14">
        <v>0.68</v>
      </c>
      <c r="I46" s="15">
        <f t="shared" si="5"/>
        <v>1.25</v>
      </c>
      <c r="J46" s="30">
        <f t="shared" si="6"/>
        <v>0.38</v>
      </c>
      <c r="K46" s="15">
        <f t="shared" si="7"/>
        <v>12.5</v>
      </c>
      <c r="L46" s="30">
        <f t="shared" si="8"/>
        <v>0.74099999999999988</v>
      </c>
      <c r="M46" s="30" cm="1">
        <f t="array" ref="M46">IF(I46="","",
IF(I46&gt;=MAX($K$40:$K$55),INDEX($L$40:$L$55,1),
IF(I46&lt;=MIN($K$40:$K$55),INDEX($L$40:$L$55,ROWS($K$40:$K$55)),
INDEX($L$40:$L$55,MATCH(I46,$K$40:$K$55,-1))+
(INDEX($L$40:$L$55,MATCH(I46,$K$40:$K$55,-1)+1)-INDEX($L$40:$L$55,MATCH(I46,$K$40:$K$55,-1)))*
(LOG10(I46)-LOG10(INDEX($K$40:$K$55,MATCH(I46,$K$40:$K$55,-1))))/
(LOG10(INDEX($K$40:$K$55,MATCH(I46,$K$40:$K$55,-1)+1))-LOG10(INDEX($K$40:$K$55,MATCH(I46,$K$40:$K$55,-1))))
)
)
)</f>
        <v>0.22331412353002456</v>
      </c>
      <c r="N46" s="80">
        <f t="shared" si="14"/>
        <v>7.8000000000000069E-2</v>
      </c>
      <c r="O46" s="49">
        <f t="shared" si="11"/>
        <v>0.2</v>
      </c>
      <c r="P46" s="49">
        <f t="shared" si="12"/>
        <v>0.05</v>
      </c>
      <c r="Q46" s="108">
        <f t="shared" si="13"/>
        <v>1</v>
      </c>
      <c r="R46" s="25"/>
      <c r="S46" s="177">
        <f t="shared" si="9"/>
        <v>0.38</v>
      </c>
      <c r="T46" s="143"/>
      <c r="U46" s="178">
        <f t="shared" si="10"/>
        <v>0.22331412353002456</v>
      </c>
      <c r="V46" s="155"/>
    </row>
    <row r="47" spans="2:30">
      <c r="B47" s="13" t="s">
        <v>86</v>
      </c>
      <c r="C47" s="13" cm="1">
        <f t="array" ref="C47">IFERROR(
   INDEX($G$45:$G$50,MATCH(C42,$F$45:$F$50,0)),
   INDEX($G$45:$G$50,MATCH(C42,$F$45:$F$50,1)) +
   (C42 - INDEX($F$45:$F$50,MATCH(C42,$F$45:$F$50,1))) *
   (INDEX($G$45:$G$50,MATCH(C42,$F$45:$F$50,1)+1) - INDEX($G$45:$G$50,MATCH(C42,$F$45:$F$50,1))) /
   (INDEX($F$45:$F$50,MATCH(C42,$F$45:$F$50,1)+1) - INDEX($F$45:$F$50,MATCH(C42,$F$45:$F$50,1)))
)</f>
        <v>0.62199434239999996</v>
      </c>
      <c r="F47" s="98">
        <v>4000</v>
      </c>
      <c r="G47" s="14">
        <v>0.56999999999999995</v>
      </c>
      <c r="I47" s="15">
        <f t="shared" si="5"/>
        <v>0.63</v>
      </c>
      <c r="J47" s="30">
        <f t="shared" si="6"/>
        <v>0.20750000000000002</v>
      </c>
      <c r="K47" s="15">
        <f t="shared" si="7"/>
        <v>9.5</v>
      </c>
      <c r="L47" s="30">
        <f t="shared" si="8"/>
        <v>0.63500000000000001</v>
      </c>
      <c r="M47" s="30" cm="1">
        <f t="array" ref="M47">IF(I47="","",
IF(I47&gt;=MAX($K$40:$K$55),INDEX($L$40:$L$55,1),
IF(I47&lt;=MIN($K$40:$K$55),INDEX($L$40:$L$55,ROWS($K$40:$K$55)),
INDEX($L$40:$L$55,MATCH(I47,$K$40:$K$55,-1))+
(INDEX($L$40:$L$55,MATCH(I47,$K$40:$K$55,-1)+1)-INDEX($L$40:$L$55,MATCH(I47,$K$40:$K$55,-1)))*
(LOG10(I47)-LOG10(INDEX($K$40:$K$55,MATCH(I47,$K$40:$K$55,-1))))/
(LOG10(INDEX($K$40:$K$55,MATCH(I47,$K$40:$K$55,-1)+1))-LOG10(INDEX($K$40:$K$55,MATCH(I47,$K$40:$K$55,-1))))
)
)
)</f>
        <v>0.1546890031332655</v>
      </c>
      <c r="N47" s="80">
        <f t="shared" si="14"/>
        <v>0.10599999999999987</v>
      </c>
      <c r="O47" s="49">
        <f t="shared" si="11"/>
        <v>0.2</v>
      </c>
      <c r="P47" s="49">
        <f t="shared" si="12"/>
        <v>0.05</v>
      </c>
      <c r="Q47" s="108">
        <f t="shared" si="13"/>
        <v>1</v>
      </c>
      <c r="R47" s="25"/>
      <c r="S47" s="177">
        <f t="shared" si="9"/>
        <v>0.20750000000000002</v>
      </c>
      <c r="T47" s="143"/>
      <c r="U47" s="178">
        <f t="shared" si="10"/>
        <v>0.1546890031332655</v>
      </c>
      <c r="V47" s="155"/>
    </row>
    <row r="48" spans="2:30">
      <c r="F48" s="98">
        <v>5000</v>
      </c>
      <c r="G48" s="14">
        <v>0.48</v>
      </c>
      <c r="I48" s="15">
        <f t="shared" si="5"/>
        <v>0.315</v>
      </c>
      <c r="J48" s="30">
        <f t="shared" si="6"/>
        <v>0.11</v>
      </c>
      <c r="K48" s="15">
        <f t="shared" si="7"/>
        <v>6.3</v>
      </c>
      <c r="L48" s="30">
        <f t="shared" si="8"/>
        <v>0.48099999999999993</v>
      </c>
      <c r="M48" s="30" cm="1">
        <f t="array" ref="M48">IF(I48="","",
IF(I48&gt;=MAX($K$40:$K$55),INDEX($L$40:$L$55,1),
IF(I48&lt;=MIN($K$40:$K$55),INDEX($L$40:$L$55,ROWS($K$40:$K$55)),
INDEX($L$40:$L$55,MATCH(I48,$K$40:$K$55,-1))+
(INDEX($L$40:$L$55,MATCH(I48,$K$40:$K$55,-1)+1)-INDEX($L$40:$L$55,MATCH(I48,$K$40:$K$55,-1)))*
(LOG10(I48)-LOG10(INDEX($K$40:$K$55,MATCH(I48,$K$40:$K$55,-1))))/
(LOG10(INDEX($K$40:$K$55,MATCH(I48,$K$40:$K$55,-1)+1))-LOG10(INDEX($K$40:$K$55,MATCH(I48,$K$40:$K$55,-1))))
)
)
)</f>
        <v>5.2390879428596784E-2</v>
      </c>
      <c r="N48" s="80">
        <f t="shared" si="14"/>
        <v>0.15400000000000008</v>
      </c>
      <c r="O48" s="49">
        <f t="shared" si="11"/>
        <v>0.2</v>
      </c>
      <c r="P48" s="49">
        <f t="shared" si="12"/>
        <v>0.05</v>
      </c>
      <c r="Q48" s="108">
        <f t="shared" si="13"/>
        <v>1</v>
      </c>
      <c r="R48" s="25"/>
      <c r="S48" s="177">
        <f t="shared" si="9"/>
        <v>0.11</v>
      </c>
      <c r="T48" s="143"/>
      <c r="U48" s="178">
        <f t="shared" si="10"/>
        <v>5.2390879428596784E-2</v>
      </c>
      <c r="V48" s="155"/>
    </row>
    <row r="49" spans="2:28">
      <c r="B49" s="158" t="s">
        <v>88</v>
      </c>
      <c r="C49" s="159"/>
      <c r="D49" s="160"/>
      <c r="F49" s="98">
        <v>6000</v>
      </c>
      <c r="G49" s="14">
        <v>0.41</v>
      </c>
      <c r="I49" s="15">
        <f t="shared" si="5"/>
        <v>0.16</v>
      </c>
      <c r="J49" s="30">
        <f t="shared" si="6"/>
        <v>0.05</v>
      </c>
      <c r="K49" s="15">
        <f t="shared" si="7"/>
        <v>4.75</v>
      </c>
      <c r="L49" s="30">
        <f t="shared" si="8"/>
        <v>0.37099999999999994</v>
      </c>
      <c r="M49" s="30" cm="1">
        <f t="array" ref="M49">IF(I49="","",
IF(I49&gt;=MAX($K$40:$K$55),INDEX($L$40:$L$55,1),
IF(I49&lt;=MIN($K$40:$K$55),INDEX($L$40:$L$55,ROWS($K$40:$K$55)),
INDEX($L$40:$L$55,MATCH(I49,$K$40:$K$55,-1))+
(INDEX($L$40:$L$55,MATCH(I49,$K$40:$K$55,-1)+1)-INDEX($L$40:$L$55,MATCH(I49,$K$40:$K$55,-1)))*
(LOG10(I49)-LOG10(INDEX($K$40:$K$55,MATCH(I49,$K$40:$K$55,-1))))/
(LOG10(INDEX($K$40:$K$55,MATCH(I49,$K$40:$K$55,-1)+1))-LOG10(INDEX($K$40:$K$55,MATCH(I49,$K$40:$K$55,-1))))
)
)
)</f>
        <v>2.6862188087829624E-2</v>
      </c>
      <c r="N49" s="80">
        <f t="shared" si="14"/>
        <v>0.10999999999999999</v>
      </c>
      <c r="O49" s="49">
        <f t="shared" si="11"/>
        <v>0.2</v>
      </c>
      <c r="P49" s="49">
        <f t="shared" si="12"/>
        <v>0.05</v>
      </c>
      <c r="Q49" s="108">
        <f t="shared" si="13"/>
        <v>1</v>
      </c>
      <c r="R49" s="25"/>
      <c r="S49" s="177">
        <f t="shared" si="9"/>
        <v>0.05</v>
      </c>
      <c r="T49" s="143"/>
      <c r="U49" s="178">
        <f t="shared" si="10"/>
        <v>2.6862188087829624E-2</v>
      </c>
      <c r="V49" s="155"/>
    </row>
    <row r="50" spans="2:28">
      <c r="F50" s="98">
        <v>7000</v>
      </c>
      <c r="G50" s="14">
        <v>0.34</v>
      </c>
      <c r="I50" s="15"/>
      <c r="J50" s="30"/>
      <c r="K50" s="15">
        <f t="shared" si="7"/>
        <v>2.36</v>
      </c>
      <c r="L50" s="30">
        <f t="shared" si="8"/>
        <v>0.31499999999999995</v>
      </c>
      <c r="M50" s="15"/>
      <c r="N50" s="80">
        <f t="shared" si="14"/>
        <v>5.5999999999999994E-2</v>
      </c>
      <c r="O50" s="49">
        <f t="shared" si="11"/>
        <v>0.125</v>
      </c>
      <c r="P50" s="49">
        <f t="shared" si="12"/>
        <v>0</v>
      </c>
      <c r="Q50" s="108">
        <f t="shared" si="13"/>
        <v>1</v>
      </c>
      <c r="R50" s="25"/>
      <c r="U50" s="19"/>
      <c r="V50" s="19"/>
    </row>
    <row r="51" spans="2:28" ht="17">
      <c r="C51" s="13" t="s">
        <v>87</v>
      </c>
      <c r="I51" s="15"/>
      <c r="J51" s="30"/>
      <c r="K51" s="15">
        <f t="shared" si="7"/>
        <v>1.18</v>
      </c>
      <c r="L51" s="30">
        <f t="shared" si="8"/>
        <v>0.21499999999999997</v>
      </c>
      <c r="M51" s="15"/>
      <c r="N51" s="80">
        <f t="shared" si="14"/>
        <v>9.9999999999999978E-2</v>
      </c>
      <c r="O51" s="49">
        <f t="shared" si="11"/>
        <v>0.125</v>
      </c>
      <c r="P51" s="49">
        <f t="shared" si="12"/>
        <v>0</v>
      </c>
      <c r="Q51" s="108">
        <f t="shared" si="13"/>
        <v>1</v>
      </c>
      <c r="R51" s="25"/>
      <c r="S51" s="143" t="s">
        <v>68</v>
      </c>
      <c r="T51" s="143"/>
      <c r="U51" s="19"/>
      <c r="V51" s="18" t="s">
        <v>186</v>
      </c>
    </row>
    <row r="52" spans="2:28">
      <c r="B52" s="13" t="str">
        <f>D9</f>
        <v>C0</v>
      </c>
      <c r="C52" s="13" t="str">
        <f>IFERROR(VLOOKUP(D9,$F$54:$G$65,2,FALSE),1000)</f>
        <v>NA</v>
      </c>
      <c r="F52" s="14" t="s">
        <v>142</v>
      </c>
      <c r="G52" s="14" t="s">
        <v>143</v>
      </c>
      <c r="I52" s="15"/>
      <c r="J52" s="30"/>
      <c r="K52" s="15">
        <f t="shared" si="7"/>
        <v>0.6</v>
      </c>
      <c r="L52" s="30">
        <f t="shared" si="8"/>
        <v>0.14999999999999997</v>
      </c>
      <c r="M52" s="15"/>
      <c r="N52" s="80">
        <f t="shared" si="14"/>
        <v>6.5000000000000002E-2</v>
      </c>
      <c r="O52" s="49">
        <f t="shared" si="11"/>
        <v>0.2</v>
      </c>
      <c r="P52" s="49">
        <f t="shared" si="12"/>
        <v>0.05</v>
      </c>
      <c r="Q52" s="108">
        <f t="shared" si="13"/>
        <v>1</v>
      </c>
      <c r="R52" s="25"/>
      <c r="S52" s="143">
        <f>SUMX2MY2(S40:T49,U40:V49)</f>
        <v>1.3696792904670367</v>
      </c>
      <c r="T52" s="143"/>
      <c r="U52" s="19"/>
      <c r="V52" s="18">
        <f>MIN($S$52)</f>
        <v>1.3696792904670367</v>
      </c>
    </row>
    <row r="53" spans="2:28">
      <c r="F53" s="14" t="s">
        <v>144</v>
      </c>
      <c r="G53" s="14" t="s">
        <v>156</v>
      </c>
      <c r="I53" s="15"/>
      <c r="J53" s="30"/>
      <c r="K53" s="15">
        <f t="shared" si="7"/>
        <v>0.3</v>
      </c>
      <c r="L53" s="30">
        <f t="shared" si="8"/>
        <v>4.4999999999999971E-2</v>
      </c>
      <c r="M53" s="15"/>
      <c r="N53" s="80">
        <f t="shared" si="14"/>
        <v>0.105</v>
      </c>
      <c r="O53" s="49">
        <f t="shared" si="11"/>
        <v>0.2</v>
      </c>
      <c r="P53" s="49">
        <f t="shared" si="12"/>
        <v>0.05</v>
      </c>
      <c r="Q53" s="108">
        <f t="shared" si="13"/>
        <v>1</v>
      </c>
      <c r="R53" s="25"/>
      <c r="U53" s="19"/>
      <c r="V53" s="14">
        <f>COUNT($E$31:$E$33)</f>
        <v>3</v>
      </c>
    </row>
    <row r="54" spans="2:28">
      <c r="B54" s="158" t="s">
        <v>89</v>
      </c>
      <c r="C54" s="159"/>
      <c r="D54" s="160"/>
      <c r="F54" s="14" t="s">
        <v>145</v>
      </c>
      <c r="G54" s="14">
        <v>0.55000000000000004</v>
      </c>
      <c r="I54" s="15"/>
      <c r="J54" s="15"/>
      <c r="K54" s="15">
        <f t="shared" si="7"/>
        <v>0.15</v>
      </c>
      <c r="L54" s="30">
        <f t="shared" si="8"/>
        <v>2.4999999999999998E-2</v>
      </c>
      <c r="M54" s="15"/>
      <c r="N54" s="80">
        <f t="shared" si="14"/>
        <v>1.9999999999999973E-2</v>
      </c>
      <c r="O54" s="49">
        <f t="shared" si="11"/>
        <v>0.1</v>
      </c>
      <c r="P54" s="49">
        <f t="shared" si="12"/>
        <v>0</v>
      </c>
      <c r="Q54" s="108">
        <f t="shared" si="13"/>
        <v>1</v>
      </c>
      <c r="R54" s="25"/>
      <c r="U54" s="19"/>
      <c r="V54" s="18" t="b">
        <f>$C$35=1</f>
        <v>1</v>
      </c>
    </row>
    <row r="55" spans="2:28">
      <c r="F55" s="14" t="s">
        <v>146</v>
      </c>
      <c r="G55" s="14">
        <v>0.45</v>
      </c>
      <c r="V55" s="14" t="b">
        <f t="array" ref="V55">$Q$40:$Q$54=1</f>
        <v>1</v>
      </c>
    </row>
    <row r="56" spans="2:28">
      <c r="B56" s="13" t="s">
        <v>157</v>
      </c>
      <c r="C56" s="13" t="str" cm="1">
        <f t="array" ref="C56">INDEX($J$5:$J$19,MIN(
   IF($L$5:$L$19&lt;&gt;0,ROW($L$5:$L$19)),
   IF($O$5:$O$19&lt;&gt;0,ROW($O$5:$O$19)),
   IF($R$5:$R$15&lt;&gt;0,ROW($R$5:$R$15))
)-ROW($J$5)+1)</f>
        <v>1"</v>
      </c>
      <c r="D56" s="13" t="s">
        <v>158</v>
      </c>
      <c r="F56" s="14" t="s">
        <v>147</v>
      </c>
      <c r="G56" s="14">
        <v>0.4</v>
      </c>
      <c r="V56" s="14">
        <f>{32767;32767;0.000001;1;FALSE;FALSE;TRUE;1;1;1;"""""""""""""""""""""""""""""""""""""""""""""""""""""""""""""""""""""""""""""""""""""""""""""""""""""""""""""""""""""""""""""""0,0001""""""""""""""""""""""""""""""""""""""""""""""""""""""""""""""""""""""""""""""""""""""""""""""""""""""""""""""""""""""""""""""";TRUE}</f>
        <v>32767</v>
      </c>
    </row>
    <row r="57" spans="2:28">
      <c r="B57" s="13" t="s">
        <v>159</v>
      </c>
      <c r="C57" s="13">
        <f>IFERROR(VLOOKUP(D6,$F$68:$G$72,2,FALSE),"N/A")</f>
        <v>4</v>
      </c>
      <c r="D57" s="13" t="s">
        <v>158</v>
      </c>
      <c r="F57" s="14" t="s">
        <v>148</v>
      </c>
      <c r="G57" s="14" t="s">
        <v>156</v>
      </c>
      <c r="I57" s="179" t="s">
        <v>175</v>
      </c>
      <c r="J57" s="159"/>
      <c r="K57" s="160"/>
      <c r="M57" s="179" t="s">
        <v>174</v>
      </c>
      <c r="N57" s="184"/>
      <c r="O57" s="184"/>
      <c r="P57" s="184"/>
      <c r="Q57" s="184"/>
      <c r="R57" s="184"/>
      <c r="S57" s="184"/>
      <c r="T57" s="185"/>
      <c r="V57" s="14">
        <f>{0;0;0;100;0;FALSE;TRUE;"""""""""""""""""""""""""""""""""""""""""""""""""""""""""""""""""""""""""""""""""""""""""""""""""""""""""""""""""""""""""""""""0,075""""""""""""""""""""""""""""""""""""""""""""""""""""""""""""""""""""""""""""""""""""""""""""""""""""""""""""""""""""""""""""""";0;0;FALSE;30}</f>
        <v>0</v>
      </c>
      <c r="Y57" s="161" t="str">
        <f>Y87</f>
        <v>Rendimiento</v>
      </c>
      <c r="Z57" s="161"/>
      <c r="AA57" s="161"/>
      <c r="AB57" s="161"/>
    </row>
    <row r="58" spans="2:28" ht="49" customHeight="1">
      <c r="B58" s="13" t="s">
        <v>86</v>
      </c>
      <c r="C58" s="13">
        <f>MIN(C52,C47)</f>
        <v>0.62199434239999996</v>
      </c>
      <c r="F58" s="14" t="s">
        <v>149</v>
      </c>
      <c r="G58" s="14" t="s">
        <v>156</v>
      </c>
      <c r="I58" s="14" t="s">
        <v>92</v>
      </c>
      <c r="J58" s="115">
        <f>(J60/G21)+(J59/1000) +((J61*C31)/D21)+((J61*C32)/E21)+((J61*C33)/F21)+C61</f>
        <v>1</v>
      </c>
      <c r="K58" s="14" t="s">
        <v>93</v>
      </c>
      <c r="M58" s="96" t="s">
        <v>97</v>
      </c>
      <c r="N58" s="120" t="s">
        <v>98</v>
      </c>
      <c r="O58" s="120" t="s">
        <v>104</v>
      </c>
      <c r="P58" s="120" t="s">
        <v>99</v>
      </c>
      <c r="Q58" s="120" t="s">
        <v>105</v>
      </c>
      <c r="R58" s="120" t="s">
        <v>106</v>
      </c>
      <c r="S58" s="120" t="s">
        <v>109</v>
      </c>
      <c r="T58" s="120" t="s">
        <v>107</v>
      </c>
      <c r="U58" s="19"/>
      <c r="V58" s="19"/>
      <c r="Y58" s="14"/>
      <c r="Z58" s="14" t="s">
        <v>193</v>
      </c>
      <c r="AA58" s="14" t="s">
        <v>194</v>
      </c>
      <c r="AB58" s="14" t="s">
        <v>195</v>
      </c>
    </row>
    <row r="59" spans="2:28">
      <c r="B59" s="13" t="s">
        <v>94</v>
      </c>
      <c r="C59" s="13">
        <f>IFERROR(
  INDEX($Y$3:$AE$7,
         MATCH($C$57,{1;3;5;7;8},1),
         MATCH($C$56,$Y$2:$AE$2,0)
  ),
  0
)</f>
        <v>325</v>
      </c>
      <c r="D59" s="13" t="s">
        <v>91</v>
      </c>
      <c r="F59" s="14" t="s">
        <v>150</v>
      </c>
      <c r="G59" s="14" t="s">
        <v>156</v>
      </c>
      <c r="I59" s="14" t="s">
        <v>94</v>
      </c>
      <c r="J59" s="14">
        <f>C59*0.593276</f>
        <v>192.81470000000002</v>
      </c>
      <c r="K59" s="14" t="s">
        <v>95</v>
      </c>
      <c r="M59" s="70" t="s">
        <v>100</v>
      </c>
      <c r="N59" s="38">
        <f>J60</f>
        <v>309.99429875200104</v>
      </c>
      <c r="O59" s="38"/>
      <c r="P59" s="38" t="s">
        <v>64</v>
      </c>
      <c r="Q59" s="38"/>
      <c r="R59" s="38"/>
      <c r="S59" s="39"/>
      <c r="T59" s="71">
        <f>N59</f>
        <v>309.99429875200104</v>
      </c>
      <c r="V59" s="14" t="s">
        <v>187</v>
      </c>
      <c r="W59" s="14">
        <f>T65</f>
        <v>2349.4304676300617</v>
      </c>
      <c r="Y59" s="14" t="s">
        <v>100</v>
      </c>
      <c r="Z59" s="14">
        <f>T59</f>
        <v>309.99429875200104</v>
      </c>
      <c r="AA59" s="14">
        <f>T59*W61</f>
        <v>310.06944538437347</v>
      </c>
      <c r="AB59" s="14">
        <f>Z59</f>
        <v>309.99429875200104</v>
      </c>
    </row>
    <row r="60" spans="2:28">
      <c r="B60" s="13" t="s">
        <v>90</v>
      </c>
      <c r="C60" s="13">
        <f>C59/C58</f>
        <v>522.51279126747249</v>
      </c>
      <c r="D60" s="13" t="s">
        <v>91</v>
      </c>
      <c r="F60" s="14" t="s">
        <v>151</v>
      </c>
      <c r="G60" s="14" t="s">
        <v>156</v>
      </c>
      <c r="I60" s="14" t="s">
        <v>90</v>
      </c>
      <c r="J60" s="14">
        <f>C60*0.593276</f>
        <v>309.99429875200104</v>
      </c>
      <c r="K60" s="14" t="s">
        <v>95</v>
      </c>
      <c r="M60" s="72" t="s">
        <v>101</v>
      </c>
      <c r="N60" s="13">
        <f>J59</f>
        <v>192.81470000000002</v>
      </c>
      <c r="P60" s="13" t="s">
        <v>64</v>
      </c>
      <c r="Q60" s="13">
        <f>P61+N60</f>
        <v>214.71139725942368</v>
      </c>
      <c r="S60" s="13">
        <f>-P61</f>
        <v>-21.896697259423647</v>
      </c>
      <c r="T60" s="73">
        <f>Q60+S61</f>
        <v>103.40318619068682</v>
      </c>
      <c r="V60" s="14" t="s">
        <v>188</v>
      </c>
      <c r="W60" s="14">
        <v>2350</v>
      </c>
      <c r="Y60" s="14" t="s">
        <v>190</v>
      </c>
      <c r="Z60" s="110">
        <f>T60</f>
        <v>103.40318619068682</v>
      </c>
      <c r="AA60" s="14">
        <f>T60*W61</f>
        <v>103.42825246206695</v>
      </c>
      <c r="AB60" s="110">
        <f>Z60</f>
        <v>103.40318619068682</v>
      </c>
    </row>
    <row r="61" spans="2:28">
      <c r="B61" s="13" t="s">
        <v>198</v>
      </c>
      <c r="C61" s="114">
        <f>IFERROR(
   INDEX($Y$8:$AE$8, MATCH($C$56, $Y$2:$AE$2, 0)),
   0
)</f>
        <v>1.4999999999999999E-2</v>
      </c>
      <c r="D61" s="13" t="s">
        <v>199</v>
      </c>
      <c r="F61" s="14" t="s">
        <v>152</v>
      </c>
      <c r="G61" s="14" t="s">
        <v>156</v>
      </c>
      <c r="I61" s="66" t="s">
        <v>96</v>
      </c>
      <c r="J61" s="66">
        <v>1846.6214688780606</v>
      </c>
      <c r="K61" s="66" t="s">
        <v>95</v>
      </c>
      <c r="M61" s="72" t="s">
        <v>102</v>
      </c>
      <c r="N61" s="13" t="s">
        <v>64</v>
      </c>
      <c r="P61" s="119">
        <f>-SUM(P62:P65)</f>
        <v>21.896697259423647</v>
      </c>
      <c r="Q61" s="119"/>
      <c r="R61" s="119"/>
      <c r="S61" s="118">
        <f>-SUM(S62:S64)</f>
        <v>-111.30821106873685</v>
      </c>
      <c r="T61" s="74"/>
      <c r="V61" s="14" t="s">
        <v>189</v>
      </c>
      <c r="W61" s="14">
        <f>W60/W59</f>
        <v>1.0002424129497702</v>
      </c>
      <c r="Y61" s="14" t="s">
        <v>191</v>
      </c>
      <c r="Z61" s="110">
        <f>SUM(T62:T64)</f>
        <v>1936.0329826873738</v>
      </c>
      <c r="AA61" s="14">
        <f>Z61*W61</f>
        <v>1936.5023021535594</v>
      </c>
      <c r="AB61" s="112">
        <f>AB62-AB60-AB59</f>
        <v>1936.6025150573121</v>
      </c>
    </row>
    <row r="62" spans="2:28">
      <c r="B62" s="192"/>
      <c r="C62" s="192"/>
      <c r="D62" s="192"/>
      <c r="F62" s="14" t="s">
        <v>153</v>
      </c>
      <c r="G62" s="14" t="s">
        <v>156</v>
      </c>
      <c r="I62" s="14" t="str">
        <f>B26</f>
        <v>Grava 2</v>
      </c>
      <c r="J62" s="14">
        <f>$J$61*C31</f>
        <v>369.32429377561215</v>
      </c>
      <c r="K62" s="14" t="s">
        <v>95</v>
      </c>
      <c r="M62" s="72" t="str">
        <f>I62</f>
        <v>Grava 2</v>
      </c>
      <c r="N62" s="13">
        <f>J62</f>
        <v>369.32429377561215</v>
      </c>
      <c r="O62" s="117">
        <f>D18</f>
        <v>1.2E-2</v>
      </c>
      <c r="P62" s="13">
        <f>-(N62*O62)/(O62+1)</f>
        <v>-4.3793394518847286</v>
      </c>
      <c r="Q62" s="117">
        <f>D19</f>
        <v>0.05</v>
      </c>
      <c r="R62" s="118">
        <f>N62/(O62+1)</f>
        <v>364.94495432372742</v>
      </c>
      <c r="S62" s="118">
        <f>R62*Q62</f>
        <v>18.247247716186372</v>
      </c>
      <c r="T62" s="73">
        <f>R62+S62</f>
        <v>383.19220203991381</v>
      </c>
      <c r="Y62" s="14" t="s">
        <v>192</v>
      </c>
      <c r="Z62" s="14">
        <f>SUM(Z59:Z61)</f>
        <v>2349.4304676300617</v>
      </c>
      <c r="AA62" s="14">
        <f>SUM(AA59:AA61)</f>
        <v>2350</v>
      </c>
      <c r="AB62" s="14">
        <f>AA62</f>
        <v>2350</v>
      </c>
    </row>
    <row r="63" spans="2:28">
      <c r="F63" s="14" t="s">
        <v>26</v>
      </c>
      <c r="G63" s="14" t="s">
        <v>156</v>
      </c>
      <c r="I63" s="14" t="str">
        <f>B27</f>
        <v>Gravilla 1</v>
      </c>
      <c r="J63" s="14">
        <f>$J$61*C32</f>
        <v>553.98644066341819</v>
      </c>
      <c r="K63" s="14" t="s">
        <v>95</v>
      </c>
      <c r="M63" s="72" t="str">
        <f t="shared" ref="M63:M64" si="15">I63</f>
        <v>Gravilla 1</v>
      </c>
      <c r="N63" s="13">
        <f>J63</f>
        <v>553.98644066341819</v>
      </c>
      <c r="O63" s="117">
        <f>E18</f>
        <v>1.2E-2</v>
      </c>
      <c r="P63" s="13">
        <f t="shared" ref="P63:P64" si="16">-(N63*O63)/(O63+1)</f>
        <v>-6.5690091778270938</v>
      </c>
      <c r="Q63" s="117">
        <f>E19</f>
        <v>7.0000000000000007E-2</v>
      </c>
      <c r="R63" s="118">
        <f t="shared" ref="R63:R64" si="17">N63/(O63+1)</f>
        <v>547.41743148559112</v>
      </c>
      <c r="S63" s="118">
        <f>R63*Q63</f>
        <v>38.319220203991385</v>
      </c>
      <c r="T63" s="73">
        <f t="shared" ref="T63:T64" si="18">R63+S63</f>
        <v>585.73665168958246</v>
      </c>
    </row>
    <row r="64" spans="2:28">
      <c r="F64" s="14" t="s">
        <v>154</v>
      </c>
      <c r="G64" s="14" t="s">
        <v>156</v>
      </c>
      <c r="I64" s="14" t="str">
        <f>B28</f>
        <v>Arena 1</v>
      </c>
      <c r="J64" s="14">
        <f>$J$61*C33</f>
        <v>923.31073443903028</v>
      </c>
      <c r="K64" s="14" t="s">
        <v>95</v>
      </c>
      <c r="M64" s="72" t="str">
        <f t="shared" si="15"/>
        <v>Arena 1</v>
      </c>
      <c r="N64" s="13">
        <f>J64</f>
        <v>923.31073443903028</v>
      </c>
      <c r="O64" s="117">
        <f>F18</f>
        <v>1.2E-2</v>
      </c>
      <c r="P64" s="13">
        <f t="shared" si="16"/>
        <v>-10.948348629711822</v>
      </c>
      <c r="Q64" s="117">
        <f>F19</f>
        <v>0.06</v>
      </c>
      <c r="R64" s="118">
        <f t="shared" si="17"/>
        <v>912.36238580931843</v>
      </c>
      <c r="S64" s="118">
        <f t="shared" ref="S64" si="19">R64*Q64</f>
        <v>54.741743148559102</v>
      </c>
      <c r="T64" s="73">
        <f t="shared" si="18"/>
        <v>967.10412895787749</v>
      </c>
    </row>
    <row r="65" spans="6:23">
      <c r="F65" s="14" t="s">
        <v>155</v>
      </c>
      <c r="G65" s="14" t="s">
        <v>156</v>
      </c>
      <c r="M65" s="72" t="s">
        <v>103</v>
      </c>
      <c r="N65" s="13">
        <f>J59+J60+J62+J63+J64</f>
        <v>2349.4304676300617</v>
      </c>
      <c r="P65" s="13" t="s">
        <v>64</v>
      </c>
      <c r="R65" s="117"/>
      <c r="S65" s="118">
        <f>-S59</f>
        <v>0</v>
      </c>
      <c r="T65" s="74">
        <f>SUM(T59:T64)</f>
        <v>2349.4304676300617</v>
      </c>
    </row>
    <row r="66" spans="6:23">
      <c r="M66" s="75" t="s">
        <v>200</v>
      </c>
      <c r="N66" s="76">
        <f>C61*1</f>
        <v>1.4999999999999999E-2</v>
      </c>
      <c r="O66" s="37"/>
      <c r="P66" s="37"/>
      <c r="Q66" s="37"/>
      <c r="R66" s="76"/>
      <c r="S66" s="77"/>
      <c r="T66" s="121">
        <f>N66</f>
        <v>1.4999999999999999E-2</v>
      </c>
    </row>
    <row r="67" spans="6:23" ht="17">
      <c r="F67" s="18" t="s">
        <v>160</v>
      </c>
      <c r="G67" s="14" t="s">
        <v>159</v>
      </c>
    </row>
    <row r="68" spans="6:23" ht="17" customHeight="1">
      <c r="F68" s="18" t="s">
        <v>161</v>
      </c>
      <c r="G68" s="14">
        <v>4</v>
      </c>
      <c r="I68" s="179" t="s">
        <v>179</v>
      </c>
      <c r="J68" s="159"/>
      <c r="K68" s="159"/>
      <c r="L68" s="159"/>
      <c r="M68" s="160"/>
      <c r="S68" s="179" t="s">
        <v>180</v>
      </c>
      <c r="T68" s="184"/>
      <c r="U68" s="184"/>
      <c r="V68" s="185"/>
    </row>
    <row r="69" spans="6:23" ht="17">
      <c r="F69" s="18" t="s">
        <v>162</v>
      </c>
      <c r="G69" s="14">
        <v>4</v>
      </c>
      <c r="I69" s="15" t="s">
        <v>60</v>
      </c>
      <c r="J69" s="29" t="s">
        <v>117</v>
      </c>
      <c r="K69" s="15" t="s">
        <v>61</v>
      </c>
      <c r="L69" s="29" t="s">
        <v>62</v>
      </c>
      <c r="M69" s="29" t="s">
        <v>63</v>
      </c>
      <c r="N69" s="29" t="s">
        <v>118</v>
      </c>
      <c r="O69" s="29" t="s">
        <v>119</v>
      </c>
      <c r="P69" s="29" t="s">
        <v>120</v>
      </c>
      <c r="Q69" s="29" t="s">
        <v>121</v>
      </c>
      <c r="R69" s="78"/>
      <c r="S69" s="155" t="s">
        <v>117</v>
      </c>
      <c r="T69" s="155"/>
      <c r="U69" s="180" t="s">
        <v>66</v>
      </c>
      <c r="V69" s="181"/>
      <c r="W69" s="14" t="s">
        <v>108</v>
      </c>
    </row>
    <row r="70" spans="6:23" ht="34" customHeight="1">
      <c r="F70" s="18" t="s">
        <v>163</v>
      </c>
      <c r="G70" s="14">
        <v>4</v>
      </c>
      <c r="I70" s="15">
        <f t="shared" ref="I70:I79" si="20">I26</f>
        <v>80</v>
      </c>
      <c r="J70" s="30">
        <f t="shared" ref="J70:J79" si="21">IF($D$5&lt;=10, AD26,
 IF($D$5&lt;=20, AC26,
  IF($D$5&lt;=40, AB26,
   IF($D$5&lt;=80, AA26, ""))))</f>
        <v>1</v>
      </c>
      <c r="K70" s="15">
        <f t="shared" ref="K70:K84" si="22">I5</f>
        <v>75</v>
      </c>
      <c r="L70" s="30">
        <f t="shared" ref="L70:L84" si="23">V5</f>
        <v>1.0000000000009583</v>
      </c>
      <c r="M70" s="30" cm="1">
        <f t="array" ref="M70">IF(I70="","",
IF(I70&gt;=MAX($K$70:$K$85),INDEX($L$70:$L$85,1),
IF(I70&lt;=MIN($K$70:$K$85),INDEX($L$70:$L$85,ROWS($K$70:$K$85)),
INDEX($L$70:$L$85,MATCH(I70,$K$70:$K$85,-1))+
(INDEX($L$70:$L$85,MATCH(I70,$K$70:$K$85,-1)+1)-INDEX($L$70:$L$85,MATCH(I70,$K$70:$K$85,-1)))*
(LOG10(I70)-LOG10(INDEX($K$70:$K$85,MATCH(I70,$K$70:$K$85,-1))))/
(LOG10(INDEX($K$70:$K$85,MATCH(I70,$K$70:$K$85,-1)+1))-LOG10(INDEX($K$70:$K$85,MATCH(I70,$K$70:$K$85,-1))))
)
)
)</f>
        <v>1.0000000000009583</v>
      </c>
      <c r="N70" s="80">
        <f>1-L70</f>
        <v>-9.5834451485643513E-13</v>
      </c>
      <c r="O70" s="49">
        <f t="shared" ref="O70:O84" si="24">MAX(0,AG4-$D$13)</f>
        <v>0</v>
      </c>
      <c r="P70" s="99">
        <f t="shared" ref="P70:P84" si="25">MIN(O40,MAX(0,AH4+$D$13))</f>
        <v>0</v>
      </c>
      <c r="Q70" s="14">
        <f>IF(AND(ROUND(N70,5)&gt;=ROUND(P70,5), ROUND(N70,5)&lt;=ROUND(O70,5)),1,0)</f>
        <v>1</v>
      </c>
      <c r="R70" s="25"/>
      <c r="S70" s="177">
        <f>MIN(1,POWER(I70/
 CHOOSE(MATCH($D$5,{9.5;12.5;19;25;37.5;50;75},0),
   10,20,20,40,40,80,80),0.5))</f>
        <v>1</v>
      </c>
      <c r="T70" s="143"/>
      <c r="U70" s="182">
        <f t="shared" ref="U70:U79" si="26">M70</f>
        <v>1.0000000000009583</v>
      </c>
      <c r="V70" s="183"/>
      <c r="W70" s="81">
        <f>(S70-U70)^2</f>
        <v>9.1842420915541601E-25</v>
      </c>
    </row>
    <row r="71" spans="6:23" ht="17">
      <c r="F71" s="18" t="s">
        <v>164</v>
      </c>
      <c r="G71" s="14">
        <v>4</v>
      </c>
      <c r="I71" s="15">
        <f t="shared" si="20"/>
        <v>40</v>
      </c>
      <c r="J71" s="30">
        <f t="shared" si="21"/>
        <v>1</v>
      </c>
      <c r="K71" s="15">
        <f t="shared" si="22"/>
        <v>63</v>
      </c>
      <c r="L71" s="30">
        <f t="shared" si="23"/>
        <v>1.0000000000009583</v>
      </c>
      <c r="M71" s="30" cm="1">
        <f t="array" ref="M71">IF(I71="","",
IF(I71&gt;=MAX($K$70:$K$85),INDEX($L$70:$L$85,1),
IF(I71&lt;=MIN($K$70:$K$85),INDEX($L$70:$L$85,ROWS($K$70:$K$85)),
INDEX($L$70:$L$85,MATCH(I71,$K$70:$K$85,-1))+
(INDEX($L$70:$L$85,MATCH(I71,$K$70:$K$85,-1)+1)-INDEX($L$70:$L$85,MATCH(I71,$K$70:$K$85,-1)))*
(LOG10(I71)-LOG10(INDEX($K$70:$K$85,MATCH(I71,$K$70:$K$85,-1))))/
(LOG10(INDEX($K$70:$K$85,MATCH(I71,$K$70:$K$85,-1)+1))-LOG10(INDEX($K$70:$K$85,MATCH(I71,$K$70:$K$85,-1))))
)
)
)</f>
        <v>1.0000000000009583</v>
      </c>
      <c r="N71" s="80">
        <f>L70-L71</f>
        <v>0</v>
      </c>
      <c r="O71" s="49">
        <f t="shared" si="24"/>
        <v>0</v>
      </c>
      <c r="P71" s="99">
        <f t="shared" si="25"/>
        <v>0</v>
      </c>
      <c r="Q71" s="14">
        <f t="shared" ref="Q71:Q84" si="27">IF(AND(ROUND(N71,5)&gt;=ROUND(P71,5), ROUND(N71,5)&lt;=ROUND(O71,5)),1,0)</f>
        <v>1</v>
      </c>
      <c r="R71" s="25"/>
      <c r="S71" s="177">
        <f>MIN(1,POWER(I71/
 CHOOSE(MATCH($D$5,{9.5;12.5;19;25;37.5;50;75},0),
   10,20,20,40,40,80,80),0.5))</f>
        <v>1</v>
      </c>
      <c r="T71" s="143"/>
      <c r="U71" s="182">
        <f t="shared" si="26"/>
        <v>1.0000000000009583</v>
      </c>
      <c r="V71" s="183"/>
      <c r="W71" s="81">
        <f t="shared" ref="W71:W79" si="28">(S71-U71)^2</f>
        <v>9.1842420915541601E-25</v>
      </c>
    </row>
    <row r="72" spans="6:23" ht="17">
      <c r="F72" s="18" t="s">
        <v>17</v>
      </c>
      <c r="G72" s="14">
        <v>4</v>
      </c>
      <c r="I72" s="15">
        <f t="shared" si="20"/>
        <v>20</v>
      </c>
      <c r="J72" s="30">
        <f t="shared" si="21"/>
        <v>1</v>
      </c>
      <c r="K72" s="15">
        <f t="shared" si="22"/>
        <v>50</v>
      </c>
      <c r="L72" s="30">
        <f t="shared" si="23"/>
        <v>1.0000000000009583</v>
      </c>
      <c r="M72" s="30" cm="1">
        <f t="array" ref="M72">IF(I72="","",
IF(I72&gt;=MAX($K$70:$K$85),INDEX($L$70:$L$85,1),
IF(I72&lt;=MIN($K$70:$K$85),INDEX($L$70:$L$85,ROWS($K$70:$K$85)),
INDEX($L$70:$L$85,MATCH(I72,$K$70:$K$85,-1))+
(INDEX($L$70:$L$85,MATCH(I72,$K$70:$K$85,-1)+1)-INDEX($L$70:$L$85,MATCH(I72,$K$70:$K$85,-1)))*
(LOG10(I72)-LOG10(INDEX($K$70:$K$85,MATCH(I72,$K$70:$K$85,-1))))/
(LOG10(INDEX($K$70:$K$85,MATCH(I72,$K$70:$K$85,-1)+1))-LOG10(INDEX($K$70:$K$85,MATCH(I72,$K$70:$K$85,-1))))
)
)
)</f>
        <v>0.97865759798811347</v>
      </c>
      <c r="N72" s="80">
        <f t="shared" ref="N72:N84" si="29">L71-L72</f>
        <v>0</v>
      </c>
      <c r="O72" s="49">
        <f t="shared" si="24"/>
        <v>0</v>
      </c>
      <c r="P72" s="99">
        <f t="shared" si="25"/>
        <v>0</v>
      </c>
      <c r="Q72" s="14">
        <f t="shared" si="27"/>
        <v>1</v>
      </c>
      <c r="R72" s="25"/>
      <c r="S72" s="177">
        <f>MIN(1,POWER(I72/
 CHOOSE(MATCH($D$5,{9.5;12.5;19;25;37.5;50;75},0),
   10,20,20,40,40,80,80),0.5))</f>
        <v>1</v>
      </c>
      <c r="T72" s="143"/>
      <c r="U72" s="182">
        <f t="shared" si="26"/>
        <v>0.97865759798811347</v>
      </c>
      <c r="V72" s="183"/>
      <c r="W72" s="81">
        <f t="shared" si="28"/>
        <v>4.5549812363697819E-4</v>
      </c>
    </row>
    <row r="73" spans="6:23">
      <c r="I73" s="15">
        <f t="shared" si="20"/>
        <v>10</v>
      </c>
      <c r="J73" s="30">
        <f t="shared" si="21"/>
        <v>1</v>
      </c>
      <c r="K73" s="15">
        <f t="shared" si="22"/>
        <v>37.5</v>
      </c>
      <c r="L73" s="30">
        <f t="shared" si="23"/>
        <v>1.0000000000009583</v>
      </c>
      <c r="M73" s="30" cm="1">
        <f t="array" ref="M73">IF(I73="","",
IF(I73&gt;=MAX($K$70:$K$85),INDEX($L$70:$L$85,1),
IF(I73&lt;=MIN($K$70:$K$85),INDEX($L$70:$L$85,ROWS($K$70:$K$85)),
INDEX($L$70:$L$85,MATCH(I73,$K$70:$K$85,-1))+
(INDEX($L$70:$L$85,MATCH(I73,$K$70:$K$85,-1)+1)-INDEX($L$70:$L$85,MATCH(I73,$K$70:$K$85,-1)))*
(LOG10(I73)-LOG10(INDEX($K$70:$K$85,MATCH(I73,$K$70:$K$85,-1))))/
(LOG10(INDEX($K$70:$K$85,MATCH(I73,$K$70:$K$85,-1)+1))-LOG10(INDEX($K$70:$K$85,MATCH(I73,$K$70:$K$85,-1))))
)
)
)</f>
        <v>0.81618714321704289</v>
      </c>
      <c r="N73" s="80">
        <f t="shared" si="29"/>
        <v>0</v>
      </c>
      <c r="O73" s="49">
        <f t="shared" si="24"/>
        <v>2.5000000000000001E-2</v>
      </c>
      <c r="P73" s="99">
        <f t="shared" si="25"/>
        <v>0</v>
      </c>
      <c r="Q73" s="14">
        <f t="shared" si="27"/>
        <v>1</v>
      </c>
      <c r="R73" s="25"/>
      <c r="S73" s="177">
        <f>MIN(1,POWER(I73/
 CHOOSE(MATCH($D$5,{9.5;12.5;19;25;37.5;50;75},0),
   10,20,20,40,40,80,80),0.5))</f>
        <v>1</v>
      </c>
      <c r="T73" s="143"/>
      <c r="U73" s="182">
        <f t="shared" si="26"/>
        <v>0.81618714321704289</v>
      </c>
      <c r="V73" s="183"/>
      <c r="W73" s="81">
        <f t="shared" si="28"/>
        <v>3.3787166318711905E-2</v>
      </c>
    </row>
    <row r="74" spans="6:23">
      <c r="I74" s="15">
        <f t="shared" si="20"/>
        <v>5</v>
      </c>
      <c r="J74" s="30">
        <f t="shared" si="21"/>
        <v>0.63</v>
      </c>
      <c r="K74" s="15">
        <f t="shared" si="22"/>
        <v>25</v>
      </c>
      <c r="L74" s="30">
        <f t="shared" si="23"/>
        <v>1.0000000000009583</v>
      </c>
      <c r="M74" s="30" cm="1">
        <f t="array" ref="M74">IF(I74="","",
IF(I74&gt;=MAX($K$70:$K$85),INDEX($L$70:$L$85,1),
IF(I74&lt;=MIN($K$70:$K$85),INDEX($L$70:$L$85,ROWS($K$70:$K$85)),
INDEX($L$70:$L$85,MATCH(I74,$K$70:$K$85,-1))+
(INDEX($L$70:$L$85,MATCH(I74,$K$70:$K$85,-1)+1)-INDEX($L$70:$L$85,MATCH(I74,$K$70:$K$85,-1)))*
(LOG10(I74)-LOG10(INDEX($K$70:$K$85,MATCH(I74,$K$70:$K$85,-1))))/
(LOG10(INDEX($K$70:$K$85,MATCH(I74,$K$70:$K$85,-1)+1))-LOG10(INDEX($K$70:$K$85,MATCH(I74,$K$70:$K$85,-1))))
)
)
)</f>
        <v>0.48874049548274839</v>
      </c>
      <c r="N74" s="80">
        <f t="shared" si="29"/>
        <v>0</v>
      </c>
      <c r="O74" s="49">
        <f t="shared" si="24"/>
        <v>0.15</v>
      </c>
      <c r="P74" s="99">
        <f t="shared" si="25"/>
        <v>0</v>
      </c>
      <c r="Q74" s="14">
        <f t="shared" si="27"/>
        <v>1</v>
      </c>
      <c r="R74" s="25"/>
      <c r="S74" s="177">
        <f>MIN(1,POWER(I74/
 CHOOSE(MATCH($D$5,{9.5;12.5;19;25;37.5;50;75},0),
   10,20,20,40,40,80,80),0.5))</f>
        <v>0.70710678118654757</v>
      </c>
      <c r="T74" s="143"/>
      <c r="U74" s="182">
        <f t="shared" si="26"/>
        <v>0.48874049548274839</v>
      </c>
      <c r="V74" s="183"/>
      <c r="W74" s="81">
        <f t="shared" si="28"/>
        <v>4.7683834732073251E-2</v>
      </c>
    </row>
    <row r="75" spans="6:23">
      <c r="I75" s="15">
        <f t="shared" si="20"/>
        <v>2.5</v>
      </c>
      <c r="J75" s="30">
        <f t="shared" si="21"/>
        <v>0.49000000000000005</v>
      </c>
      <c r="K75" s="15">
        <f t="shared" si="22"/>
        <v>19</v>
      </c>
      <c r="L75" s="30">
        <f t="shared" si="23"/>
        <v>0.97375168830380976</v>
      </c>
      <c r="M75" s="30" cm="1">
        <f t="array" ref="M75">IF(I75="","",
IF(I75&gt;=MAX($K$70:$K$85),INDEX($L$70:$L$85,1),
IF(I75&lt;=MIN($K$70:$K$85),INDEX($L$70:$L$85,ROWS($K$70:$K$85)),
INDEX($L$70:$L$85,MATCH(I75,$K$70:$K$85,-1))+
(INDEX($L$70:$L$85,MATCH(I75,$K$70:$K$85,-1)+1)-INDEX($L$70:$L$85,MATCH(I75,$K$70:$K$85,-1)))*
(LOG10(I75)-LOG10(INDEX($K$70:$K$85,MATCH(I75,$K$70:$K$85,-1))))/
(LOG10(INDEX($K$70:$K$85,MATCH(I75,$K$70:$K$85,-1)+1))-LOG10(INDEX($K$70:$K$85,MATCH(I75,$K$70:$K$85,-1))))
)
)
)</f>
        <v>0.39953252445268334</v>
      </c>
      <c r="N75" s="80">
        <f t="shared" si="29"/>
        <v>2.6248311697148585E-2</v>
      </c>
      <c r="O75" s="49">
        <f t="shared" si="24"/>
        <v>0.2</v>
      </c>
      <c r="P75" s="99">
        <f t="shared" si="25"/>
        <v>0</v>
      </c>
      <c r="Q75" s="14">
        <f t="shared" si="27"/>
        <v>1</v>
      </c>
      <c r="R75" s="25"/>
      <c r="S75" s="177">
        <f>MIN(1,POWER(I75/
 CHOOSE(MATCH($D$5,{9.5;12.5;19;25;37.5;50;75},0),
   10,20,20,40,40,80,80),0.5))</f>
        <v>0.5</v>
      </c>
      <c r="T75" s="143"/>
      <c r="U75" s="182">
        <f t="shared" si="26"/>
        <v>0.39953252445268334</v>
      </c>
      <c r="V75" s="183"/>
      <c r="W75" s="81">
        <f t="shared" si="28"/>
        <v>1.0093713642850673E-2</v>
      </c>
    </row>
    <row r="76" spans="6:23">
      <c r="I76" s="15">
        <f t="shared" si="20"/>
        <v>1.25</v>
      </c>
      <c r="J76" s="30">
        <f t="shared" si="21"/>
        <v>0.38</v>
      </c>
      <c r="K76" s="15">
        <f t="shared" si="22"/>
        <v>12.5</v>
      </c>
      <c r="L76" s="30">
        <f t="shared" si="23"/>
        <v>0.91375554728175601</v>
      </c>
      <c r="M76" s="30" cm="1">
        <f t="array" ref="M76">IF(I76="","",
IF(I76&gt;=MAX($K$70:$K$85),INDEX($L$70:$L$85,1),
IF(I76&lt;=MIN($K$70:$K$85),INDEX($L$70:$L$85,ROWS($K$70:$K$85)),
INDEX($L$70:$L$85,MATCH(I76,$K$70:$K$85,-1))+
(INDEX($L$70:$L$85,MATCH(I76,$K$70:$K$85,-1)+1)-INDEX($L$70:$L$85,MATCH(I76,$K$70:$K$85,-1)))*
(LOG10(I76)-LOG10(INDEX($K$70:$K$85,MATCH(I76,$K$70:$K$85,-1))))/
(LOG10(INDEX($K$70:$K$85,MATCH(I76,$K$70:$K$85,-1)+1))-LOG10(INDEX($K$70:$K$85,MATCH(I76,$K$70:$K$85,-1))))
)
)
)</f>
        <v>0.27915342646643082</v>
      </c>
      <c r="N76" s="80">
        <f t="shared" si="29"/>
        <v>5.9996141022053751E-2</v>
      </c>
      <c r="O76" s="49">
        <f t="shared" si="24"/>
        <v>0.2</v>
      </c>
      <c r="P76" s="99">
        <f t="shared" si="25"/>
        <v>0.05</v>
      </c>
      <c r="Q76" s="14">
        <f t="shared" si="27"/>
        <v>1</v>
      </c>
      <c r="R76" s="25"/>
      <c r="S76" s="177">
        <f>MIN(1,POWER(I76/
 CHOOSE(MATCH($D$5,{9.5;12.5;19;25;37.5;50;75},0),
   10,20,20,40,40,80,80),0.5))</f>
        <v>0.35355339059327379</v>
      </c>
      <c r="T76" s="143"/>
      <c r="U76" s="182">
        <f t="shared" si="26"/>
        <v>0.27915342646643082</v>
      </c>
      <c r="V76" s="183"/>
      <c r="W76" s="81">
        <f t="shared" si="28"/>
        <v>5.5353546620755204E-3</v>
      </c>
    </row>
    <row r="77" spans="6:23">
      <c r="I77" s="15">
        <f t="shared" si="20"/>
        <v>0.63</v>
      </c>
      <c r="J77" s="30">
        <f t="shared" si="21"/>
        <v>0.20750000000000002</v>
      </c>
      <c r="K77" s="15">
        <f t="shared" si="22"/>
        <v>9.5</v>
      </c>
      <c r="L77" s="30">
        <f t="shared" si="23"/>
        <v>0.79375940625964458</v>
      </c>
      <c r="M77" s="30" cm="1">
        <f t="array" ref="M77">IF(I77="","",
IF(I77&gt;=MAX($K$70:$K$85),INDEX($L$70:$L$85,1),
IF(I77&lt;=MIN($K$70:$K$85),INDEX($L$70:$L$85,ROWS($K$70:$K$85)),
INDEX($L$70:$L$85,MATCH(I77,$K$70:$K$85,-1))+
(INDEX($L$70:$L$85,MATCH(I77,$K$70:$K$85,-1)+1)-INDEX($L$70:$L$85,MATCH(I77,$K$70:$K$85,-1)))*
(LOG10(I77)-LOG10(INDEX($K$70:$K$85,MATCH(I77,$K$70:$K$85,-1))))/
(LOG10(INDEX($K$70:$K$85,MATCH(I77,$K$70:$K$85,-1)+1))-LOG10(INDEX($K$70:$K$85,MATCH(I77,$K$70:$K$85,-1))))
)
)
)</f>
        <v>0.19336871568502345</v>
      </c>
      <c r="N77" s="80">
        <f t="shared" si="29"/>
        <v>0.11999614102211142</v>
      </c>
      <c r="O77" s="49">
        <f t="shared" si="24"/>
        <v>0.2</v>
      </c>
      <c r="P77" s="99">
        <f t="shared" si="25"/>
        <v>0.05</v>
      </c>
      <c r="Q77" s="14">
        <f t="shared" si="27"/>
        <v>1</v>
      </c>
      <c r="R77" s="25"/>
      <c r="S77" s="177">
        <f>MIN(1,POWER(I77/
 CHOOSE(MATCH($D$5,{9.5;12.5;19;25;37.5;50;75},0),
   10,20,20,40,40,80,80),0.5))</f>
        <v>0.25099800796022265</v>
      </c>
      <c r="T77" s="143"/>
      <c r="U77" s="182">
        <f t="shared" si="26"/>
        <v>0.19336871568502345</v>
      </c>
      <c r="V77" s="183"/>
      <c r="W77" s="81">
        <f t="shared" si="28"/>
        <v>3.3211353281403337E-3</v>
      </c>
    </row>
    <row r="78" spans="6:23">
      <c r="I78" s="15">
        <f t="shared" si="20"/>
        <v>0.315</v>
      </c>
      <c r="J78" s="30">
        <f t="shared" si="21"/>
        <v>0.11</v>
      </c>
      <c r="K78" s="15">
        <f t="shared" si="22"/>
        <v>6.3</v>
      </c>
      <c r="L78" s="30">
        <f t="shared" si="23"/>
        <v>0.60126278286521329</v>
      </c>
      <c r="M78" s="30" cm="1">
        <f t="array" ref="M78">IF(I78="","",
IF(I78&gt;=MAX($K$70:$K$85),INDEX($L$70:$L$85,1),
IF(I78&lt;=MIN($K$70:$K$85),INDEX($L$70:$L$85,ROWS($K$70:$K$85)),
INDEX($L$70:$L$85,MATCH(I78,$K$70:$K$85,-1))+
(INDEX($L$70:$L$85,MATCH(I78,$K$70:$K$85,-1)+1)-INDEX($L$70:$L$85,MATCH(I78,$K$70:$K$85,-1)))*
(LOG10(I78)-LOG10(INDEX($K$70:$K$85,MATCH(I78,$K$70:$K$85,-1))))/
(LOG10(INDEX($K$70:$K$85,MATCH(I78,$K$70:$K$85,-1)+1))-LOG10(INDEX($K$70:$K$85,MATCH(I78,$K$70:$K$85,-1))))
)
)
)</f>
        <v>6.5491126476450098E-2</v>
      </c>
      <c r="N78" s="80">
        <f t="shared" si="29"/>
        <v>0.1924966233944313</v>
      </c>
      <c r="O78" s="49">
        <f t="shared" si="24"/>
        <v>0.2</v>
      </c>
      <c r="P78" s="99">
        <f t="shared" si="25"/>
        <v>0.05</v>
      </c>
      <c r="Q78" s="14">
        <f t="shared" si="27"/>
        <v>1</v>
      </c>
      <c r="R78" s="25"/>
      <c r="S78" s="177">
        <f>MIN(1,POWER(I78/
 CHOOSE(MATCH($D$5,{9.5;12.5;19;25;37.5;50;75},0),
   10,20,20,40,40,80,80),0.5))</f>
        <v>0.17748239349298847</v>
      </c>
      <c r="T78" s="143"/>
      <c r="U78" s="182">
        <f t="shared" si="26"/>
        <v>6.5491126476450098E-2</v>
      </c>
      <c r="V78" s="183"/>
      <c r="W78" s="81">
        <f t="shared" si="28"/>
        <v>1.2542043887969596E-2</v>
      </c>
    </row>
    <row r="79" spans="6:23">
      <c r="I79" s="15">
        <f t="shared" si="20"/>
        <v>0.16</v>
      </c>
      <c r="J79" s="30">
        <f t="shared" si="21"/>
        <v>0.05</v>
      </c>
      <c r="K79" s="15">
        <f t="shared" si="22"/>
        <v>4.75</v>
      </c>
      <c r="L79" s="30">
        <f t="shared" si="23"/>
        <v>0.46376712421533567</v>
      </c>
      <c r="M79" s="30" cm="1">
        <f t="array" ref="M79">IF(I79="","",
IF(I79&gt;=MAX($K$70:$K$85),INDEX($L$70:$L$85,1),
IF(I79&lt;=MIN($K$70:$K$85),INDEX($L$70:$L$85,ROWS($K$70:$K$85)),
INDEX($L$70:$L$85,MATCH(I79,$K$70:$K$85,-1))+
(INDEX($L$70:$L$85,MATCH(I79,$K$70:$K$85,-1)+1)-INDEX($L$70:$L$85,MATCH(I79,$K$70:$K$85,-1)))*
(LOG10(I79)-LOG10(INDEX($K$70:$K$85,MATCH(I79,$K$70:$K$85,-1))))/
(LOG10(INDEX($K$70:$K$85,MATCH(I79,$K$70:$K$85,-1)+1))-LOG10(INDEX($K$70:$K$85,MATCH(I79,$K$70:$K$85,-1))))
)
)
)</f>
        <v>3.3579030867231227E-2</v>
      </c>
      <c r="N79" s="80">
        <f t="shared" si="29"/>
        <v>0.13749565864987762</v>
      </c>
      <c r="O79" s="49">
        <f t="shared" si="24"/>
        <v>0.2</v>
      </c>
      <c r="P79" s="99">
        <f t="shared" si="25"/>
        <v>0.05</v>
      </c>
      <c r="Q79" s="14">
        <f t="shared" si="27"/>
        <v>1</v>
      </c>
      <c r="R79" s="25"/>
      <c r="S79" s="177">
        <f>MIN(1,POWER(I79/
 CHOOSE(MATCH($D$5,{9.5;12.5;19;25;37.5;50;75},0),
   10,20,20,40,40,80,80),0.5))</f>
        <v>0.12649110640673517</v>
      </c>
      <c r="T79" s="143"/>
      <c r="U79" s="182">
        <f t="shared" si="26"/>
        <v>3.3579030867231227E-2</v>
      </c>
      <c r="V79" s="183"/>
      <c r="W79" s="81">
        <f t="shared" si="28"/>
        <v>8.6326537810584858E-3</v>
      </c>
    </row>
    <row r="80" spans="6:23">
      <c r="I80" s="15"/>
      <c r="J80" s="30"/>
      <c r="K80" s="15">
        <f t="shared" si="22"/>
        <v>2.36</v>
      </c>
      <c r="L80" s="30">
        <f t="shared" si="23"/>
        <v>0.39376519472626675</v>
      </c>
      <c r="M80" s="15"/>
      <c r="N80" s="80">
        <f t="shared" si="29"/>
        <v>7.0001929489068915E-2</v>
      </c>
      <c r="O80" s="49">
        <f t="shared" si="24"/>
        <v>0.125</v>
      </c>
      <c r="P80" s="99">
        <f t="shared" si="25"/>
        <v>0</v>
      </c>
      <c r="Q80" s="14">
        <f t="shared" si="27"/>
        <v>1</v>
      </c>
      <c r="R80" s="25"/>
      <c r="U80" s="19"/>
      <c r="V80" s="19"/>
    </row>
    <row r="81" spans="9:28" ht="17">
      <c r="I81" s="15"/>
      <c r="J81" s="30"/>
      <c r="K81" s="15">
        <f t="shared" si="22"/>
        <v>1.18</v>
      </c>
      <c r="L81" s="30">
        <f t="shared" si="23"/>
        <v>0.26876037100364236</v>
      </c>
      <c r="M81" s="15"/>
      <c r="N81" s="80">
        <f t="shared" si="29"/>
        <v>0.12500482372262439</v>
      </c>
      <c r="O81" s="49">
        <f t="shared" si="24"/>
        <v>0.125</v>
      </c>
      <c r="P81" s="99">
        <f t="shared" si="25"/>
        <v>0</v>
      </c>
      <c r="Q81" s="14">
        <f t="shared" si="27"/>
        <v>1</v>
      </c>
      <c r="R81" s="25"/>
      <c r="S81" s="143" t="s">
        <v>68</v>
      </c>
      <c r="T81" s="143"/>
      <c r="U81" s="19"/>
      <c r="V81" s="18" t="s">
        <v>186</v>
      </c>
    </row>
    <row r="82" spans="9:28">
      <c r="I82" s="15"/>
      <c r="J82" s="30"/>
      <c r="K82" s="15">
        <f t="shared" si="22"/>
        <v>0.6</v>
      </c>
      <c r="L82" s="30">
        <f t="shared" si="23"/>
        <v>0.18750723558393653</v>
      </c>
      <c r="M82" s="15"/>
      <c r="N82" s="80">
        <f t="shared" si="29"/>
        <v>8.125313541970583E-2</v>
      </c>
      <c r="O82" s="49">
        <f t="shared" si="24"/>
        <v>0.2</v>
      </c>
      <c r="P82" s="99">
        <f t="shared" si="25"/>
        <v>0.05</v>
      </c>
      <c r="Q82" s="14">
        <f t="shared" si="27"/>
        <v>1</v>
      </c>
      <c r="R82" s="25"/>
      <c r="S82" s="193">
        <f>SUM(W70:W79)</f>
        <v>0.12205140047651675</v>
      </c>
      <c r="T82" s="193"/>
      <c r="U82" s="19"/>
      <c r="V82" s="109">
        <f>MIN($S$82)</f>
        <v>0.12205140047651675</v>
      </c>
    </row>
    <row r="83" spans="9:28">
      <c r="I83" s="15"/>
      <c r="J83" s="30"/>
      <c r="K83" s="15">
        <f t="shared" si="22"/>
        <v>0.3</v>
      </c>
      <c r="L83" s="30">
        <f t="shared" si="23"/>
        <v>5.6252170675180936E-2</v>
      </c>
      <c r="M83" s="15"/>
      <c r="N83" s="80">
        <f t="shared" si="29"/>
        <v>0.1312550649087556</v>
      </c>
      <c r="O83" s="49">
        <f t="shared" si="24"/>
        <v>0.2</v>
      </c>
      <c r="P83" s="99">
        <f t="shared" si="25"/>
        <v>0.05</v>
      </c>
      <c r="Q83" s="14">
        <f t="shared" si="27"/>
        <v>1</v>
      </c>
      <c r="R83" s="25"/>
      <c r="U83" s="19"/>
      <c r="V83" s="18">
        <f>COUNT($E$31:$E$33)</f>
        <v>3</v>
      </c>
    </row>
    <row r="84" spans="9:28">
      <c r="I84" s="15"/>
      <c r="J84" s="15"/>
      <c r="K84" s="15">
        <f t="shared" si="22"/>
        <v>0.15</v>
      </c>
      <c r="L84" s="30">
        <f t="shared" si="23"/>
        <v>3.1251205930656091E-2</v>
      </c>
      <c r="M84" s="15"/>
      <c r="N84" s="80">
        <f t="shared" si="29"/>
        <v>2.5000964744524845E-2</v>
      </c>
      <c r="O84" s="49">
        <f t="shared" si="24"/>
        <v>0.1</v>
      </c>
      <c r="P84" s="99">
        <f t="shared" si="25"/>
        <v>0</v>
      </c>
      <c r="Q84" s="14">
        <f t="shared" si="27"/>
        <v>1</v>
      </c>
      <c r="R84" s="25"/>
      <c r="U84" s="19"/>
      <c r="V84" s="18" t="b">
        <f>$E$35=$E$34</f>
        <v>0</v>
      </c>
    </row>
    <row r="85" spans="9:28">
      <c r="V85" s="14" t="b">
        <f t="array" ref="V85">$Q$70:$Q$84=1</f>
        <v>1</v>
      </c>
    </row>
    <row r="86" spans="9:28">
      <c r="V86" s="14">
        <f>{32767;32767;0.000001;1;FALSE;FALSE;TRUE;1;1;1;"""""""""""""""""""""""""""""""0,0001""""""""""""""""""""""""""""""";TRUE}</f>
        <v>32767</v>
      </c>
    </row>
    <row r="87" spans="9:28">
      <c r="I87" s="179" t="s">
        <v>181</v>
      </c>
      <c r="J87" s="159"/>
      <c r="K87" s="160"/>
      <c r="M87" s="179" t="s">
        <v>182</v>
      </c>
      <c r="N87" s="184"/>
      <c r="O87" s="184"/>
      <c r="P87" s="184"/>
      <c r="Q87" s="184"/>
      <c r="R87" s="184"/>
      <c r="S87" s="184"/>
      <c r="T87" s="185"/>
      <c r="V87" s="14">
        <f>{0;0;0;100;0;FALSE;TRUE;"""""""""""""""""""""""""""""""0,075""""""""""""""""""""""""""""""";0;0;FALSE;30}</f>
        <v>0</v>
      </c>
      <c r="Y87" s="161" t="s">
        <v>197</v>
      </c>
      <c r="Z87" s="143"/>
      <c r="AA87" s="143"/>
      <c r="AB87" s="143"/>
    </row>
    <row r="88" spans="9:28" ht="34">
      <c r="I88" s="14" t="s">
        <v>92</v>
      </c>
      <c r="J88" s="116">
        <f>(J90/G21)+(J89/1000) +((J91*E31)/D21)+((J91*E32)/E21)+((J91*E33)/F21)+C61</f>
        <v>0.99999999999999989</v>
      </c>
      <c r="K88" s="14" t="s">
        <v>93</v>
      </c>
      <c r="M88" s="96" t="s">
        <v>97</v>
      </c>
      <c r="N88" s="120" t="s">
        <v>98</v>
      </c>
      <c r="O88" s="120" t="s">
        <v>104</v>
      </c>
      <c r="P88" s="120" t="s">
        <v>99</v>
      </c>
      <c r="Q88" s="120" t="s">
        <v>105</v>
      </c>
      <c r="R88" s="120" t="s">
        <v>106</v>
      </c>
      <c r="S88" s="120" t="s">
        <v>109</v>
      </c>
      <c r="T88" s="120" t="s">
        <v>107</v>
      </c>
      <c r="U88" s="19"/>
      <c r="V88" s="19"/>
      <c r="Y88" s="14"/>
      <c r="Z88" s="14" t="s">
        <v>193</v>
      </c>
      <c r="AA88" s="14" t="s">
        <v>194</v>
      </c>
      <c r="AB88" s="14" t="s">
        <v>195</v>
      </c>
    </row>
    <row r="89" spans="9:28">
      <c r="I89" s="14" t="s">
        <v>94</v>
      </c>
      <c r="J89" s="14">
        <f>C59*0.593276</f>
        <v>192.81470000000002</v>
      </c>
      <c r="K89" s="14" t="s">
        <v>95</v>
      </c>
      <c r="M89" s="70" t="s">
        <v>100</v>
      </c>
      <c r="N89" s="38">
        <f>J90</f>
        <v>309.99429875200104</v>
      </c>
      <c r="O89" s="38"/>
      <c r="P89" s="38" t="s">
        <v>64</v>
      </c>
      <c r="Q89" s="38"/>
      <c r="R89" s="38"/>
      <c r="S89" s="39"/>
      <c r="T89" s="71">
        <f>N89</f>
        <v>309.99429875200104</v>
      </c>
      <c r="V89" s="14" t="s">
        <v>187</v>
      </c>
      <c r="W89" s="14">
        <f>T95</f>
        <v>2368.8398960074355</v>
      </c>
      <c r="Y89" s="14" t="s">
        <v>100</v>
      </c>
      <c r="Z89" s="14">
        <f>T89</f>
        <v>309.99429875200104</v>
      </c>
      <c r="AA89" s="14">
        <f>Z89*$W$91</f>
        <v>307.52884705084176</v>
      </c>
      <c r="AB89" s="14">
        <f>Z89</f>
        <v>309.99429875200104</v>
      </c>
    </row>
    <row r="90" spans="9:28">
      <c r="I90" s="14" t="s">
        <v>90</v>
      </c>
      <c r="J90" s="14">
        <f>C60*0.593276</f>
        <v>309.99429875200104</v>
      </c>
      <c r="K90" s="14" t="s">
        <v>95</v>
      </c>
      <c r="M90" s="72" t="s">
        <v>101</v>
      </c>
      <c r="N90" s="13">
        <f>J89</f>
        <v>192.81470000000002</v>
      </c>
      <c r="P90" s="13" t="s">
        <v>64</v>
      </c>
      <c r="Q90" s="13">
        <f>P91+N90</f>
        <v>214.94154858405656</v>
      </c>
      <c r="S90" s="13">
        <f>-P91</f>
        <v>-22.126848584056539</v>
      </c>
      <c r="T90" s="73">
        <f>Q90+S91</f>
        <v>97.393110205329009</v>
      </c>
      <c r="V90" s="14" t="s">
        <v>196</v>
      </c>
      <c r="W90" s="14">
        <f>2350</f>
        <v>2350</v>
      </c>
      <c r="Y90" s="14" t="s">
        <v>190</v>
      </c>
      <c r="Z90" s="110">
        <f>T90</f>
        <v>97.393110205329009</v>
      </c>
      <c r="AA90" s="14">
        <f t="shared" ref="AA90:AA92" si="30">Z90*$W$91</f>
        <v>96.618521736432612</v>
      </c>
      <c r="AB90" s="110">
        <f>Z90</f>
        <v>97.393110205329009</v>
      </c>
    </row>
    <row r="91" spans="9:28">
      <c r="I91" s="66" t="s">
        <v>96</v>
      </c>
      <c r="J91" s="66">
        <v>1866.0308972536463</v>
      </c>
      <c r="K91" s="66" t="s">
        <v>95</v>
      </c>
      <c r="M91" s="72" t="s">
        <v>102</v>
      </c>
      <c r="N91" s="13" t="s">
        <v>64</v>
      </c>
      <c r="P91" s="119">
        <f>-SUM(P92:P95)</f>
        <v>22.126848584056539</v>
      </c>
      <c r="Q91" s="119"/>
      <c r="R91" s="119"/>
      <c r="S91" s="118">
        <f>-SUM(S92:S94)</f>
        <v>-117.54843837872755</v>
      </c>
      <c r="T91" s="74"/>
      <c r="V91" s="14" t="s">
        <v>189</v>
      </c>
      <c r="W91" s="14">
        <f>W90/W89</f>
        <v>0.99204678372768496</v>
      </c>
      <c r="Y91" s="14" t="s">
        <v>191</v>
      </c>
      <c r="Z91" s="110">
        <f>SUM(T92:T94)</f>
        <v>1961.4524870501057</v>
      </c>
      <c r="AA91" s="14">
        <f t="shared" si="30"/>
        <v>1945.852631212726</v>
      </c>
      <c r="AB91" s="112">
        <f>AB92-AB90-AB89</f>
        <v>1942.6125910426701</v>
      </c>
    </row>
    <row r="92" spans="9:28">
      <c r="I92" s="14" t="str">
        <f>I62</f>
        <v>Grava 2</v>
      </c>
      <c r="J92" s="14">
        <f>$J$91*E31</f>
        <v>0</v>
      </c>
      <c r="K92" s="14" t="s">
        <v>95</v>
      </c>
      <c r="M92" s="72" t="str">
        <f>I92</f>
        <v>Grava 2</v>
      </c>
      <c r="N92" s="13">
        <f>J92</f>
        <v>0</v>
      </c>
      <c r="O92" s="117">
        <f>O62</f>
        <v>1.2E-2</v>
      </c>
      <c r="P92" s="13">
        <f>-(N92*O92)/(O92+1)</f>
        <v>0</v>
      </c>
      <c r="Q92" s="117">
        <f>Q62</f>
        <v>0.05</v>
      </c>
      <c r="R92" s="118">
        <f>N92/(O92+1)</f>
        <v>0</v>
      </c>
      <c r="S92" s="118">
        <f>R92*Q92</f>
        <v>0</v>
      </c>
      <c r="T92" s="73">
        <f>R92+S92</f>
        <v>0</v>
      </c>
      <c r="Y92" s="14" t="s">
        <v>192</v>
      </c>
      <c r="Z92" s="14">
        <f>T95</f>
        <v>2368.8398960074355</v>
      </c>
      <c r="AA92" s="14">
        <f t="shared" si="30"/>
        <v>2350</v>
      </c>
      <c r="AB92" s="14">
        <f>AA92</f>
        <v>2350</v>
      </c>
    </row>
    <row r="93" spans="9:28">
      <c r="I93" s="14" t="str">
        <f t="shared" ref="I93:I94" si="31">I63</f>
        <v>Gravilla 1</v>
      </c>
      <c r="J93" s="14">
        <f>$J$91*E32</f>
        <v>699.71658039462136</v>
      </c>
      <c r="K93" s="14" t="s">
        <v>95</v>
      </c>
      <c r="M93" s="72" t="str">
        <f t="shared" ref="M93:M94" si="32">I93</f>
        <v>Gravilla 1</v>
      </c>
      <c r="N93" s="13">
        <f>J93</f>
        <v>699.71658039462136</v>
      </c>
      <c r="O93" s="117">
        <f>O63</f>
        <v>1.2E-2</v>
      </c>
      <c r="P93" s="13">
        <f t="shared" ref="P93:P94" si="33">-(N93*O93)/(O93+1)</f>
        <v>-8.2970345501338514</v>
      </c>
      <c r="Q93" s="117">
        <f>Q63</f>
        <v>7.0000000000000007E-2</v>
      </c>
      <c r="R93" s="118">
        <f t="shared" ref="R93:R94" si="34">N93/(O93+1)</f>
        <v>691.41954584448752</v>
      </c>
      <c r="S93" s="118">
        <f>R93*Q93</f>
        <v>48.39936820911413</v>
      </c>
      <c r="T93" s="73">
        <f t="shared" ref="T93:T94" si="35">R93+S93</f>
        <v>739.8189140536017</v>
      </c>
    </row>
    <row r="94" spans="9:28">
      <c r="I94" s="14" t="str">
        <f t="shared" si="31"/>
        <v>Arena 1</v>
      </c>
      <c r="J94" s="14">
        <f>$J$91*E33</f>
        <v>1166.3143168608133</v>
      </c>
      <c r="K94" s="14" t="s">
        <v>95</v>
      </c>
      <c r="M94" s="72" t="str">
        <f t="shared" si="32"/>
        <v>Arena 1</v>
      </c>
      <c r="N94" s="13">
        <f>J94</f>
        <v>1166.3143168608133</v>
      </c>
      <c r="O94" s="117">
        <f>O64</f>
        <v>1.2E-2</v>
      </c>
      <c r="P94" s="13">
        <f t="shared" si="33"/>
        <v>-13.829814033922688</v>
      </c>
      <c r="Q94" s="117">
        <f>Q64</f>
        <v>0.06</v>
      </c>
      <c r="R94" s="118">
        <f t="shared" si="34"/>
        <v>1152.4845028268905</v>
      </c>
      <c r="S94" s="118">
        <f t="shared" ref="S94" si="36">R94*Q94</f>
        <v>69.149070169613424</v>
      </c>
      <c r="T94" s="73">
        <f t="shared" si="35"/>
        <v>1221.633572996504</v>
      </c>
    </row>
    <row r="95" spans="9:28">
      <c r="M95" s="72" t="s">
        <v>103</v>
      </c>
      <c r="N95" s="13">
        <f>J89+J90+J92+J93+J94</f>
        <v>2368.8398960074355</v>
      </c>
      <c r="P95" s="13" t="s">
        <v>64</v>
      </c>
      <c r="R95" s="117"/>
      <c r="S95" s="118">
        <f>-S89</f>
        <v>0</v>
      </c>
      <c r="T95" s="74">
        <f>SUM(T89:T94)</f>
        <v>2368.8398960074355</v>
      </c>
    </row>
    <row r="96" spans="9:28">
      <c r="M96" s="75" t="s">
        <v>200</v>
      </c>
      <c r="N96" s="76">
        <f>C61</f>
        <v>1.4999999999999999E-2</v>
      </c>
      <c r="O96" s="37"/>
      <c r="P96" s="37"/>
      <c r="Q96" s="37"/>
      <c r="R96" s="37"/>
      <c r="S96" s="76"/>
      <c r="T96" s="122">
        <f>N96</f>
        <v>1.4999999999999999E-2</v>
      </c>
    </row>
  </sheetData>
  <mergeCells count="106">
    <mergeCell ref="Y87:AB87"/>
    <mergeCell ref="Y57:AB57"/>
    <mergeCell ref="S82:T82"/>
    <mergeCell ref="I87:K87"/>
    <mergeCell ref="M87:T87"/>
    <mergeCell ref="E13:G13"/>
    <mergeCell ref="AG2:AH2"/>
    <mergeCell ref="S78:T78"/>
    <mergeCell ref="U78:V78"/>
    <mergeCell ref="S79:T79"/>
    <mergeCell ref="U79:V79"/>
    <mergeCell ref="S81:T81"/>
    <mergeCell ref="S75:T75"/>
    <mergeCell ref="U75:V75"/>
    <mergeCell ref="S76:T76"/>
    <mergeCell ref="U76:V76"/>
    <mergeCell ref="S77:T77"/>
    <mergeCell ref="U77:V77"/>
    <mergeCell ref="S72:T72"/>
    <mergeCell ref="U72:V72"/>
    <mergeCell ref="S73:T73"/>
    <mergeCell ref="U73:V73"/>
    <mergeCell ref="S74:T74"/>
    <mergeCell ref="U74:V74"/>
    <mergeCell ref="S69:T69"/>
    <mergeCell ref="U69:V69"/>
    <mergeCell ref="S71:T71"/>
    <mergeCell ref="U71:V71"/>
    <mergeCell ref="I68:M68"/>
    <mergeCell ref="S68:V68"/>
    <mergeCell ref="B44:D45"/>
    <mergeCell ref="S40:T40"/>
    <mergeCell ref="U40:V40"/>
    <mergeCell ref="S41:T41"/>
    <mergeCell ref="U44:V44"/>
    <mergeCell ref="U70:V70"/>
    <mergeCell ref="S52:T52"/>
    <mergeCell ref="B54:D54"/>
    <mergeCell ref="M57:T57"/>
    <mergeCell ref="B62:D62"/>
    <mergeCell ref="B49:D49"/>
    <mergeCell ref="S51:T51"/>
    <mergeCell ref="I57:K57"/>
    <mergeCell ref="S70:T70"/>
    <mergeCell ref="S49:T49"/>
    <mergeCell ref="U49:V49"/>
    <mergeCell ref="S45:T45"/>
    <mergeCell ref="U45:V45"/>
    <mergeCell ref="C34:D34"/>
    <mergeCell ref="C35:D35"/>
    <mergeCell ref="B37:D37"/>
    <mergeCell ref="C26:D26"/>
    <mergeCell ref="C27:D27"/>
    <mergeCell ref="C28:D28"/>
    <mergeCell ref="C30:D30"/>
    <mergeCell ref="AA24:AD24"/>
    <mergeCell ref="S48:T48"/>
    <mergeCell ref="U48:V48"/>
    <mergeCell ref="U41:V41"/>
    <mergeCell ref="I38:M38"/>
    <mergeCell ref="S38:V38"/>
    <mergeCell ref="S39:T39"/>
    <mergeCell ref="U39:V39"/>
    <mergeCell ref="S46:T46"/>
    <mergeCell ref="U46:V46"/>
    <mergeCell ref="S47:T47"/>
    <mergeCell ref="U47:V47"/>
    <mergeCell ref="S42:T42"/>
    <mergeCell ref="U42:V42"/>
    <mergeCell ref="S43:T43"/>
    <mergeCell ref="U43:V43"/>
    <mergeCell ref="S44:T44"/>
    <mergeCell ref="B22:C22"/>
    <mergeCell ref="B23:C23"/>
    <mergeCell ref="E11:G11"/>
    <mergeCell ref="E12:G12"/>
    <mergeCell ref="I20:J20"/>
    <mergeCell ref="C31:D31"/>
    <mergeCell ref="C32:D32"/>
    <mergeCell ref="C33:D33"/>
    <mergeCell ref="C25:D25"/>
    <mergeCell ref="I21:J21"/>
    <mergeCell ref="I24:Y24"/>
    <mergeCell ref="B18:C18"/>
    <mergeCell ref="B19:C19"/>
    <mergeCell ref="B20:C20"/>
    <mergeCell ref="B21:C21"/>
    <mergeCell ref="D15:F15"/>
    <mergeCell ref="X1:AD1"/>
    <mergeCell ref="Q2:S2"/>
    <mergeCell ref="B3:B12"/>
    <mergeCell ref="I3:J3"/>
    <mergeCell ref="K3:L3"/>
    <mergeCell ref="N3:O3"/>
    <mergeCell ref="Q3:R3"/>
    <mergeCell ref="E3:G3"/>
    <mergeCell ref="E4:G4"/>
    <mergeCell ref="E2:G2"/>
    <mergeCell ref="E6:G6"/>
    <mergeCell ref="E7:G7"/>
    <mergeCell ref="E8:G8"/>
    <mergeCell ref="E9:G9"/>
    <mergeCell ref="E10:G10"/>
    <mergeCell ref="K2:M2"/>
    <mergeCell ref="N2:P2"/>
    <mergeCell ref="E5:G5"/>
  </mergeCells>
  <conditionalFormatting sqref="Q40:Q54">
    <cfRule type="colorScale" priority="2">
      <colorScale>
        <cfvo type="min"/>
        <cfvo type="max"/>
        <color theme="5" tint="0.59999389629810485"/>
        <color theme="9" tint="0.59999389629810485"/>
      </colorScale>
    </cfRule>
    <cfRule type="colorScale" priority="4">
      <colorScale>
        <cfvo type="min"/>
        <cfvo type="max"/>
        <color rgb="FFFF0000"/>
        <color rgb="FF00B050"/>
      </colorScale>
    </cfRule>
  </conditionalFormatting>
  <conditionalFormatting sqref="Q70:Q84">
    <cfRule type="colorScale" priority="1">
      <colorScale>
        <cfvo type="min"/>
        <cfvo type="max"/>
        <color theme="5" tint="0.59999389629810485"/>
        <color theme="9" tint="0.59999389629810485"/>
      </colorScale>
    </cfRule>
    <cfRule type="colorScale" priority="3">
      <colorScale>
        <cfvo type="min"/>
        <cfvo type="max"/>
        <color rgb="FFFF0000"/>
        <color rgb="FF00B050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F192-B2CD-6D45-A645-CE094576B461}">
  <sheetPr codeName="Hoja2"/>
  <dimension ref="A1"/>
  <sheetViews>
    <sheetView zoomScale="83" zoomScaleNormal="100" workbookViewId="0">
      <selection activeCell="P26" sqref="P26"/>
    </sheetView>
  </sheetViews>
  <sheetFormatPr baseColWidth="10" defaultRowHeight="16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7B78-82D9-7E46-B84D-5DA96C4FC061}">
  <sheetPr codeName="Hoja3"/>
  <dimension ref="A1:W1000"/>
  <sheetViews>
    <sheetView topLeftCell="L2" workbookViewId="0">
      <selection activeCell="Q15" sqref="Q15"/>
    </sheetView>
  </sheetViews>
  <sheetFormatPr baseColWidth="10" defaultColWidth="12.6640625" defaultRowHeight="16"/>
  <cols>
    <col min="1" max="1" width="5.1640625" customWidth="1"/>
  </cols>
  <sheetData>
    <row r="1" spans="1:23" ht="15.7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</row>
    <row r="2" spans="1:23" ht="15.75" customHeight="1">
      <c r="A2" s="123"/>
      <c r="B2" s="124"/>
      <c r="C2" s="124"/>
      <c r="D2" s="198" t="s">
        <v>201</v>
      </c>
      <c r="E2" s="196"/>
      <c r="F2" s="194"/>
      <c r="G2" s="157" t="s">
        <v>1</v>
      </c>
      <c r="H2" s="196"/>
      <c r="I2" s="194"/>
      <c r="J2" s="157" t="s">
        <v>202</v>
      </c>
      <c r="K2" s="196"/>
      <c r="L2" s="194"/>
      <c r="M2" s="157" t="s">
        <v>203</v>
      </c>
      <c r="N2" s="196"/>
      <c r="O2" s="194"/>
    </row>
    <row r="3" spans="1:23" ht="15.75" customHeight="1">
      <c r="A3" s="123"/>
      <c r="B3" s="198" t="s">
        <v>6</v>
      </c>
      <c r="C3" s="194"/>
      <c r="D3" s="198" t="s">
        <v>7</v>
      </c>
      <c r="E3" s="194"/>
      <c r="F3" s="125" t="s">
        <v>8</v>
      </c>
      <c r="G3" s="157" t="s">
        <v>7</v>
      </c>
      <c r="H3" s="194"/>
      <c r="I3" s="125" t="s">
        <v>8</v>
      </c>
      <c r="J3" s="157" t="s">
        <v>7</v>
      </c>
      <c r="K3" s="194"/>
      <c r="L3" s="125" t="s">
        <v>8</v>
      </c>
      <c r="M3" s="157" t="s">
        <v>7</v>
      </c>
      <c r="N3" s="194"/>
      <c r="O3" s="125" t="s">
        <v>8</v>
      </c>
    </row>
    <row r="4" spans="1:23" ht="15.75" customHeight="1">
      <c r="A4" s="123"/>
      <c r="B4" s="126" t="s">
        <v>10</v>
      </c>
      <c r="C4" s="127" t="s">
        <v>11</v>
      </c>
      <c r="D4" s="126" t="s">
        <v>12</v>
      </c>
      <c r="E4" s="125" t="s">
        <v>13</v>
      </c>
      <c r="F4" s="125" t="s">
        <v>13</v>
      </c>
      <c r="G4" s="125" t="s">
        <v>12</v>
      </c>
      <c r="H4" s="125" t="s">
        <v>13</v>
      </c>
      <c r="I4" s="125" t="s">
        <v>13</v>
      </c>
      <c r="J4" s="125" t="s">
        <v>12</v>
      </c>
      <c r="K4" s="125" t="s">
        <v>13</v>
      </c>
      <c r="L4" s="125" t="s">
        <v>13</v>
      </c>
      <c r="M4" s="125" t="s">
        <v>12</v>
      </c>
      <c r="N4" s="125" t="s">
        <v>13</v>
      </c>
      <c r="O4" s="125" t="s">
        <v>13</v>
      </c>
    </row>
    <row r="5" spans="1:23" ht="15.75" customHeight="1">
      <c r="A5" s="123"/>
      <c r="B5" s="1">
        <v>75</v>
      </c>
      <c r="C5" s="2" t="s">
        <v>15</v>
      </c>
      <c r="D5" s="3">
        <v>0</v>
      </c>
      <c r="E5" s="4">
        <v>0</v>
      </c>
      <c r="F5" s="4">
        <v>1</v>
      </c>
      <c r="G5" s="5">
        <v>0</v>
      </c>
      <c r="H5" s="4">
        <v>0</v>
      </c>
      <c r="I5" s="4">
        <v>1</v>
      </c>
      <c r="J5" s="5">
        <v>0</v>
      </c>
      <c r="K5" s="4">
        <v>0</v>
      </c>
      <c r="L5" s="4">
        <v>1</v>
      </c>
      <c r="M5" s="5">
        <v>0</v>
      </c>
      <c r="N5" s="4">
        <v>0</v>
      </c>
      <c r="O5" s="4">
        <v>1</v>
      </c>
      <c r="P5" s="123"/>
      <c r="Q5" s="123"/>
      <c r="R5" s="123"/>
      <c r="S5" s="123"/>
      <c r="T5" s="123"/>
      <c r="U5" s="123"/>
      <c r="V5" s="123"/>
      <c r="W5" s="123"/>
    </row>
    <row r="6" spans="1:23" ht="15.75" customHeight="1">
      <c r="A6" s="123"/>
      <c r="B6" s="1">
        <v>63</v>
      </c>
      <c r="C6" s="2" t="s">
        <v>18</v>
      </c>
      <c r="D6" s="3">
        <v>0</v>
      </c>
      <c r="E6" s="4">
        <v>0</v>
      </c>
      <c r="F6" s="4">
        <v>1</v>
      </c>
      <c r="G6" s="5">
        <v>0</v>
      </c>
      <c r="H6" s="4">
        <v>0</v>
      </c>
      <c r="I6" s="4">
        <v>1</v>
      </c>
      <c r="J6" s="5">
        <v>0</v>
      </c>
      <c r="K6" s="4">
        <v>0</v>
      </c>
      <c r="L6" s="4">
        <v>1</v>
      </c>
      <c r="M6" s="5">
        <v>0</v>
      </c>
      <c r="N6" s="4">
        <v>0</v>
      </c>
      <c r="O6" s="4">
        <v>1</v>
      </c>
      <c r="P6" s="123"/>
      <c r="Q6" s="123"/>
      <c r="R6" s="123"/>
      <c r="S6" s="123"/>
      <c r="T6" s="123"/>
      <c r="U6" s="123"/>
      <c r="V6" s="123"/>
      <c r="W6" s="123"/>
    </row>
    <row r="7" spans="1:23" ht="15.75" customHeight="1">
      <c r="A7" s="123"/>
      <c r="B7" s="1">
        <v>50</v>
      </c>
      <c r="C7" s="2" t="s">
        <v>21</v>
      </c>
      <c r="D7" s="3">
        <v>0</v>
      </c>
      <c r="E7" s="4">
        <v>0</v>
      </c>
      <c r="F7" s="4">
        <v>1</v>
      </c>
      <c r="G7" s="5">
        <v>0</v>
      </c>
      <c r="H7" s="4">
        <v>0</v>
      </c>
      <c r="I7" s="4">
        <v>1</v>
      </c>
      <c r="J7" s="5">
        <v>0</v>
      </c>
      <c r="K7" s="4">
        <v>0</v>
      </c>
      <c r="L7" s="4">
        <v>1</v>
      </c>
      <c r="M7" s="5">
        <v>0</v>
      </c>
      <c r="N7" s="4">
        <v>0</v>
      </c>
      <c r="O7" s="4">
        <v>1</v>
      </c>
      <c r="P7" s="123"/>
      <c r="Q7" s="123"/>
      <c r="R7" s="123"/>
      <c r="S7" s="123"/>
      <c r="T7" s="123"/>
      <c r="U7" s="123"/>
      <c r="V7" s="123"/>
      <c r="W7" s="123"/>
    </row>
    <row r="8" spans="1:23" ht="15.75" customHeight="1">
      <c r="A8" s="123"/>
      <c r="B8" s="1" t="s">
        <v>204</v>
      </c>
      <c r="C8" s="2" t="s">
        <v>24</v>
      </c>
      <c r="D8" s="3">
        <v>0</v>
      </c>
      <c r="E8" s="4">
        <v>0</v>
      </c>
      <c r="F8" s="4">
        <v>1</v>
      </c>
      <c r="G8" s="5">
        <v>0</v>
      </c>
      <c r="H8" s="4">
        <v>0</v>
      </c>
      <c r="I8" s="4">
        <v>1</v>
      </c>
      <c r="J8" s="5">
        <v>0</v>
      </c>
      <c r="K8" s="4">
        <v>0</v>
      </c>
      <c r="L8" s="4">
        <v>1</v>
      </c>
      <c r="M8" s="5">
        <v>0</v>
      </c>
      <c r="N8" s="4">
        <v>0</v>
      </c>
      <c r="O8" s="4">
        <v>1</v>
      </c>
      <c r="P8" s="123"/>
      <c r="Q8" s="123"/>
      <c r="R8" s="123"/>
      <c r="S8" s="123"/>
      <c r="T8" s="123"/>
      <c r="U8" s="123"/>
      <c r="V8" s="123"/>
      <c r="W8" s="123"/>
    </row>
    <row r="9" spans="1:23" ht="15.75" customHeight="1">
      <c r="A9" s="123"/>
      <c r="B9" s="1">
        <v>25</v>
      </c>
      <c r="C9" s="2" t="s">
        <v>27</v>
      </c>
      <c r="D9" s="3">
        <v>0</v>
      </c>
      <c r="E9" s="4">
        <v>0</v>
      </c>
      <c r="F9" s="4">
        <v>1</v>
      </c>
      <c r="G9" s="5">
        <v>0</v>
      </c>
      <c r="H9" s="4">
        <v>0</v>
      </c>
      <c r="I9" s="4">
        <v>1</v>
      </c>
      <c r="J9" s="5">
        <v>0</v>
      </c>
      <c r="K9" s="4">
        <v>0</v>
      </c>
      <c r="L9" s="4">
        <v>1</v>
      </c>
      <c r="M9" s="5">
        <v>0</v>
      </c>
      <c r="N9" s="4">
        <v>0</v>
      </c>
      <c r="O9" s="4">
        <v>1</v>
      </c>
      <c r="P9" s="123"/>
      <c r="Q9" s="124"/>
      <c r="R9" s="124"/>
      <c r="S9" s="128" t="s">
        <v>201</v>
      </c>
      <c r="T9" s="7" t="s">
        <v>1</v>
      </c>
      <c r="U9" s="7" t="s">
        <v>202</v>
      </c>
      <c r="V9" s="7" t="s">
        <v>203</v>
      </c>
      <c r="W9" s="123"/>
    </row>
    <row r="10" spans="1:23" ht="15.75" customHeight="1">
      <c r="A10" s="123"/>
      <c r="B10" s="1">
        <v>19</v>
      </c>
      <c r="C10" s="2" t="s">
        <v>29</v>
      </c>
      <c r="D10" s="3">
        <v>70</v>
      </c>
      <c r="E10" s="4">
        <v>7.0000000000000007E-2</v>
      </c>
      <c r="F10" s="4">
        <f t="shared" ref="F10:F18" si="0">F9-E10</f>
        <v>0.92999999999999994</v>
      </c>
      <c r="G10" s="5">
        <v>50</v>
      </c>
      <c r="H10" s="4">
        <v>0.05</v>
      </c>
      <c r="I10" s="4">
        <f t="shared" ref="I10:I18" si="1">I9-H10</f>
        <v>0.95</v>
      </c>
      <c r="J10" s="5">
        <v>60</v>
      </c>
      <c r="K10" s="4">
        <v>0.06</v>
      </c>
      <c r="L10" s="4">
        <f t="shared" ref="L10:L16" si="2">L9-K10</f>
        <v>0.94</v>
      </c>
      <c r="M10" s="5">
        <v>30</v>
      </c>
      <c r="N10" s="4">
        <v>0.03</v>
      </c>
      <c r="O10" s="4">
        <f t="shared" ref="O10:O16" si="3">O9-N10</f>
        <v>0.97</v>
      </c>
      <c r="P10" s="123"/>
      <c r="Q10" s="164" t="s">
        <v>37</v>
      </c>
      <c r="R10" s="194"/>
      <c r="S10" s="129">
        <v>1.2E-2</v>
      </c>
      <c r="T10" s="130">
        <v>1.2E-2</v>
      </c>
      <c r="U10" s="130">
        <v>1.2E-2</v>
      </c>
      <c r="V10" s="130">
        <v>1.2E-2</v>
      </c>
      <c r="W10" s="123"/>
    </row>
    <row r="11" spans="1:23" ht="15.75" customHeight="1">
      <c r="A11" s="123"/>
      <c r="B11" s="131">
        <v>45424</v>
      </c>
      <c r="C11" s="2" t="s">
        <v>31</v>
      </c>
      <c r="D11" s="3">
        <v>160</v>
      </c>
      <c r="E11" s="4">
        <v>0.16</v>
      </c>
      <c r="F11" s="4">
        <f t="shared" si="0"/>
        <v>0.76999999999999991</v>
      </c>
      <c r="G11" s="5">
        <v>350</v>
      </c>
      <c r="H11" s="4">
        <v>0.35</v>
      </c>
      <c r="I11" s="4">
        <f t="shared" si="1"/>
        <v>0.6</v>
      </c>
      <c r="J11" s="5">
        <v>410</v>
      </c>
      <c r="K11" s="4">
        <v>0.41</v>
      </c>
      <c r="L11" s="4">
        <f t="shared" si="2"/>
        <v>0.53</v>
      </c>
      <c r="M11" s="5">
        <v>320</v>
      </c>
      <c r="N11" s="4">
        <v>0.32</v>
      </c>
      <c r="O11" s="4">
        <f t="shared" si="3"/>
        <v>0.64999999999999991</v>
      </c>
      <c r="P11" s="123"/>
      <c r="Q11" s="164" t="s">
        <v>39</v>
      </c>
      <c r="R11" s="194"/>
      <c r="S11" s="129">
        <v>7.0000000000000007E-2</v>
      </c>
      <c r="T11" s="130">
        <v>0.08</v>
      </c>
      <c r="U11" s="130">
        <v>0.06</v>
      </c>
      <c r="V11" s="130">
        <v>0.05</v>
      </c>
      <c r="W11" s="123"/>
    </row>
    <row r="12" spans="1:23" ht="15.75" customHeight="1">
      <c r="A12" s="123"/>
      <c r="B12" s="131">
        <v>45421</v>
      </c>
      <c r="C12" s="2" t="s">
        <v>33</v>
      </c>
      <c r="D12" s="3">
        <v>220</v>
      </c>
      <c r="E12" s="4">
        <v>0.22</v>
      </c>
      <c r="F12" s="4">
        <f t="shared" si="0"/>
        <v>0.54999999999999993</v>
      </c>
      <c r="G12" s="5">
        <v>120</v>
      </c>
      <c r="H12" s="4">
        <v>0.12</v>
      </c>
      <c r="I12" s="4">
        <f t="shared" si="1"/>
        <v>0.48</v>
      </c>
      <c r="J12" s="5">
        <v>160</v>
      </c>
      <c r="K12" s="4">
        <v>0.16</v>
      </c>
      <c r="L12" s="4">
        <f t="shared" si="2"/>
        <v>0.37</v>
      </c>
      <c r="M12" s="5">
        <v>120</v>
      </c>
      <c r="N12" s="4">
        <v>0.12</v>
      </c>
      <c r="O12" s="4">
        <f t="shared" si="3"/>
        <v>0.52999999999999992</v>
      </c>
      <c r="P12" s="123"/>
      <c r="Q12" s="164" t="s">
        <v>137</v>
      </c>
      <c r="R12" s="194"/>
      <c r="S12" s="3">
        <v>2.8</v>
      </c>
      <c r="T12" s="5">
        <v>2.8</v>
      </c>
      <c r="U12" s="5">
        <v>2.8</v>
      </c>
      <c r="V12" s="5">
        <v>2.8</v>
      </c>
      <c r="W12" s="123"/>
    </row>
    <row r="13" spans="1:23" ht="15.75" customHeight="1">
      <c r="A13" s="123"/>
      <c r="B13" s="131">
        <v>45357</v>
      </c>
      <c r="C13" s="2" t="s">
        <v>34</v>
      </c>
      <c r="D13" s="3">
        <v>280</v>
      </c>
      <c r="E13" s="4">
        <v>0.28000000000000003</v>
      </c>
      <c r="F13" s="4">
        <f t="shared" si="0"/>
        <v>0.26999999999999991</v>
      </c>
      <c r="G13" s="5">
        <v>280</v>
      </c>
      <c r="H13" s="4">
        <v>0.28000000000000003</v>
      </c>
      <c r="I13" s="4">
        <f t="shared" si="1"/>
        <v>0.19999999999999996</v>
      </c>
      <c r="J13" s="5">
        <v>210</v>
      </c>
      <c r="K13" s="4">
        <v>0.21</v>
      </c>
      <c r="L13" s="4">
        <f t="shared" si="2"/>
        <v>0.16</v>
      </c>
      <c r="M13" s="5">
        <v>270</v>
      </c>
      <c r="N13" s="4">
        <v>0.27</v>
      </c>
      <c r="O13" s="4">
        <f t="shared" si="3"/>
        <v>0.2599999999999999</v>
      </c>
      <c r="P13" s="123"/>
      <c r="Q13" s="123"/>
      <c r="R13" s="123"/>
      <c r="S13" s="123"/>
      <c r="T13" s="123"/>
      <c r="U13" s="123"/>
      <c r="V13" s="123"/>
      <c r="W13" s="123"/>
    </row>
    <row r="14" spans="1:23" ht="15.75" customHeight="1">
      <c r="A14" s="123"/>
      <c r="B14" s="1" t="s">
        <v>205</v>
      </c>
      <c r="C14" s="2" t="s">
        <v>35</v>
      </c>
      <c r="D14" s="3">
        <v>250</v>
      </c>
      <c r="E14" s="4">
        <v>0.25</v>
      </c>
      <c r="F14" s="4">
        <f t="shared" si="0"/>
        <v>1.9999999999999907E-2</v>
      </c>
      <c r="G14" s="5">
        <v>80</v>
      </c>
      <c r="H14" s="4">
        <v>0.08</v>
      </c>
      <c r="I14" s="4">
        <f t="shared" si="1"/>
        <v>0.11999999999999995</v>
      </c>
      <c r="J14" s="5">
        <v>100</v>
      </c>
      <c r="K14" s="4">
        <v>0.1</v>
      </c>
      <c r="L14" s="4">
        <f t="shared" si="2"/>
        <v>0.06</v>
      </c>
      <c r="M14" s="5">
        <v>140</v>
      </c>
      <c r="N14" s="4">
        <v>0.14000000000000001</v>
      </c>
      <c r="O14" s="4">
        <f t="shared" si="3"/>
        <v>0.11999999999999988</v>
      </c>
      <c r="P14" s="123"/>
      <c r="Q14" s="123"/>
      <c r="R14" s="123"/>
      <c r="S14" s="123"/>
      <c r="T14" s="123"/>
      <c r="U14" s="123"/>
      <c r="V14" s="123"/>
      <c r="W14" s="123"/>
    </row>
    <row r="15" spans="1:23" ht="15.75" customHeight="1">
      <c r="A15" s="123"/>
      <c r="B15" s="1" t="s">
        <v>206</v>
      </c>
      <c r="C15" s="2" t="s">
        <v>36</v>
      </c>
      <c r="D15" s="3">
        <v>20</v>
      </c>
      <c r="E15" s="4">
        <v>0.02</v>
      </c>
      <c r="F15" s="4">
        <f t="shared" si="0"/>
        <v>-9.3675067702747583E-17</v>
      </c>
      <c r="G15" s="5">
        <v>120</v>
      </c>
      <c r="H15" s="4">
        <v>0.12</v>
      </c>
      <c r="I15" s="4">
        <f t="shared" si="1"/>
        <v>0</v>
      </c>
      <c r="J15" s="5">
        <v>60</v>
      </c>
      <c r="K15" s="4">
        <v>0.06</v>
      </c>
      <c r="L15" s="4">
        <f t="shared" si="2"/>
        <v>0</v>
      </c>
      <c r="M15" s="5">
        <v>90</v>
      </c>
      <c r="N15" s="4">
        <v>0.09</v>
      </c>
      <c r="O15" s="4">
        <f t="shared" si="3"/>
        <v>2.9999999999999888E-2</v>
      </c>
      <c r="P15" s="123"/>
      <c r="Q15" s="123"/>
      <c r="R15" s="123"/>
      <c r="S15" s="123"/>
      <c r="T15" s="123"/>
      <c r="U15" s="123"/>
      <c r="V15" s="123"/>
      <c r="W15" s="123"/>
    </row>
    <row r="16" spans="1:23" ht="15.75" customHeight="1">
      <c r="A16" s="123"/>
      <c r="B16" s="1" t="s">
        <v>207</v>
      </c>
      <c r="C16" s="2" t="s">
        <v>38</v>
      </c>
      <c r="D16" s="3">
        <v>0</v>
      </c>
      <c r="E16" s="4">
        <v>0</v>
      </c>
      <c r="F16" s="4">
        <f t="shared" si="0"/>
        <v>-9.3675067702747583E-17</v>
      </c>
      <c r="G16" s="5">
        <v>0</v>
      </c>
      <c r="H16" s="4">
        <v>0</v>
      </c>
      <c r="I16" s="4">
        <f t="shared" si="1"/>
        <v>0</v>
      </c>
      <c r="J16" s="5">
        <v>0</v>
      </c>
      <c r="K16" s="4">
        <v>0</v>
      </c>
      <c r="L16" s="4">
        <f t="shared" si="2"/>
        <v>0</v>
      </c>
      <c r="M16" s="5">
        <v>30</v>
      </c>
      <c r="N16" s="4">
        <v>0.03</v>
      </c>
      <c r="O16" s="4">
        <f t="shared" si="3"/>
        <v>-1.1102230246251565E-16</v>
      </c>
      <c r="P16" s="123"/>
      <c r="Q16" s="123"/>
      <c r="R16" s="123"/>
      <c r="S16" s="123"/>
      <c r="T16" s="123"/>
      <c r="U16" s="123"/>
      <c r="V16" s="123"/>
      <c r="W16" s="123"/>
    </row>
    <row r="17" spans="1:23" ht="15.75" customHeight="1">
      <c r="A17" s="123"/>
      <c r="B17" s="1" t="s">
        <v>208</v>
      </c>
      <c r="C17" s="2" t="s">
        <v>40</v>
      </c>
      <c r="D17" s="3">
        <v>0</v>
      </c>
      <c r="E17" s="4">
        <v>0</v>
      </c>
      <c r="F17" s="4">
        <f t="shared" si="0"/>
        <v>-9.3675067702747583E-17</v>
      </c>
      <c r="G17" s="5">
        <v>0</v>
      </c>
      <c r="H17" s="4">
        <v>0</v>
      </c>
      <c r="I17" s="4">
        <f t="shared" si="1"/>
        <v>0</v>
      </c>
      <c r="J17" s="5">
        <v>0</v>
      </c>
      <c r="K17" s="4">
        <v>0</v>
      </c>
      <c r="L17" s="4">
        <v>0</v>
      </c>
      <c r="M17" s="5">
        <v>0</v>
      </c>
      <c r="N17" s="4">
        <v>0</v>
      </c>
      <c r="O17" s="4">
        <v>0</v>
      </c>
      <c r="P17" s="123"/>
      <c r="Q17" s="123"/>
      <c r="R17" s="123"/>
      <c r="S17" s="123"/>
      <c r="T17" s="123"/>
      <c r="U17" s="123"/>
      <c r="V17" s="123"/>
      <c r="W17" s="123"/>
    </row>
    <row r="18" spans="1:23" ht="15.75" customHeight="1">
      <c r="A18" s="123"/>
      <c r="B18" s="1" t="s">
        <v>209</v>
      </c>
      <c r="C18" s="2" t="s">
        <v>41</v>
      </c>
      <c r="D18" s="3">
        <v>0</v>
      </c>
      <c r="E18" s="4">
        <v>0</v>
      </c>
      <c r="F18" s="4">
        <f t="shared" si="0"/>
        <v>-9.3675067702747583E-17</v>
      </c>
      <c r="G18" s="5">
        <v>0</v>
      </c>
      <c r="H18" s="4">
        <v>0</v>
      </c>
      <c r="I18" s="4">
        <f t="shared" si="1"/>
        <v>0</v>
      </c>
      <c r="J18" s="5">
        <v>0</v>
      </c>
      <c r="K18" s="4">
        <v>0</v>
      </c>
      <c r="L18" s="4">
        <v>0</v>
      </c>
      <c r="M18" s="5">
        <v>0</v>
      </c>
      <c r="N18" s="4">
        <v>0</v>
      </c>
      <c r="O18" s="4">
        <v>0</v>
      </c>
      <c r="P18" s="123"/>
      <c r="Q18" s="123"/>
      <c r="R18" s="123"/>
      <c r="S18" s="123"/>
      <c r="T18" s="123"/>
      <c r="U18" s="123"/>
      <c r="V18" s="123"/>
      <c r="W18" s="123"/>
    </row>
    <row r="19" spans="1:23" ht="15.75" customHeight="1">
      <c r="A19" s="123"/>
      <c r="B19" s="9" t="s">
        <v>210</v>
      </c>
      <c r="C19" s="10" t="s">
        <v>43</v>
      </c>
      <c r="D19" s="3">
        <v>0</v>
      </c>
      <c r="E19" s="4">
        <v>0</v>
      </c>
      <c r="F19" s="4">
        <v>0</v>
      </c>
      <c r="G19" s="5">
        <v>0</v>
      </c>
      <c r="H19" s="4">
        <v>0</v>
      </c>
      <c r="I19" s="4">
        <v>0</v>
      </c>
      <c r="J19" s="5">
        <v>0</v>
      </c>
      <c r="K19" s="4">
        <v>0</v>
      </c>
      <c r="L19" s="4">
        <v>0</v>
      </c>
      <c r="M19" s="5">
        <v>0</v>
      </c>
      <c r="N19" s="4">
        <v>0</v>
      </c>
      <c r="O19" s="4">
        <v>0</v>
      </c>
      <c r="P19" s="123"/>
      <c r="Q19" s="123"/>
      <c r="R19" s="123"/>
      <c r="S19" s="123"/>
      <c r="T19" s="123"/>
      <c r="U19" s="123"/>
      <c r="V19" s="123"/>
      <c r="W19" s="123"/>
    </row>
    <row r="20" spans="1:23" ht="15.75" customHeight="1">
      <c r="A20" s="123"/>
      <c r="B20" s="164" t="s">
        <v>44</v>
      </c>
      <c r="C20" s="194"/>
      <c r="D20" s="5">
        <v>0</v>
      </c>
      <c r="E20" s="11"/>
      <c r="F20" s="11"/>
      <c r="G20" s="3">
        <v>0</v>
      </c>
      <c r="H20" s="11"/>
      <c r="I20" s="11"/>
      <c r="J20" s="3">
        <v>0</v>
      </c>
      <c r="K20" s="11"/>
      <c r="L20" s="124"/>
      <c r="M20" s="3">
        <v>0</v>
      </c>
      <c r="N20" s="11"/>
      <c r="O20" s="124"/>
      <c r="P20" s="123"/>
      <c r="Q20" s="123"/>
      <c r="R20" s="123"/>
      <c r="S20" s="123"/>
      <c r="T20" s="123"/>
      <c r="U20" s="123"/>
      <c r="V20" s="123"/>
      <c r="W20" s="123"/>
    </row>
    <row r="21" spans="1:23" ht="15.75" customHeight="1">
      <c r="A21" s="123"/>
      <c r="B21" s="164" t="s">
        <v>45</v>
      </c>
      <c r="C21" s="194"/>
      <c r="D21" s="5">
        <f>SUM(D5:D19)</f>
        <v>1000</v>
      </c>
      <c r="E21" s="124"/>
      <c r="F21" s="124"/>
      <c r="G21" s="12">
        <f>SUM(G5:G19)</f>
        <v>1000</v>
      </c>
      <c r="H21" s="124"/>
      <c r="I21" s="124"/>
      <c r="J21" s="3">
        <f>SUM(J5:J19)</f>
        <v>1000</v>
      </c>
      <c r="K21" s="124"/>
      <c r="L21" s="124"/>
      <c r="M21" s="3">
        <f>SUM(M5:M19)</f>
        <v>1000</v>
      </c>
      <c r="N21" s="124"/>
      <c r="O21" s="124"/>
    </row>
    <row r="22" spans="1:23" ht="15.75" customHeight="1">
      <c r="A22" s="123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</row>
    <row r="23" spans="1:23" ht="15.75" customHeight="1">
      <c r="A23" s="123"/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</row>
    <row r="24" spans="1:23" ht="15.75" customHeight="1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</row>
    <row r="25" spans="1:23" ht="15.75" customHeight="1">
      <c r="A25" s="123"/>
      <c r="B25" s="124"/>
      <c r="C25" s="124"/>
      <c r="D25" s="156" t="s">
        <v>0</v>
      </c>
      <c r="E25" s="196"/>
      <c r="F25" s="194"/>
      <c r="G25" s="197" t="s">
        <v>211</v>
      </c>
      <c r="H25" s="196"/>
      <c r="I25" s="194"/>
      <c r="J25" s="197" t="s">
        <v>212</v>
      </c>
      <c r="K25" s="196"/>
      <c r="L25" s="194"/>
      <c r="M25" s="197" t="s">
        <v>213</v>
      </c>
      <c r="N25" s="196"/>
      <c r="O25" s="194"/>
    </row>
    <row r="26" spans="1:23" ht="15.75" customHeight="1">
      <c r="A26" s="123"/>
      <c r="B26" s="156" t="s">
        <v>6</v>
      </c>
      <c r="C26" s="194"/>
      <c r="D26" s="156" t="s">
        <v>7</v>
      </c>
      <c r="E26" s="194"/>
      <c r="F26" s="132" t="s">
        <v>8</v>
      </c>
      <c r="G26" s="197" t="s">
        <v>7</v>
      </c>
      <c r="H26" s="194"/>
      <c r="I26" s="132" t="s">
        <v>8</v>
      </c>
      <c r="J26" s="197" t="s">
        <v>7</v>
      </c>
      <c r="K26" s="194"/>
      <c r="L26" s="132" t="s">
        <v>8</v>
      </c>
      <c r="M26" s="197" t="s">
        <v>7</v>
      </c>
      <c r="N26" s="194"/>
      <c r="O26" s="132" t="s">
        <v>8</v>
      </c>
    </row>
    <row r="27" spans="1:23" ht="15.75" customHeight="1">
      <c r="A27" s="123"/>
      <c r="B27" s="133" t="s">
        <v>10</v>
      </c>
      <c r="C27" s="134" t="s">
        <v>11</v>
      </c>
      <c r="D27" s="133" t="s">
        <v>12</v>
      </c>
      <c r="E27" s="132" t="s">
        <v>13</v>
      </c>
      <c r="F27" s="132" t="s">
        <v>13</v>
      </c>
      <c r="G27" s="132" t="s">
        <v>12</v>
      </c>
      <c r="H27" s="132" t="s">
        <v>13</v>
      </c>
      <c r="I27" s="132" t="s">
        <v>13</v>
      </c>
      <c r="J27" s="132" t="s">
        <v>12</v>
      </c>
      <c r="K27" s="132" t="s">
        <v>13</v>
      </c>
      <c r="L27" s="132" t="s">
        <v>13</v>
      </c>
      <c r="M27" s="132" t="s">
        <v>12</v>
      </c>
      <c r="N27" s="132" t="s">
        <v>13</v>
      </c>
      <c r="O27" s="132" t="s">
        <v>13</v>
      </c>
    </row>
    <row r="28" spans="1:23" ht="15.75" customHeight="1">
      <c r="A28" s="123"/>
      <c r="B28" s="1">
        <v>75</v>
      </c>
      <c r="C28" s="2" t="s">
        <v>15</v>
      </c>
      <c r="D28" s="3">
        <v>0</v>
      </c>
      <c r="E28" s="4">
        <v>0</v>
      </c>
      <c r="F28" s="4">
        <v>1</v>
      </c>
      <c r="G28" s="5">
        <v>0</v>
      </c>
      <c r="H28" s="4">
        <v>0</v>
      </c>
      <c r="I28" s="4">
        <v>1</v>
      </c>
      <c r="J28" s="5">
        <v>0</v>
      </c>
      <c r="K28" s="4">
        <v>0</v>
      </c>
      <c r="L28" s="4">
        <v>1</v>
      </c>
      <c r="M28" s="5">
        <v>0</v>
      </c>
      <c r="N28" s="4">
        <v>0</v>
      </c>
      <c r="O28" s="4">
        <v>1</v>
      </c>
    </row>
    <row r="29" spans="1:23" ht="15.75" customHeight="1">
      <c r="A29" s="123"/>
      <c r="B29" s="1">
        <v>63</v>
      </c>
      <c r="C29" s="2" t="s">
        <v>18</v>
      </c>
      <c r="D29" s="3">
        <v>0</v>
      </c>
      <c r="E29" s="4">
        <v>0</v>
      </c>
      <c r="F29" s="4">
        <v>1</v>
      </c>
      <c r="G29" s="5">
        <v>0</v>
      </c>
      <c r="H29" s="4">
        <v>0</v>
      </c>
      <c r="I29" s="4">
        <v>1</v>
      </c>
      <c r="J29" s="5">
        <v>0</v>
      </c>
      <c r="K29" s="4">
        <v>0</v>
      </c>
      <c r="L29" s="4">
        <v>1</v>
      </c>
      <c r="M29" s="5">
        <v>0</v>
      </c>
      <c r="N29" s="4">
        <v>0</v>
      </c>
      <c r="O29" s="4">
        <v>1</v>
      </c>
    </row>
    <row r="30" spans="1:23" ht="15.75" customHeight="1">
      <c r="A30" s="123"/>
      <c r="B30" s="1">
        <v>50</v>
      </c>
      <c r="C30" s="2" t="s">
        <v>21</v>
      </c>
      <c r="D30" s="3">
        <v>0</v>
      </c>
      <c r="E30" s="4">
        <v>0</v>
      </c>
      <c r="F30" s="4">
        <v>1</v>
      </c>
      <c r="G30" s="5">
        <v>0</v>
      </c>
      <c r="H30" s="4">
        <v>0</v>
      </c>
      <c r="I30" s="4">
        <v>1</v>
      </c>
      <c r="J30" s="5">
        <v>0</v>
      </c>
      <c r="K30" s="4">
        <v>0</v>
      </c>
      <c r="L30" s="4">
        <v>1</v>
      </c>
      <c r="M30" s="5">
        <v>0</v>
      </c>
      <c r="N30" s="4">
        <v>0</v>
      </c>
      <c r="O30" s="4">
        <v>1</v>
      </c>
    </row>
    <row r="31" spans="1:23" ht="15.75" customHeight="1">
      <c r="B31" s="1" t="s">
        <v>204</v>
      </c>
      <c r="C31" s="2" t="s">
        <v>24</v>
      </c>
      <c r="D31" s="3">
        <v>60</v>
      </c>
      <c r="E31" s="4">
        <v>0.06</v>
      </c>
      <c r="F31" s="4">
        <v>0.94</v>
      </c>
      <c r="G31" s="5">
        <v>0</v>
      </c>
      <c r="H31" s="4">
        <v>0</v>
      </c>
      <c r="I31" s="4">
        <v>1</v>
      </c>
      <c r="J31" s="5">
        <v>70</v>
      </c>
      <c r="K31" s="4">
        <v>7.0000000000000007E-2</v>
      </c>
      <c r="L31" s="4">
        <v>0.93</v>
      </c>
      <c r="M31" s="5">
        <v>40</v>
      </c>
      <c r="N31" s="4">
        <v>0.04</v>
      </c>
      <c r="O31" s="4">
        <v>0.96</v>
      </c>
      <c r="Q31" s="124"/>
      <c r="R31" s="124"/>
      <c r="S31" s="135" t="s">
        <v>0</v>
      </c>
      <c r="T31" s="135" t="s">
        <v>211</v>
      </c>
      <c r="U31" s="135" t="s">
        <v>212</v>
      </c>
      <c r="V31" s="135" t="s">
        <v>213</v>
      </c>
    </row>
    <row r="32" spans="1:23" ht="15.75" customHeight="1">
      <c r="B32" s="1">
        <v>25</v>
      </c>
      <c r="C32" s="2" t="s">
        <v>27</v>
      </c>
      <c r="D32" s="3">
        <v>320</v>
      </c>
      <c r="E32" s="4">
        <v>0.32</v>
      </c>
      <c r="F32" s="4">
        <v>0.62</v>
      </c>
      <c r="G32" s="5">
        <v>300</v>
      </c>
      <c r="H32" s="4">
        <v>0.3</v>
      </c>
      <c r="I32" s="4">
        <v>0.7</v>
      </c>
      <c r="J32" s="5">
        <v>360</v>
      </c>
      <c r="K32" s="4">
        <v>0.36</v>
      </c>
      <c r="L32" s="4">
        <v>0.56999999999999995</v>
      </c>
      <c r="M32" s="5">
        <v>280</v>
      </c>
      <c r="N32" s="4">
        <v>0.28000000000000003</v>
      </c>
      <c r="O32" s="4">
        <v>0.68</v>
      </c>
      <c r="Q32" s="164" t="s">
        <v>37</v>
      </c>
      <c r="R32" s="194"/>
      <c r="S32" s="129">
        <v>1.2999999999999999E-2</v>
      </c>
      <c r="T32" s="130">
        <v>1.2E-2</v>
      </c>
      <c r="U32" s="130">
        <v>1.0999999999999999E-2</v>
      </c>
      <c r="V32" s="130">
        <v>1.2E-2</v>
      </c>
    </row>
    <row r="33" spans="2:22" ht="15.75" customHeight="1">
      <c r="B33" s="1">
        <v>19</v>
      </c>
      <c r="C33" s="2" t="s">
        <v>29</v>
      </c>
      <c r="D33" s="3">
        <v>480</v>
      </c>
      <c r="E33" s="4">
        <v>0.48</v>
      </c>
      <c r="F33" s="4">
        <f t="shared" ref="F33:F41" si="4">F32-E33</f>
        <v>0.14000000000000001</v>
      </c>
      <c r="G33" s="5">
        <v>500</v>
      </c>
      <c r="H33" s="4">
        <v>0.5</v>
      </c>
      <c r="I33" s="4">
        <f t="shared" ref="I33:I41" si="5">I32-H33</f>
        <v>0.19999999999999996</v>
      </c>
      <c r="J33" s="5">
        <v>400</v>
      </c>
      <c r="K33" s="4">
        <v>0.4</v>
      </c>
      <c r="L33" s="4">
        <f t="shared" ref="L33:L39" si="6">L32-K33</f>
        <v>0.16999999999999993</v>
      </c>
      <c r="M33" s="5">
        <v>330</v>
      </c>
      <c r="N33" s="4">
        <v>0.33</v>
      </c>
      <c r="O33" s="4">
        <f t="shared" ref="O33:O39" si="7">O32-N33</f>
        <v>0.35000000000000003</v>
      </c>
      <c r="Q33" s="164" t="s">
        <v>39</v>
      </c>
      <c r="R33" s="194"/>
      <c r="S33" s="129">
        <v>0.04</v>
      </c>
      <c r="T33" s="130">
        <v>0.05</v>
      </c>
      <c r="U33" s="130">
        <v>0.06</v>
      </c>
      <c r="V33" s="130">
        <v>0.02</v>
      </c>
    </row>
    <row r="34" spans="2:22" ht="15.75" customHeight="1">
      <c r="B34" s="131">
        <v>45424</v>
      </c>
      <c r="C34" s="2" t="s">
        <v>31</v>
      </c>
      <c r="D34" s="3">
        <v>60</v>
      </c>
      <c r="E34" s="4">
        <v>0.06</v>
      </c>
      <c r="F34" s="4">
        <f t="shared" si="4"/>
        <v>8.0000000000000016E-2</v>
      </c>
      <c r="G34" s="5">
        <v>150</v>
      </c>
      <c r="H34" s="4">
        <v>0.15</v>
      </c>
      <c r="I34" s="4">
        <f t="shared" si="5"/>
        <v>4.9999999999999961E-2</v>
      </c>
      <c r="J34" s="5">
        <v>100</v>
      </c>
      <c r="K34" s="4">
        <v>0.1</v>
      </c>
      <c r="L34" s="4">
        <f t="shared" si="6"/>
        <v>6.9999999999999923E-2</v>
      </c>
      <c r="M34" s="5">
        <v>200</v>
      </c>
      <c r="N34" s="4">
        <v>0.2</v>
      </c>
      <c r="O34" s="4">
        <f t="shared" si="7"/>
        <v>0.15000000000000002</v>
      </c>
      <c r="Q34" s="164" t="s">
        <v>137</v>
      </c>
      <c r="R34" s="194"/>
      <c r="S34" s="3">
        <v>2.6</v>
      </c>
      <c r="T34" s="5">
        <v>2.6</v>
      </c>
      <c r="U34" s="5">
        <v>2.6</v>
      </c>
      <c r="V34" s="5">
        <v>2.6</v>
      </c>
    </row>
    <row r="35" spans="2:22" ht="15.75" customHeight="1">
      <c r="B35" s="131">
        <v>45421</v>
      </c>
      <c r="C35" s="2" t="s">
        <v>33</v>
      </c>
      <c r="D35" s="3">
        <v>80</v>
      </c>
      <c r="E35" s="4">
        <v>0.08</v>
      </c>
      <c r="F35" s="4">
        <f t="shared" si="4"/>
        <v>0</v>
      </c>
      <c r="G35" s="5">
        <v>50</v>
      </c>
      <c r="H35" s="4">
        <v>0.05</v>
      </c>
      <c r="I35" s="4">
        <f t="shared" si="5"/>
        <v>0</v>
      </c>
      <c r="J35" s="5">
        <v>70</v>
      </c>
      <c r="K35" s="4">
        <v>7.0000000000000007E-2</v>
      </c>
      <c r="L35" s="4">
        <f t="shared" si="6"/>
        <v>0</v>
      </c>
      <c r="M35" s="5">
        <v>110</v>
      </c>
      <c r="N35" s="4">
        <v>0.11</v>
      </c>
      <c r="O35" s="4">
        <f t="shared" si="7"/>
        <v>4.0000000000000022E-2</v>
      </c>
    </row>
    <row r="36" spans="2:22" ht="15.75" customHeight="1">
      <c r="B36" s="131">
        <v>45357</v>
      </c>
      <c r="C36" s="2" t="s">
        <v>34</v>
      </c>
      <c r="D36" s="3">
        <v>0</v>
      </c>
      <c r="E36" s="4">
        <v>0</v>
      </c>
      <c r="F36" s="4">
        <f t="shared" si="4"/>
        <v>0</v>
      </c>
      <c r="G36" s="5">
        <v>0</v>
      </c>
      <c r="H36" s="4">
        <v>0</v>
      </c>
      <c r="I36" s="4">
        <f t="shared" si="5"/>
        <v>0</v>
      </c>
      <c r="J36" s="5">
        <v>0</v>
      </c>
      <c r="K36" s="4">
        <v>0</v>
      </c>
      <c r="L36" s="4">
        <f t="shared" si="6"/>
        <v>0</v>
      </c>
      <c r="M36" s="5">
        <v>10</v>
      </c>
      <c r="N36" s="4">
        <v>0.01</v>
      </c>
      <c r="O36" s="4">
        <f t="shared" si="7"/>
        <v>3.000000000000002E-2</v>
      </c>
    </row>
    <row r="37" spans="2:22" ht="15.75" customHeight="1">
      <c r="B37" s="1" t="s">
        <v>205</v>
      </c>
      <c r="C37" s="2" t="s">
        <v>35</v>
      </c>
      <c r="D37" s="3">
        <v>0</v>
      </c>
      <c r="E37" s="4">
        <v>0</v>
      </c>
      <c r="F37" s="4">
        <f t="shared" si="4"/>
        <v>0</v>
      </c>
      <c r="G37" s="5">
        <v>0</v>
      </c>
      <c r="H37" s="4">
        <v>0</v>
      </c>
      <c r="I37" s="4">
        <f t="shared" si="5"/>
        <v>0</v>
      </c>
      <c r="J37" s="5">
        <v>0</v>
      </c>
      <c r="K37" s="4">
        <v>0</v>
      </c>
      <c r="L37" s="4">
        <f t="shared" si="6"/>
        <v>0</v>
      </c>
      <c r="M37" s="5">
        <v>20</v>
      </c>
      <c r="N37" s="4">
        <v>0.02</v>
      </c>
      <c r="O37" s="4">
        <f t="shared" si="7"/>
        <v>1.0000000000000019E-2</v>
      </c>
    </row>
    <row r="38" spans="2:22" ht="15.75" customHeight="1">
      <c r="B38" s="1" t="s">
        <v>206</v>
      </c>
      <c r="C38" s="2" t="s">
        <v>36</v>
      </c>
      <c r="D38" s="3">
        <v>0</v>
      </c>
      <c r="E38" s="4">
        <v>0</v>
      </c>
      <c r="F38" s="4">
        <f t="shared" si="4"/>
        <v>0</v>
      </c>
      <c r="G38" s="5">
        <v>0</v>
      </c>
      <c r="H38" s="4">
        <v>0</v>
      </c>
      <c r="I38" s="4">
        <f t="shared" si="5"/>
        <v>0</v>
      </c>
      <c r="J38" s="5">
        <v>0</v>
      </c>
      <c r="K38" s="4">
        <v>0</v>
      </c>
      <c r="L38" s="4">
        <f t="shared" si="6"/>
        <v>0</v>
      </c>
      <c r="M38" s="5">
        <v>10</v>
      </c>
      <c r="N38" s="4">
        <v>0.01</v>
      </c>
      <c r="O38" s="4">
        <f t="shared" si="7"/>
        <v>1.9081958235744878E-17</v>
      </c>
    </row>
    <row r="39" spans="2:22" ht="15.75" customHeight="1">
      <c r="B39" s="1" t="s">
        <v>207</v>
      </c>
      <c r="C39" s="2" t="s">
        <v>38</v>
      </c>
      <c r="D39" s="3">
        <v>0</v>
      </c>
      <c r="E39" s="4">
        <v>0</v>
      </c>
      <c r="F39" s="4">
        <f t="shared" si="4"/>
        <v>0</v>
      </c>
      <c r="G39" s="5">
        <v>0</v>
      </c>
      <c r="H39" s="4">
        <v>0</v>
      </c>
      <c r="I39" s="4">
        <f t="shared" si="5"/>
        <v>0</v>
      </c>
      <c r="J39" s="5">
        <v>0</v>
      </c>
      <c r="K39" s="4">
        <v>0</v>
      </c>
      <c r="L39" s="4">
        <f t="shared" si="6"/>
        <v>0</v>
      </c>
      <c r="M39" s="5">
        <v>0</v>
      </c>
      <c r="N39" s="4">
        <v>0</v>
      </c>
      <c r="O39" s="4">
        <f t="shared" si="7"/>
        <v>1.9081958235744878E-17</v>
      </c>
    </row>
    <row r="40" spans="2:22" ht="15.75" customHeight="1">
      <c r="B40" s="1" t="s">
        <v>208</v>
      </c>
      <c r="C40" s="2" t="s">
        <v>40</v>
      </c>
      <c r="D40" s="3">
        <v>0</v>
      </c>
      <c r="E40" s="4">
        <v>0</v>
      </c>
      <c r="F40" s="4">
        <f t="shared" si="4"/>
        <v>0</v>
      </c>
      <c r="G40" s="5">
        <v>0</v>
      </c>
      <c r="H40" s="4">
        <v>0</v>
      </c>
      <c r="I40" s="4">
        <f t="shared" si="5"/>
        <v>0</v>
      </c>
      <c r="J40" s="5">
        <v>0</v>
      </c>
      <c r="K40" s="4">
        <v>0</v>
      </c>
      <c r="L40" s="4">
        <v>0</v>
      </c>
      <c r="M40" s="5">
        <v>0</v>
      </c>
      <c r="N40" s="4">
        <v>0</v>
      </c>
      <c r="O40" s="4">
        <v>0</v>
      </c>
    </row>
    <row r="41" spans="2:22" ht="15.75" customHeight="1">
      <c r="B41" s="1" t="s">
        <v>209</v>
      </c>
      <c r="C41" s="2" t="s">
        <v>41</v>
      </c>
      <c r="D41" s="3">
        <v>0</v>
      </c>
      <c r="E41" s="4">
        <v>0</v>
      </c>
      <c r="F41" s="4">
        <f t="shared" si="4"/>
        <v>0</v>
      </c>
      <c r="G41" s="5">
        <v>0</v>
      </c>
      <c r="H41" s="4">
        <v>0</v>
      </c>
      <c r="I41" s="4">
        <f t="shared" si="5"/>
        <v>0</v>
      </c>
      <c r="J41" s="5">
        <v>0</v>
      </c>
      <c r="K41" s="4">
        <v>0</v>
      </c>
      <c r="L41" s="4">
        <v>0</v>
      </c>
      <c r="M41" s="5">
        <v>0</v>
      </c>
      <c r="N41" s="4">
        <v>0</v>
      </c>
      <c r="O41" s="4">
        <v>0</v>
      </c>
    </row>
    <row r="42" spans="2:22" ht="15.75" customHeight="1">
      <c r="B42" s="9" t="s">
        <v>210</v>
      </c>
      <c r="C42" s="10" t="s">
        <v>43</v>
      </c>
      <c r="D42" s="3">
        <v>0</v>
      </c>
      <c r="E42" s="4">
        <v>0</v>
      </c>
      <c r="F42" s="4">
        <v>0</v>
      </c>
      <c r="G42" s="5">
        <v>0</v>
      </c>
      <c r="H42" s="4">
        <v>0</v>
      </c>
      <c r="I42" s="4">
        <v>0</v>
      </c>
      <c r="J42" s="5">
        <v>0</v>
      </c>
      <c r="K42" s="4">
        <v>0</v>
      </c>
      <c r="L42" s="4">
        <v>0</v>
      </c>
      <c r="M42" s="5">
        <v>0</v>
      </c>
      <c r="N42" s="4">
        <v>0</v>
      </c>
      <c r="O42" s="4">
        <v>0</v>
      </c>
    </row>
    <row r="43" spans="2:22" ht="15.75" customHeight="1">
      <c r="B43" s="164" t="s">
        <v>44</v>
      </c>
      <c r="C43" s="194"/>
      <c r="D43" s="5">
        <v>0</v>
      </c>
      <c r="E43" s="11"/>
      <c r="F43" s="11"/>
      <c r="G43" s="3">
        <v>0</v>
      </c>
      <c r="H43" s="11"/>
      <c r="I43" s="11"/>
      <c r="J43" s="3">
        <v>0</v>
      </c>
      <c r="K43" s="11"/>
      <c r="L43" s="124"/>
      <c r="M43" s="3">
        <v>0</v>
      </c>
      <c r="N43" s="11"/>
      <c r="O43" s="124"/>
    </row>
    <row r="44" spans="2:22" ht="15.75" customHeight="1">
      <c r="B44" s="164" t="s">
        <v>45</v>
      </c>
      <c r="C44" s="194"/>
      <c r="D44" s="5">
        <f>SUM(D28:D42)</f>
        <v>1000</v>
      </c>
      <c r="E44" s="124"/>
      <c r="F44" s="124"/>
      <c r="G44" s="12">
        <f>SUM(G28:G42)</f>
        <v>1000</v>
      </c>
      <c r="H44" s="124"/>
      <c r="I44" s="124"/>
      <c r="J44" s="3">
        <f>SUM(J28:J42)</f>
        <v>1000</v>
      </c>
      <c r="K44" s="124"/>
      <c r="L44" s="124"/>
      <c r="M44" s="3">
        <f>SUM(M28:M42)</f>
        <v>1000</v>
      </c>
      <c r="N44" s="124"/>
      <c r="O44" s="124"/>
    </row>
    <row r="45" spans="2:22" ht="15.75" customHeight="1"/>
    <row r="46" spans="2:22" ht="15.75" customHeight="1"/>
    <row r="47" spans="2:22" ht="15.75" customHeight="1"/>
    <row r="48" spans="2:22" ht="15.75" customHeight="1"/>
    <row r="49" spans="2:22" ht="15.75" customHeight="1">
      <c r="B49" s="124"/>
      <c r="C49" s="124"/>
      <c r="D49" s="195" t="s">
        <v>214</v>
      </c>
      <c r="E49" s="196"/>
      <c r="F49" s="194"/>
      <c r="G49" s="144" t="s">
        <v>215</v>
      </c>
      <c r="H49" s="196"/>
      <c r="I49" s="194"/>
      <c r="J49" s="144" t="s">
        <v>2</v>
      </c>
      <c r="K49" s="196"/>
      <c r="L49" s="194"/>
      <c r="M49" s="144" t="s">
        <v>216</v>
      </c>
      <c r="N49" s="196"/>
      <c r="O49" s="194"/>
    </row>
    <row r="50" spans="2:22" ht="15.75" customHeight="1">
      <c r="B50" s="195" t="s">
        <v>6</v>
      </c>
      <c r="C50" s="194"/>
      <c r="D50" s="195" t="s">
        <v>7</v>
      </c>
      <c r="E50" s="194"/>
      <c r="F50" s="136" t="s">
        <v>8</v>
      </c>
      <c r="G50" s="144" t="s">
        <v>7</v>
      </c>
      <c r="H50" s="194"/>
      <c r="I50" s="136" t="s">
        <v>8</v>
      </c>
      <c r="J50" s="144" t="s">
        <v>7</v>
      </c>
      <c r="K50" s="194"/>
      <c r="L50" s="136" t="s">
        <v>8</v>
      </c>
      <c r="M50" s="144" t="s">
        <v>7</v>
      </c>
      <c r="N50" s="194"/>
      <c r="O50" s="136" t="s">
        <v>8</v>
      </c>
    </row>
    <row r="51" spans="2:22" ht="15.75" customHeight="1">
      <c r="B51" s="137" t="s">
        <v>10</v>
      </c>
      <c r="C51" s="138" t="s">
        <v>11</v>
      </c>
      <c r="D51" s="137" t="s">
        <v>12</v>
      </c>
      <c r="E51" s="136" t="s">
        <v>13</v>
      </c>
      <c r="F51" s="136" t="s">
        <v>13</v>
      </c>
      <c r="G51" s="136" t="s">
        <v>12</v>
      </c>
      <c r="H51" s="136" t="s">
        <v>13</v>
      </c>
      <c r="I51" s="136" t="s">
        <v>13</v>
      </c>
      <c r="J51" s="136" t="s">
        <v>12</v>
      </c>
      <c r="K51" s="136" t="s">
        <v>13</v>
      </c>
      <c r="L51" s="136" t="s">
        <v>13</v>
      </c>
      <c r="M51" s="136" t="s">
        <v>12</v>
      </c>
      <c r="N51" s="136" t="s">
        <v>13</v>
      </c>
      <c r="O51" s="136" t="s">
        <v>13</v>
      </c>
    </row>
    <row r="52" spans="2:22" ht="15.75" customHeight="1">
      <c r="B52" s="1">
        <v>75</v>
      </c>
      <c r="C52" s="2" t="s">
        <v>15</v>
      </c>
      <c r="D52" s="3">
        <v>0</v>
      </c>
      <c r="E52" s="4">
        <v>0</v>
      </c>
      <c r="F52" s="4">
        <v>1</v>
      </c>
      <c r="G52" s="5">
        <v>0</v>
      </c>
      <c r="H52" s="4">
        <v>0</v>
      </c>
      <c r="I52" s="4">
        <v>1</v>
      </c>
      <c r="J52" s="5">
        <v>0</v>
      </c>
      <c r="K52" s="4">
        <v>0</v>
      </c>
      <c r="L52" s="4">
        <v>1</v>
      </c>
      <c r="M52" s="5">
        <v>0</v>
      </c>
      <c r="N52" s="4">
        <v>0</v>
      </c>
      <c r="O52" s="4">
        <v>1</v>
      </c>
    </row>
    <row r="53" spans="2:22" ht="15.75" customHeight="1">
      <c r="B53" s="1">
        <v>63</v>
      </c>
      <c r="C53" s="2" t="s">
        <v>18</v>
      </c>
      <c r="D53" s="3">
        <v>0</v>
      </c>
      <c r="E53" s="4">
        <v>0</v>
      </c>
      <c r="F53" s="4">
        <v>1</v>
      </c>
      <c r="G53" s="5">
        <v>0</v>
      </c>
      <c r="H53" s="4">
        <v>0</v>
      </c>
      <c r="I53" s="4">
        <v>1</v>
      </c>
      <c r="J53" s="5">
        <v>0</v>
      </c>
      <c r="K53" s="4">
        <v>0</v>
      </c>
      <c r="L53" s="4">
        <v>1</v>
      </c>
      <c r="M53" s="5">
        <v>0</v>
      </c>
      <c r="N53" s="4">
        <v>0</v>
      </c>
      <c r="O53" s="4">
        <v>1</v>
      </c>
    </row>
    <row r="54" spans="2:22" ht="15.75" customHeight="1">
      <c r="B54" s="1">
        <v>50</v>
      </c>
      <c r="C54" s="2" t="s">
        <v>21</v>
      </c>
      <c r="D54" s="3">
        <v>0</v>
      </c>
      <c r="E54" s="4">
        <v>0</v>
      </c>
      <c r="F54" s="4">
        <v>1</v>
      </c>
      <c r="G54" s="5">
        <v>0</v>
      </c>
      <c r="H54" s="4">
        <v>0</v>
      </c>
      <c r="I54" s="4">
        <v>1</v>
      </c>
      <c r="J54" s="5">
        <v>0</v>
      </c>
      <c r="K54" s="4">
        <v>0</v>
      </c>
      <c r="L54" s="4">
        <v>1</v>
      </c>
      <c r="M54" s="5">
        <v>0</v>
      </c>
      <c r="N54" s="4">
        <v>0</v>
      </c>
      <c r="O54" s="4">
        <v>1</v>
      </c>
    </row>
    <row r="55" spans="2:22" ht="15.75" customHeight="1">
      <c r="B55" s="1" t="s">
        <v>204</v>
      </c>
      <c r="C55" s="2" t="s">
        <v>24</v>
      </c>
      <c r="D55" s="3">
        <v>0</v>
      </c>
      <c r="E55" s="4">
        <v>0</v>
      </c>
      <c r="F55" s="4">
        <v>1</v>
      </c>
      <c r="G55" s="5">
        <v>0</v>
      </c>
      <c r="H55" s="4">
        <v>0</v>
      </c>
      <c r="I55" s="4">
        <v>1</v>
      </c>
      <c r="J55" s="5">
        <v>0</v>
      </c>
      <c r="K55" s="4">
        <v>0</v>
      </c>
      <c r="L55" s="4">
        <v>1</v>
      </c>
      <c r="M55" s="5">
        <v>0</v>
      </c>
      <c r="N55" s="4">
        <v>0</v>
      </c>
      <c r="O55" s="4">
        <v>1</v>
      </c>
    </row>
    <row r="56" spans="2:22" ht="15.75" customHeight="1">
      <c r="B56" s="1">
        <v>25</v>
      </c>
      <c r="C56" s="2" t="s">
        <v>27</v>
      </c>
      <c r="D56" s="3">
        <v>0</v>
      </c>
      <c r="E56" s="4">
        <v>0</v>
      </c>
      <c r="F56" s="4">
        <v>1</v>
      </c>
      <c r="G56" s="5">
        <v>0</v>
      </c>
      <c r="H56" s="4">
        <v>0</v>
      </c>
      <c r="I56" s="4">
        <v>1</v>
      </c>
      <c r="J56" s="5">
        <v>0</v>
      </c>
      <c r="K56" s="4">
        <v>0</v>
      </c>
      <c r="L56" s="4">
        <v>1</v>
      </c>
      <c r="M56" s="5">
        <v>0</v>
      </c>
      <c r="N56" s="4">
        <v>0</v>
      </c>
      <c r="O56" s="4">
        <v>1</v>
      </c>
      <c r="Q56" s="124"/>
      <c r="R56" s="124"/>
      <c r="S56" s="139" t="s">
        <v>214</v>
      </c>
      <c r="T56" s="139" t="s">
        <v>215</v>
      </c>
      <c r="U56" s="139" t="s">
        <v>2</v>
      </c>
      <c r="V56" s="139" t="s">
        <v>216</v>
      </c>
    </row>
    <row r="57" spans="2:22" ht="15.75" customHeight="1">
      <c r="B57" s="1">
        <v>19</v>
      </c>
      <c r="C57" s="2" t="s">
        <v>29</v>
      </c>
      <c r="D57" s="3">
        <v>0</v>
      </c>
      <c r="E57" s="4">
        <v>0</v>
      </c>
      <c r="F57" s="4">
        <v>1</v>
      </c>
      <c r="G57" s="5">
        <v>0</v>
      </c>
      <c r="H57" s="4">
        <v>0</v>
      </c>
      <c r="I57" s="4">
        <v>1</v>
      </c>
      <c r="J57" s="5">
        <v>0</v>
      </c>
      <c r="K57" s="4">
        <v>0</v>
      </c>
      <c r="L57" s="4">
        <v>1</v>
      </c>
      <c r="M57" s="5">
        <v>0</v>
      </c>
      <c r="N57" s="4">
        <v>0</v>
      </c>
      <c r="O57" s="4">
        <v>1</v>
      </c>
      <c r="Q57" s="164" t="s">
        <v>37</v>
      </c>
      <c r="R57" s="194"/>
      <c r="S57" s="129">
        <v>1.2E-2</v>
      </c>
      <c r="T57" s="130">
        <v>1.2999999999999999E-2</v>
      </c>
      <c r="U57" s="130">
        <v>1.2E-2</v>
      </c>
      <c r="V57" s="130">
        <v>1.0999999999999999E-2</v>
      </c>
    </row>
    <row r="58" spans="2:22" ht="15.75" customHeight="1">
      <c r="B58" s="131">
        <v>45424</v>
      </c>
      <c r="C58" s="2" t="s">
        <v>31</v>
      </c>
      <c r="D58" s="3">
        <v>0</v>
      </c>
      <c r="E58" s="4">
        <v>0</v>
      </c>
      <c r="F58" s="4">
        <f t="shared" ref="F58:F66" si="8">F57-E58</f>
        <v>1</v>
      </c>
      <c r="G58" s="5">
        <v>0</v>
      </c>
      <c r="H58" s="4">
        <v>0</v>
      </c>
      <c r="I58" s="4">
        <v>1</v>
      </c>
      <c r="J58" s="5">
        <v>0</v>
      </c>
      <c r="K58" s="4">
        <v>0</v>
      </c>
      <c r="L58" s="4">
        <v>1</v>
      </c>
      <c r="M58" s="5">
        <v>0</v>
      </c>
      <c r="N58" s="4">
        <v>0</v>
      </c>
      <c r="O58" s="4">
        <v>1</v>
      </c>
      <c r="Q58" s="164" t="s">
        <v>39</v>
      </c>
      <c r="R58" s="194"/>
      <c r="S58" s="129">
        <v>0.06</v>
      </c>
      <c r="T58" s="130">
        <v>7.0000000000000007E-2</v>
      </c>
      <c r="U58" s="130">
        <v>0.06</v>
      </c>
      <c r="V58" s="130">
        <v>0.09</v>
      </c>
    </row>
    <row r="59" spans="2:22" ht="15.75" customHeight="1">
      <c r="B59" s="131">
        <v>45421</v>
      </c>
      <c r="C59" s="2" t="s">
        <v>33</v>
      </c>
      <c r="D59" s="3">
        <v>60</v>
      </c>
      <c r="E59" s="4">
        <v>0.06</v>
      </c>
      <c r="F59" s="4">
        <f t="shared" si="8"/>
        <v>0.94</v>
      </c>
      <c r="G59" s="5">
        <v>30</v>
      </c>
      <c r="H59" s="4">
        <v>0.03</v>
      </c>
      <c r="I59" s="4">
        <f t="shared" ref="I59:I66" si="9">I58-H59</f>
        <v>0.97</v>
      </c>
      <c r="J59" s="5">
        <v>0</v>
      </c>
      <c r="K59" s="4">
        <v>0</v>
      </c>
      <c r="L59" s="4">
        <v>1</v>
      </c>
      <c r="M59" s="5">
        <v>0</v>
      </c>
      <c r="N59" s="4">
        <v>0</v>
      </c>
      <c r="O59" s="4">
        <v>1</v>
      </c>
      <c r="Q59" s="164" t="s">
        <v>137</v>
      </c>
      <c r="R59" s="194"/>
      <c r="S59" s="3">
        <v>2.7</v>
      </c>
      <c r="T59" s="5">
        <v>2.7</v>
      </c>
      <c r="U59" s="5">
        <v>2.7</v>
      </c>
      <c r="V59" s="5">
        <v>2.7</v>
      </c>
    </row>
    <row r="60" spans="2:22" ht="15.75" customHeight="1">
      <c r="B60" s="131">
        <v>45357</v>
      </c>
      <c r="C60" s="2" t="s">
        <v>34</v>
      </c>
      <c r="D60" s="3">
        <v>140</v>
      </c>
      <c r="E60" s="4">
        <v>0.14000000000000001</v>
      </c>
      <c r="F60" s="4">
        <f t="shared" si="8"/>
        <v>0.79999999999999993</v>
      </c>
      <c r="G60" s="5">
        <v>140</v>
      </c>
      <c r="H60" s="4">
        <v>0.14000000000000001</v>
      </c>
      <c r="I60" s="4">
        <f t="shared" si="9"/>
        <v>0.83</v>
      </c>
      <c r="J60" s="5">
        <v>40</v>
      </c>
      <c r="K60" s="4">
        <v>0.04</v>
      </c>
      <c r="L60" s="4">
        <f t="shared" ref="L60:L66" si="10">L59-K60</f>
        <v>0.96</v>
      </c>
      <c r="M60" s="5">
        <v>70</v>
      </c>
      <c r="N60" s="4">
        <v>7.0000000000000007E-2</v>
      </c>
      <c r="O60" s="4">
        <f t="shared" ref="O60:O66" si="11">O59-N60</f>
        <v>0.92999999999999994</v>
      </c>
    </row>
    <row r="61" spans="2:22" ht="15.75" customHeight="1">
      <c r="B61" s="1" t="s">
        <v>205</v>
      </c>
      <c r="C61" s="2" t="s">
        <v>35</v>
      </c>
      <c r="D61" s="3">
        <v>70</v>
      </c>
      <c r="E61" s="4">
        <v>7.0000000000000007E-2</v>
      </c>
      <c r="F61" s="4">
        <f t="shared" si="8"/>
        <v>0.73</v>
      </c>
      <c r="G61" s="5">
        <v>70</v>
      </c>
      <c r="H61" s="4">
        <v>7.0000000000000007E-2</v>
      </c>
      <c r="I61" s="4">
        <f t="shared" si="9"/>
        <v>0.76</v>
      </c>
      <c r="J61" s="5">
        <v>280</v>
      </c>
      <c r="K61" s="4">
        <v>0.28000000000000003</v>
      </c>
      <c r="L61" s="4">
        <f t="shared" si="10"/>
        <v>0.67999999999999994</v>
      </c>
      <c r="M61" s="5">
        <v>230</v>
      </c>
      <c r="N61" s="4">
        <v>0.23</v>
      </c>
      <c r="O61" s="4">
        <f t="shared" si="11"/>
        <v>0.7</v>
      </c>
    </row>
    <row r="62" spans="2:22" ht="15.75" customHeight="1">
      <c r="B62" s="1" t="s">
        <v>206</v>
      </c>
      <c r="C62" s="2" t="s">
        <v>36</v>
      </c>
      <c r="D62" s="3">
        <v>100</v>
      </c>
      <c r="E62" s="4">
        <v>0.1</v>
      </c>
      <c r="F62" s="4">
        <f t="shared" si="8"/>
        <v>0.63</v>
      </c>
      <c r="G62" s="5">
        <v>140</v>
      </c>
      <c r="H62" s="4">
        <v>0.14000000000000001</v>
      </c>
      <c r="I62" s="4">
        <f t="shared" si="9"/>
        <v>0.62</v>
      </c>
      <c r="J62" s="5">
        <v>130</v>
      </c>
      <c r="K62" s="4">
        <v>0.13</v>
      </c>
      <c r="L62" s="4">
        <f t="shared" si="10"/>
        <v>0.54999999999999993</v>
      </c>
      <c r="M62" s="5">
        <v>160</v>
      </c>
      <c r="N62" s="4">
        <v>0.16</v>
      </c>
      <c r="O62" s="4">
        <f t="shared" si="11"/>
        <v>0.53999999999999992</v>
      </c>
    </row>
    <row r="63" spans="2:22" ht="15.75" customHeight="1">
      <c r="B63" s="1" t="s">
        <v>207</v>
      </c>
      <c r="C63" s="2" t="s">
        <v>38</v>
      </c>
      <c r="D63" s="3">
        <v>200</v>
      </c>
      <c r="E63" s="4">
        <v>0.2</v>
      </c>
      <c r="F63" s="4">
        <f t="shared" si="8"/>
        <v>0.43</v>
      </c>
      <c r="G63" s="5">
        <v>220</v>
      </c>
      <c r="H63" s="4">
        <v>0.22</v>
      </c>
      <c r="I63" s="4">
        <f t="shared" si="9"/>
        <v>0.4</v>
      </c>
      <c r="J63" s="5">
        <v>170</v>
      </c>
      <c r="K63" s="4">
        <v>0.17</v>
      </c>
      <c r="L63" s="4">
        <f t="shared" si="10"/>
        <v>0.37999999999999989</v>
      </c>
      <c r="M63" s="5">
        <v>140</v>
      </c>
      <c r="N63" s="4">
        <v>0.14000000000000001</v>
      </c>
      <c r="O63" s="4">
        <f t="shared" si="11"/>
        <v>0.39999999999999991</v>
      </c>
    </row>
    <row r="64" spans="2:22" ht="15.75" customHeight="1">
      <c r="B64" s="1" t="s">
        <v>208</v>
      </c>
      <c r="C64" s="2" t="s">
        <v>40</v>
      </c>
      <c r="D64" s="3">
        <v>130</v>
      </c>
      <c r="E64" s="4">
        <v>0.13</v>
      </c>
      <c r="F64" s="4">
        <f t="shared" si="8"/>
        <v>0.3</v>
      </c>
      <c r="G64" s="5">
        <v>120</v>
      </c>
      <c r="H64" s="4">
        <v>0.12</v>
      </c>
      <c r="I64" s="4">
        <f t="shared" si="9"/>
        <v>0.28000000000000003</v>
      </c>
      <c r="J64" s="5">
        <v>110</v>
      </c>
      <c r="K64" s="4">
        <v>0.11</v>
      </c>
      <c r="L64" s="4">
        <f t="shared" si="10"/>
        <v>0.26999999999999991</v>
      </c>
      <c r="M64" s="5">
        <v>130</v>
      </c>
      <c r="N64" s="4">
        <v>0.13</v>
      </c>
      <c r="O64" s="4">
        <f t="shared" si="11"/>
        <v>0.26999999999999991</v>
      </c>
    </row>
    <row r="65" spans="2:15" ht="15.75" customHeight="1">
      <c r="B65" s="1" t="s">
        <v>209</v>
      </c>
      <c r="C65" s="2" t="s">
        <v>41</v>
      </c>
      <c r="D65" s="3">
        <v>210</v>
      </c>
      <c r="E65" s="4">
        <v>0.21</v>
      </c>
      <c r="F65" s="4">
        <f t="shared" si="8"/>
        <v>0.09</v>
      </c>
      <c r="G65" s="5">
        <v>160</v>
      </c>
      <c r="H65" s="4">
        <v>0.16</v>
      </c>
      <c r="I65" s="4">
        <f t="shared" si="9"/>
        <v>0.12000000000000002</v>
      </c>
      <c r="J65" s="5">
        <v>170</v>
      </c>
      <c r="K65" s="4">
        <v>0.17</v>
      </c>
      <c r="L65" s="4">
        <f t="shared" si="10"/>
        <v>9.9999999999999895E-2</v>
      </c>
      <c r="M65" s="5">
        <v>150</v>
      </c>
      <c r="N65" s="4">
        <v>0.15</v>
      </c>
      <c r="O65" s="4">
        <f t="shared" si="11"/>
        <v>0.11999999999999991</v>
      </c>
    </row>
    <row r="66" spans="2:15" ht="15.75" customHeight="1">
      <c r="B66" s="9" t="s">
        <v>210</v>
      </c>
      <c r="C66" s="10" t="s">
        <v>43</v>
      </c>
      <c r="D66" s="3">
        <v>40</v>
      </c>
      <c r="E66" s="4">
        <v>0.04</v>
      </c>
      <c r="F66" s="4">
        <f t="shared" si="8"/>
        <v>4.9999999999999996E-2</v>
      </c>
      <c r="G66" s="5">
        <v>90</v>
      </c>
      <c r="H66" s="4">
        <v>0.09</v>
      </c>
      <c r="I66" s="4">
        <f t="shared" si="9"/>
        <v>3.0000000000000027E-2</v>
      </c>
      <c r="J66" s="5">
        <v>60</v>
      </c>
      <c r="K66" s="4">
        <v>0.06</v>
      </c>
      <c r="L66" s="4">
        <f t="shared" si="10"/>
        <v>3.9999999999999897E-2</v>
      </c>
      <c r="M66" s="5">
        <v>90</v>
      </c>
      <c r="N66" s="4">
        <v>0.09</v>
      </c>
      <c r="O66" s="4">
        <f t="shared" si="11"/>
        <v>2.9999999999999916E-2</v>
      </c>
    </row>
    <row r="67" spans="2:15" ht="15.75" customHeight="1">
      <c r="B67" s="164" t="s">
        <v>44</v>
      </c>
      <c r="C67" s="194"/>
      <c r="D67" s="5">
        <v>50</v>
      </c>
      <c r="E67" s="11"/>
      <c r="F67" s="11"/>
      <c r="G67" s="3">
        <v>30</v>
      </c>
      <c r="H67" s="11"/>
      <c r="I67" s="11"/>
      <c r="J67" s="3">
        <v>40</v>
      </c>
      <c r="K67" s="11"/>
      <c r="L67" s="124"/>
      <c r="M67" s="3">
        <v>30</v>
      </c>
      <c r="N67" s="11"/>
      <c r="O67" s="124"/>
    </row>
    <row r="68" spans="2:15" ht="15.75" customHeight="1">
      <c r="B68" s="164" t="s">
        <v>45</v>
      </c>
      <c r="C68" s="194"/>
      <c r="D68" s="5">
        <f>SUM(D52:D67)</f>
        <v>1000</v>
      </c>
      <c r="E68" s="124"/>
      <c r="F68" s="124"/>
      <c r="G68" s="12">
        <f>SUM(G52:G67)</f>
        <v>1000</v>
      </c>
      <c r="H68" s="124"/>
      <c r="I68" s="124"/>
      <c r="J68" s="3">
        <f>SUM(J52:J67)</f>
        <v>1000</v>
      </c>
      <c r="K68" s="124"/>
      <c r="L68" s="124"/>
      <c r="M68" s="3">
        <f>SUM(M52:M67)</f>
        <v>1000</v>
      </c>
      <c r="N68" s="124"/>
      <c r="O68" s="124"/>
    </row>
    <row r="69" spans="2:15" ht="15.75" customHeight="1"/>
    <row r="70" spans="2:15" ht="15.75" customHeight="1"/>
    <row r="71" spans="2:15" ht="15.75" customHeight="1"/>
    <row r="72" spans="2:15" ht="15.75" customHeight="1"/>
    <row r="73" spans="2:15" ht="15.75" customHeight="1"/>
    <row r="74" spans="2:15" ht="15.75" customHeight="1"/>
    <row r="75" spans="2:15" ht="15.75" customHeight="1"/>
    <row r="76" spans="2:15" ht="15.75" customHeight="1"/>
    <row r="77" spans="2:15" ht="15.75" customHeight="1"/>
    <row r="78" spans="2:15" ht="15.75" customHeight="1"/>
    <row r="79" spans="2:15" ht="15.75" customHeight="1"/>
    <row r="80" spans="2:1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D2:F2"/>
    <mergeCell ref="G2:I2"/>
    <mergeCell ref="J2:L2"/>
    <mergeCell ref="M2:O2"/>
    <mergeCell ref="B3:C3"/>
    <mergeCell ref="D3:E3"/>
    <mergeCell ref="G3:H3"/>
    <mergeCell ref="J3:K3"/>
    <mergeCell ref="M3:N3"/>
    <mergeCell ref="Q32:R32"/>
    <mergeCell ref="Q10:R10"/>
    <mergeCell ref="Q11:R11"/>
    <mergeCell ref="Q12:R12"/>
    <mergeCell ref="B20:C20"/>
    <mergeCell ref="B21:C21"/>
    <mergeCell ref="D25:F25"/>
    <mergeCell ref="G25:I25"/>
    <mergeCell ref="J25:L25"/>
    <mergeCell ref="M25:O25"/>
    <mergeCell ref="B26:C26"/>
    <mergeCell ref="D26:E26"/>
    <mergeCell ref="G26:H26"/>
    <mergeCell ref="J26:K26"/>
    <mergeCell ref="M26:N26"/>
    <mergeCell ref="Q33:R33"/>
    <mergeCell ref="Q34:R34"/>
    <mergeCell ref="B43:C43"/>
    <mergeCell ref="B44:C44"/>
    <mergeCell ref="D49:F49"/>
    <mergeCell ref="G49:I49"/>
    <mergeCell ref="J49:L49"/>
    <mergeCell ref="M49:O49"/>
    <mergeCell ref="Q58:R58"/>
    <mergeCell ref="Q59:R59"/>
    <mergeCell ref="B67:C67"/>
    <mergeCell ref="B68:C68"/>
    <mergeCell ref="B50:C50"/>
    <mergeCell ref="D50:E50"/>
    <mergeCell ref="G50:H50"/>
    <mergeCell ref="J50:K50"/>
    <mergeCell ref="M50:N50"/>
    <mergeCell ref="Q57:R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GRAFICOS</vt:lpstr>
      <vt:lpstr>ARIDOS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Wolff</dc:creator>
  <cp:lastModifiedBy>Lukas Wolff</cp:lastModifiedBy>
  <dcterms:created xsi:type="dcterms:W3CDTF">2025-08-16T14:06:29Z</dcterms:created>
  <dcterms:modified xsi:type="dcterms:W3CDTF">2025-08-20T20:28:02Z</dcterms:modified>
</cp:coreProperties>
</file>