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drawings/drawing4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drawings/drawing5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drawings/drawing6.xml" ContentType="application/vnd.openxmlformats-officedocument.drawing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drawings/drawing7.xml" ContentType="application/vnd.openxmlformats-officedocument.drawing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drawings/drawing8.xml" ContentType="application/vnd.openxmlformats-officedocument.drawing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drawings/drawing9.xml" ContentType="application/vnd.openxmlformats-officedocument.drawing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drawings/drawing10.xml" ContentType="application/vnd.openxmlformats-officedocument.drawing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drawings/drawing11.xml" ContentType="application/vnd.openxmlformats-officedocument.drawing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drawings/drawing12.xml" ContentType="application/vnd.openxmlformats-officedocument.drawing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drawings/drawing13.xml" ContentType="application/vnd.openxmlformats-officedocument.drawing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drawings/drawing14.xml" ContentType="application/vnd.openxmlformats-officedocument.drawing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drawings/drawing15.xml" ContentType="application/vnd.openxmlformats-officedocument.drawing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drawings/drawing16.xml" ContentType="application/vnd.openxmlformats-officedocument.drawing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drawings/drawing17.xml" ContentType="application/vnd.openxmlformats-officedocument.drawing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drawings/drawing18.xml" ContentType="application/vnd.openxmlformats-officedocument.drawing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drawings/drawing19.xml" ContentType="application/vnd.openxmlformats-officedocument.drawing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drawings/drawing20.xml" ContentType="application/vnd.openxmlformats-officedocument.drawing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drawings/drawing21.xml" ContentType="application/vnd.openxmlformats-officedocument.drawing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drawings/drawing22.xml" ContentType="application/vnd.openxmlformats-officedocument.drawing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drawings/drawing23.xml" ContentType="application/vnd.openxmlformats-officedocument.drawing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drawings/drawing24.xml" ContentType="application/vnd.openxmlformats-officedocument.drawing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drawings/drawing25.xml" ContentType="application/vnd.openxmlformats-officedocument.drawing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drawings/drawing26.xml" ContentType="application/vnd.openxmlformats-officedocument.drawing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drawings/drawing27.xml" ContentType="application/vnd.openxmlformats-officedocument.drawing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drawings/drawing28.xml" ContentType="application/vnd.openxmlformats-officedocument.drawing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drawings/drawing29.xml" ContentType="application/vnd.openxmlformats-officedocument.drawing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drawings/drawing30.xml" ContentType="application/vnd.openxmlformats-officedocument.drawing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drawings/drawing31.xml" ContentType="application/vnd.openxmlformats-officedocument.drawing+xml"/>
  <Override PartName="/xl/tables/table91.xml" ContentType="application/vnd.openxmlformats-officedocument.spreadsheetml.table+xml"/>
  <Override PartName="/xl/drawings/drawing32.xml" ContentType="application/vnd.openxmlformats-officedocument.drawing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drawings/drawing3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Administrador\Desktop\"/>
    </mc:Choice>
  </mc:AlternateContent>
  <xr:revisionPtr revIDLastSave="0" documentId="8_{30F092AA-F5AC-4E25-9983-EA61D7BA74FC}" xr6:coauthVersionLast="47" xr6:coauthVersionMax="47" xr10:uidLastSave="{00000000-0000-0000-0000-000000000000}"/>
  <bookViews>
    <workbookView xWindow="-120" yWindow="-120" windowWidth="29040" windowHeight="15840" firstSheet="19" activeTab="28" xr2:uid="{33FFEADA-58B6-44E1-8EB2-81A161425D73}"/>
  </bookViews>
  <sheets>
    <sheet name="Dia 30" sheetId="121" r:id="rId1"/>
    <sheet name="Dia 29" sheetId="120" r:id="rId2"/>
    <sheet name="Dia 28" sheetId="119" r:id="rId3"/>
    <sheet name="Dia 27" sheetId="118" r:id="rId4"/>
    <sheet name="Dia 26" sheetId="117" r:id="rId5"/>
    <sheet name="Dia 25" sheetId="116" r:id="rId6"/>
    <sheet name="Dia 24" sheetId="115" r:id="rId7"/>
    <sheet name="Dia 23" sheetId="114" r:id="rId8"/>
    <sheet name="Dia 22" sheetId="113" r:id="rId9"/>
    <sheet name="Dia 21" sheetId="112" r:id="rId10"/>
    <sheet name="Dia 20" sheetId="111" r:id="rId11"/>
    <sheet name="Dia 19" sheetId="110" r:id="rId12"/>
    <sheet name="Dia 18" sheetId="109" r:id="rId13"/>
    <sheet name="Dia 17" sheetId="108" r:id="rId14"/>
    <sheet name="Dia 16" sheetId="107" r:id="rId15"/>
    <sheet name="Dia 15" sheetId="106" r:id="rId16"/>
    <sheet name="Dia 14" sheetId="105" r:id="rId17"/>
    <sheet name="Dia 13" sheetId="104" r:id="rId18"/>
    <sheet name="Dia 12" sheetId="103" r:id="rId19"/>
    <sheet name="Dia 11" sheetId="102" r:id="rId20"/>
    <sheet name="Dia 10" sheetId="101" r:id="rId21"/>
    <sheet name="Dia 09" sheetId="100" r:id="rId22"/>
    <sheet name="Dia 08" sheetId="99" r:id="rId23"/>
    <sheet name="Dia 07" sheetId="98" r:id="rId24"/>
    <sheet name="Dia 06" sheetId="97" r:id="rId25"/>
    <sheet name="Dia 05" sheetId="96" r:id="rId26"/>
    <sheet name="Dia 04" sheetId="95" r:id="rId27"/>
    <sheet name="Dia 03" sheetId="94" r:id="rId28"/>
    <sheet name="Dia 02" sheetId="93" r:id="rId29"/>
    <sheet name="Dia 01" sheetId="64" r:id="rId30"/>
    <sheet name="Fiados" sheetId="11" r:id="rId31"/>
    <sheet name="Historico de abastecimento" sheetId="13" r:id="rId32"/>
    <sheet name="Menu" sheetId="12" r:id="rId33"/>
    <sheet name="Planilha2" sheetId="92" state="hidden" r:id="rId3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21" l="1"/>
  <c r="C43" i="121"/>
  <c r="G42" i="121"/>
  <c r="E42" i="121" s="1"/>
  <c r="C42" i="121"/>
  <c r="G41" i="121"/>
  <c r="E41" i="121" s="1"/>
  <c r="C41" i="121"/>
  <c r="N31" i="121"/>
  <c r="J31" i="121"/>
  <c r="C44" i="120"/>
  <c r="C43" i="120"/>
  <c r="G42" i="120"/>
  <c r="E42" i="120" s="1"/>
  <c r="C42" i="120"/>
  <c r="G41" i="120"/>
  <c r="E41" i="120" s="1"/>
  <c r="C41" i="120"/>
  <c r="N31" i="120"/>
  <c r="J31" i="120"/>
  <c r="C44" i="119"/>
  <c r="C43" i="119"/>
  <c r="G42" i="119"/>
  <c r="E42" i="119" s="1"/>
  <c r="K44" i="119" s="1"/>
  <c r="C42" i="119"/>
  <c r="G41" i="119"/>
  <c r="E41" i="119" s="1"/>
  <c r="C41" i="119"/>
  <c r="N31" i="119"/>
  <c r="J31" i="119"/>
  <c r="C44" i="118"/>
  <c r="C43" i="118"/>
  <c r="G42" i="118"/>
  <c r="E42" i="118" s="1"/>
  <c r="C42" i="118"/>
  <c r="G41" i="118"/>
  <c r="E41" i="118" s="1"/>
  <c r="C41" i="118"/>
  <c r="N31" i="118"/>
  <c r="J31" i="118"/>
  <c r="C44" i="117"/>
  <c r="C43" i="117"/>
  <c r="G42" i="117"/>
  <c r="E42" i="117" s="1"/>
  <c r="C42" i="117"/>
  <c r="G41" i="117"/>
  <c r="E41" i="117" s="1"/>
  <c r="C41" i="117"/>
  <c r="N31" i="117"/>
  <c r="J31" i="117"/>
  <c r="C44" i="116"/>
  <c r="C43" i="116"/>
  <c r="G42" i="116"/>
  <c r="E42" i="116" s="1"/>
  <c r="C42" i="116"/>
  <c r="G41" i="116"/>
  <c r="E41" i="116" s="1"/>
  <c r="C41" i="116"/>
  <c r="N31" i="116"/>
  <c r="J31" i="116"/>
  <c r="C44" i="115"/>
  <c r="C43" i="115"/>
  <c r="G42" i="115"/>
  <c r="E42" i="115" s="1"/>
  <c r="C42" i="115"/>
  <c r="G41" i="115"/>
  <c r="E41" i="115" s="1"/>
  <c r="C41" i="115"/>
  <c r="N31" i="115"/>
  <c r="J31" i="115"/>
  <c r="C44" i="114"/>
  <c r="C43" i="114"/>
  <c r="G42" i="114"/>
  <c r="E42" i="114" s="1"/>
  <c r="C42" i="114"/>
  <c r="G41" i="114"/>
  <c r="E41" i="114" s="1"/>
  <c r="C41" i="114"/>
  <c r="N31" i="114"/>
  <c r="J31" i="114"/>
  <c r="C44" i="113"/>
  <c r="C43" i="113"/>
  <c r="G42" i="113"/>
  <c r="E42" i="113" s="1"/>
  <c r="C42" i="113"/>
  <c r="G41" i="113"/>
  <c r="E41" i="113" s="1"/>
  <c r="C41" i="113"/>
  <c r="N31" i="113"/>
  <c r="J31" i="113"/>
  <c r="C44" i="112"/>
  <c r="C43" i="112"/>
  <c r="G42" i="112"/>
  <c r="E42" i="112" s="1"/>
  <c r="C42" i="112"/>
  <c r="G41" i="112"/>
  <c r="E41" i="112" s="1"/>
  <c r="C41" i="112"/>
  <c r="N31" i="112"/>
  <c r="J31" i="112"/>
  <c r="C44" i="111"/>
  <c r="C43" i="111"/>
  <c r="G42" i="111"/>
  <c r="E42" i="111" s="1"/>
  <c r="C42" i="111"/>
  <c r="G41" i="111"/>
  <c r="E41" i="111" s="1"/>
  <c r="C41" i="111"/>
  <c r="N31" i="111"/>
  <c r="J31" i="111"/>
  <c r="C44" i="110"/>
  <c r="C43" i="110"/>
  <c r="G42" i="110"/>
  <c r="E42" i="110" s="1"/>
  <c r="C42" i="110"/>
  <c r="G41" i="110"/>
  <c r="E41" i="110" s="1"/>
  <c r="C41" i="110"/>
  <c r="N31" i="110"/>
  <c r="J31" i="110"/>
  <c r="C44" i="109"/>
  <c r="C43" i="109"/>
  <c r="G42" i="109"/>
  <c r="E42" i="109" s="1"/>
  <c r="K44" i="109" s="1"/>
  <c r="C42" i="109"/>
  <c r="G41" i="109"/>
  <c r="E41" i="109" s="1"/>
  <c r="J44" i="109" s="1"/>
  <c r="C41" i="109"/>
  <c r="N31" i="109"/>
  <c r="J31" i="109"/>
  <c r="C44" i="108"/>
  <c r="C43" i="108"/>
  <c r="G42" i="108"/>
  <c r="E42" i="108" s="1"/>
  <c r="C42" i="108"/>
  <c r="G41" i="108"/>
  <c r="E41" i="108" s="1"/>
  <c r="C41" i="108"/>
  <c r="N31" i="108"/>
  <c r="J31" i="108"/>
  <c r="E44" i="108" s="1"/>
  <c r="C44" i="107"/>
  <c r="C43" i="107"/>
  <c r="G42" i="107"/>
  <c r="E42" i="107" s="1"/>
  <c r="C42" i="107"/>
  <c r="G41" i="107"/>
  <c r="E41" i="107" s="1"/>
  <c r="C41" i="107"/>
  <c r="N31" i="107"/>
  <c r="J31" i="107"/>
  <c r="C44" i="106"/>
  <c r="C43" i="106"/>
  <c r="G42" i="106"/>
  <c r="E42" i="106" s="1"/>
  <c r="C42" i="106"/>
  <c r="G41" i="106"/>
  <c r="E41" i="106" s="1"/>
  <c r="C41" i="106"/>
  <c r="N31" i="106"/>
  <c r="J31" i="106"/>
  <c r="C44" i="105"/>
  <c r="C43" i="105"/>
  <c r="G42" i="105"/>
  <c r="E42" i="105" s="1"/>
  <c r="C42" i="105"/>
  <c r="G41" i="105"/>
  <c r="E41" i="105" s="1"/>
  <c r="C41" i="105"/>
  <c r="N31" i="105"/>
  <c r="J31" i="105"/>
  <c r="C44" i="104"/>
  <c r="C43" i="104"/>
  <c r="G42" i="104"/>
  <c r="E42" i="104" s="1"/>
  <c r="C42" i="104"/>
  <c r="G41" i="104"/>
  <c r="E41" i="104" s="1"/>
  <c r="C41" i="104"/>
  <c r="N31" i="104"/>
  <c r="J31" i="104"/>
  <c r="C44" i="103"/>
  <c r="C43" i="103"/>
  <c r="G42" i="103"/>
  <c r="E42" i="103" s="1"/>
  <c r="C42" i="103"/>
  <c r="G41" i="103"/>
  <c r="E41" i="103" s="1"/>
  <c r="C41" i="103"/>
  <c r="N31" i="103"/>
  <c r="J31" i="103"/>
  <c r="C44" i="102"/>
  <c r="C43" i="102"/>
  <c r="G42" i="102"/>
  <c r="E42" i="102" s="1"/>
  <c r="C42" i="102"/>
  <c r="G41" i="102"/>
  <c r="E41" i="102" s="1"/>
  <c r="C41" i="102"/>
  <c r="N31" i="102"/>
  <c r="J31" i="102"/>
  <c r="C44" i="101"/>
  <c r="C43" i="101"/>
  <c r="G42" i="101"/>
  <c r="E42" i="101" s="1"/>
  <c r="C42" i="101"/>
  <c r="G41" i="101"/>
  <c r="E41" i="101" s="1"/>
  <c r="C41" i="101"/>
  <c r="N31" i="101"/>
  <c r="J31" i="101"/>
  <c r="C44" i="100"/>
  <c r="C43" i="100"/>
  <c r="G42" i="100"/>
  <c r="E42" i="100" s="1"/>
  <c r="C42" i="100"/>
  <c r="G41" i="100"/>
  <c r="E41" i="100" s="1"/>
  <c r="C41" i="100"/>
  <c r="N31" i="100"/>
  <c r="J31" i="100"/>
  <c r="C44" i="99"/>
  <c r="C43" i="99"/>
  <c r="G42" i="99"/>
  <c r="E42" i="99" s="1"/>
  <c r="C42" i="99"/>
  <c r="G41" i="99"/>
  <c r="E41" i="99" s="1"/>
  <c r="C41" i="99"/>
  <c r="N31" i="99"/>
  <c r="J31" i="99"/>
  <c r="C44" i="98"/>
  <c r="C43" i="98"/>
  <c r="G42" i="98"/>
  <c r="E42" i="98" s="1"/>
  <c r="C42" i="98"/>
  <c r="G41" i="98"/>
  <c r="E41" i="98" s="1"/>
  <c r="C41" i="98"/>
  <c r="N31" i="98"/>
  <c r="J31" i="98"/>
  <c r="C44" i="97"/>
  <c r="C43" i="97"/>
  <c r="G42" i="97"/>
  <c r="E42" i="97" s="1"/>
  <c r="C42" i="97"/>
  <c r="G41" i="97"/>
  <c r="E41" i="97" s="1"/>
  <c r="C41" i="97"/>
  <c r="N31" i="97"/>
  <c r="J31" i="97"/>
  <c r="C44" i="96"/>
  <c r="C43" i="96"/>
  <c r="G42" i="96"/>
  <c r="E42" i="96" s="1"/>
  <c r="C42" i="96"/>
  <c r="G41" i="96"/>
  <c r="E41" i="96" s="1"/>
  <c r="C41" i="96"/>
  <c r="N31" i="96"/>
  <c r="J31" i="96"/>
  <c r="C44" i="95"/>
  <c r="C43" i="95"/>
  <c r="G42" i="95"/>
  <c r="E42" i="95" s="1"/>
  <c r="C42" i="95"/>
  <c r="G41" i="95"/>
  <c r="E41" i="95" s="1"/>
  <c r="C41" i="95"/>
  <c r="N31" i="95"/>
  <c r="J31" i="95"/>
  <c r="C44" i="94"/>
  <c r="C43" i="94"/>
  <c r="G42" i="94"/>
  <c r="E42" i="94" s="1"/>
  <c r="C42" i="94"/>
  <c r="G41" i="94"/>
  <c r="E41" i="94" s="1"/>
  <c r="C41" i="94"/>
  <c r="N31" i="94"/>
  <c r="J31" i="94"/>
  <c r="C44" i="93"/>
  <c r="C43" i="93"/>
  <c r="G42" i="93"/>
  <c r="E42" i="93" s="1"/>
  <c r="C42" i="93"/>
  <c r="G41" i="93"/>
  <c r="E41" i="93" s="1"/>
  <c r="C41" i="93"/>
  <c r="N31" i="93"/>
  <c r="J31" i="93"/>
  <c r="C44" i="64"/>
  <c r="C43" i="64"/>
  <c r="G42" i="64"/>
  <c r="E42" i="64" s="1"/>
  <c r="C42" i="64"/>
  <c r="G41" i="64"/>
  <c r="E41" i="64" s="1"/>
  <c r="C41" i="64"/>
  <c r="N31" i="64"/>
  <c r="J31" i="64"/>
  <c r="B63" i="11"/>
  <c r="M6" i="13"/>
  <c r="H8" i="11"/>
  <c r="H6" i="11"/>
  <c r="E44" i="121" l="1"/>
  <c r="K44" i="121"/>
  <c r="K43" i="121"/>
  <c r="J44" i="121"/>
  <c r="J43" i="121"/>
  <c r="E44" i="120"/>
  <c r="K44" i="120"/>
  <c r="K43" i="120"/>
  <c r="J44" i="120"/>
  <c r="J43" i="120"/>
  <c r="E44" i="119"/>
  <c r="J44" i="119"/>
  <c r="J43" i="119"/>
  <c r="K43" i="119"/>
  <c r="E44" i="118"/>
  <c r="J44" i="118"/>
  <c r="J43" i="118"/>
  <c r="K44" i="118"/>
  <c r="K43" i="118"/>
  <c r="E44" i="117"/>
  <c r="K44" i="117"/>
  <c r="K43" i="117"/>
  <c r="J44" i="117"/>
  <c r="J43" i="117"/>
  <c r="E44" i="116"/>
  <c r="J44" i="116"/>
  <c r="J43" i="116"/>
  <c r="K44" i="116"/>
  <c r="K43" i="116"/>
  <c r="E44" i="115"/>
  <c r="J44" i="115"/>
  <c r="J43" i="115"/>
  <c r="K44" i="115"/>
  <c r="K43" i="115"/>
  <c r="E44" i="114"/>
  <c r="K44" i="114"/>
  <c r="K43" i="114"/>
  <c r="J44" i="114"/>
  <c r="J43" i="114"/>
  <c r="E44" i="113"/>
  <c r="K44" i="113"/>
  <c r="K43" i="113"/>
  <c r="J44" i="113"/>
  <c r="J43" i="113"/>
  <c r="E44" i="112"/>
  <c r="K44" i="112"/>
  <c r="K43" i="112"/>
  <c r="J44" i="112"/>
  <c r="J43" i="112"/>
  <c r="E44" i="111"/>
  <c r="J44" i="111"/>
  <c r="J43" i="111"/>
  <c r="K44" i="111"/>
  <c r="K43" i="111"/>
  <c r="E44" i="110"/>
  <c r="J44" i="110"/>
  <c r="J43" i="110"/>
  <c r="K44" i="110"/>
  <c r="K43" i="110"/>
  <c r="E44" i="109"/>
  <c r="J43" i="109"/>
  <c r="K43" i="109"/>
  <c r="J44" i="108"/>
  <c r="J43" i="108"/>
  <c r="K44" i="108"/>
  <c r="K43" i="108"/>
  <c r="E44" i="107"/>
  <c r="J44" i="107"/>
  <c r="J43" i="107"/>
  <c r="K44" i="107"/>
  <c r="K43" i="107"/>
  <c r="E44" i="106"/>
  <c r="J44" i="106"/>
  <c r="J43" i="106"/>
  <c r="K44" i="106"/>
  <c r="K43" i="106"/>
  <c r="E44" i="105"/>
  <c r="J44" i="105"/>
  <c r="J43" i="105"/>
  <c r="K44" i="105"/>
  <c r="K43" i="105"/>
  <c r="E44" i="104"/>
  <c r="J44" i="104"/>
  <c r="J43" i="104"/>
  <c r="K44" i="104"/>
  <c r="K43" i="104"/>
  <c r="E44" i="103"/>
  <c r="J44" i="103"/>
  <c r="J43" i="103"/>
  <c r="K44" i="103"/>
  <c r="K43" i="103"/>
  <c r="E44" i="102"/>
  <c r="K44" i="102"/>
  <c r="K43" i="102"/>
  <c r="J44" i="102"/>
  <c r="J43" i="102"/>
  <c r="E44" i="101"/>
  <c r="J44" i="101"/>
  <c r="J43" i="101"/>
  <c r="K44" i="101"/>
  <c r="K43" i="101"/>
  <c r="E44" i="100"/>
  <c r="K44" i="100"/>
  <c r="K43" i="100"/>
  <c r="J44" i="100"/>
  <c r="J43" i="100"/>
  <c r="E44" i="99"/>
  <c r="J44" i="99"/>
  <c r="J43" i="99"/>
  <c r="K44" i="99"/>
  <c r="K43" i="99"/>
  <c r="E44" i="98"/>
  <c r="J44" i="98"/>
  <c r="J43" i="98"/>
  <c r="K44" i="98"/>
  <c r="K43" i="98"/>
  <c r="E44" i="97"/>
  <c r="J44" i="97"/>
  <c r="J43" i="97"/>
  <c r="K44" i="97"/>
  <c r="K43" i="97"/>
  <c r="E44" i="96"/>
  <c r="J44" i="96"/>
  <c r="J43" i="96"/>
  <c r="K44" i="96"/>
  <c r="K43" i="96"/>
  <c r="E44" i="95"/>
  <c r="K44" i="95"/>
  <c r="K43" i="95"/>
  <c r="J44" i="95"/>
  <c r="J43" i="95"/>
  <c r="E44" i="94"/>
  <c r="K44" i="94"/>
  <c r="K43" i="94"/>
  <c r="J44" i="94"/>
  <c r="J43" i="94"/>
  <c r="E44" i="93"/>
  <c r="J44" i="93"/>
  <c r="J43" i="93"/>
  <c r="K44" i="93"/>
  <c r="K43" i="93"/>
  <c r="E44" i="64"/>
  <c r="J44" i="64"/>
  <c r="J43" i="64"/>
  <c r="K44" i="64"/>
  <c r="K43" i="64"/>
  <c r="M7" i="13"/>
</calcChain>
</file>

<file path=xl/sharedStrings.xml><?xml version="1.0" encoding="utf-8"?>
<sst xmlns="http://schemas.openxmlformats.org/spreadsheetml/2006/main" count="2778" uniqueCount="472">
  <si>
    <t>Endereço</t>
  </si>
  <si>
    <t>Bairro</t>
  </si>
  <si>
    <t>Valor</t>
  </si>
  <si>
    <t>Forma de Pagamento</t>
  </si>
  <si>
    <t>Data</t>
  </si>
  <si>
    <t>Gás</t>
  </si>
  <si>
    <t>Cheio</t>
  </si>
  <si>
    <t>Vazio</t>
  </si>
  <si>
    <t>Água</t>
  </si>
  <si>
    <t>Item</t>
  </si>
  <si>
    <t>Dinheiro</t>
  </si>
  <si>
    <t>Cartão</t>
  </si>
  <si>
    <t>Pix</t>
  </si>
  <si>
    <t>Fiado</t>
  </si>
  <si>
    <t>Caixa Final</t>
  </si>
  <si>
    <t>Caixa inicial</t>
  </si>
  <si>
    <t>Gás Vendido</t>
  </si>
  <si>
    <t>Água Vendida</t>
  </si>
  <si>
    <t>Descrição</t>
  </si>
  <si>
    <t>Estoque inicial</t>
  </si>
  <si>
    <t>Estoque Final</t>
  </si>
  <si>
    <t>Saida de caixa</t>
  </si>
  <si>
    <t>Gásto total</t>
  </si>
  <si>
    <t>Comprou</t>
  </si>
  <si>
    <t>Abastecimento</t>
  </si>
  <si>
    <t>Gás completo</t>
  </si>
  <si>
    <t>QUANTIDADE</t>
  </si>
  <si>
    <t>Água completa</t>
  </si>
  <si>
    <t>Cliente</t>
  </si>
  <si>
    <t>VALOR</t>
  </si>
  <si>
    <t>DIA/PAGAR</t>
  </si>
  <si>
    <t>SITUAÇÃO</t>
  </si>
  <si>
    <t>PAGO</t>
  </si>
  <si>
    <t xml:space="preserve">                                                        </t>
  </si>
  <si>
    <t xml:space="preserve">  </t>
  </si>
  <si>
    <t xml:space="preserve">                  </t>
  </si>
  <si>
    <t xml:space="preserve"> </t>
  </si>
  <si>
    <t>Quantidade</t>
  </si>
  <si>
    <t xml:space="preserve"> Data</t>
  </si>
  <si>
    <t>Fornecedor</t>
  </si>
  <si>
    <t>Magalhães</t>
  </si>
  <si>
    <t>Zezinho</t>
  </si>
  <si>
    <t>total</t>
  </si>
  <si>
    <t>Coluna1</t>
  </si>
  <si>
    <t>valor</t>
  </si>
  <si>
    <t>Taguatur</t>
  </si>
  <si>
    <t>Hamburgue</t>
  </si>
  <si>
    <t>park 14</t>
  </si>
  <si>
    <t>Gabriel</t>
  </si>
  <si>
    <t>mae da monaira</t>
  </si>
  <si>
    <t>Welton</t>
  </si>
  <si>
    <t>park 11</t>
  </si>
  <si>
    <t>Filha do sr zé</t>
  </si>
  <si>
    <t>Q 227 lt 07c</t>
  </si>
  <si>
    <t>Jose da marechal</t>
  </si>
  <si>
    <t>Mercado 12/ 60 lt 30</t>
  </si>
  <si>
    <t>Filha daa dora</t>
  </si>
  <si>
    <t>Ceara</t>
  </si>
  <si>
    <t>Frango</t>
  </si>
  <si>
    <t>Thais</t>
  </si>
  <si>
    <t>Enoque</t>
  </si>
  <si>
    <t>40 lt 32b /marcos</t>
  </si>
  <si>
    <t>BAIANA PÉ DE CACAUA</t>
  </si>
  <si>
    <t>Batista</t>
  </si>
  <si>
    <t>Adailton</t>
  </si>
  <si>
    <t>Jose ferreira</t>
  </si>
  <si>
    <t>104 LT 4 / ROSAGELA</t>
  </si>
  <si>
    <t>João pintor</t>
  </si>
  <si>
    <t>park s.a</t>
  </si>
  <si>
    <t>6B LT 34</t>
  </si>
  <si>
    <t>86 lt 8</t>
  </si>
  <si>
    <t>Cabça branca</t>
  </si>
  <si>
    <t>Adelson</t>
  </si>
  <si>
    <t>ZÉ VALDO</t>
  </si>
  <si>
    <t>15 LT 16</t>
  </si>
  <si>
    <t>80 LT 205 A 6</t>
  </si>
  <si>
    <t>Iva 1 lt 30</t>
  </si>
  <si>
    <t>Carlos irmaõ do z</t>
  </si>
  <si>
    <t>Paraguai</t>
  </si>
  <si>
    <t>2 lt 15</t>
  </si>
  <si>
    <t>40b lt 17b</t>
  </si>
  <si>
    <t>Cabeça Branca</t>
  </si>
  <si>
    <t>120 lt 20</t>
  </si>
  <si>
    <t>16 lt 1</t>
  </si>
  <si>
    <t>40 lt 2b</t>
  </si>
  <si>
    <t>17 lt 01</t>
  </si>
  <si>
    <t>82 lt 11a</t>
  </si>
  <si>
    <t>240 LT 36B</t>
  </si>
  <si>
    <t>PARK 16</t>
  </si>
  <si>
    <t>91 LT 17A</t>
  </si>
  <si>
    <t>CENTRO</t>
  </si>
  <si>
    <t>Portaria</t>
  </si>
  <si>
    <t>Baiano</t>
  </si>
  <si>
    <t>Raimundo</t>
  </si>
  <si>
    <t>conj F</t>
  </si>
  <si>
    <t>Socorrinha</t>
  </si>
  <si>
    <t>56 lt 25</t>
  </si>
  <si>
    <t>44 LT 1</t>
  </si>
  <si>
    <t>2 lt 10</t>
  </si>
  <si>
    <t>sr joão</t>
  </si>
  <si>
    <t>36 lt 13</t>
  </si>
  <si>
    <t>Maria cond verde</t>
  </si>
  <si>
    <t>Milho</t>
  </si>
  <si>
    <t>edson</t>
  </si>
  <si>
    <t>c lt 6</t>
  </si>
  <si>
    <t>Satelite</t>
  </si>
  <si>
    <t>Maria/cond veerde</t>
  </si>
  <si>
    <t>Edson</t>
  </si>
  <si>
    <t>antonia</t>
  </si>
  <si>
    <t>filha do ceara</t>
  </si>
  <si>
    <t>15 lt 10</t>
  </si>
  <si>
    <t>Simone</t>
  </si>
  <si>
    <t>6 lt 27</t>
  </si>
  <si>
    <t>mc</t>
  </si>
  <si>
    <t>119 lt 14</t>
  </si>
  <si>
    <t>257 lt 23</t>
  </si>
  <si>
    <t>B lt 3 c 2</t>
  </si>
  <si>
    <t>125 lt 2b</t>
  </si>
  <si>
    <t>158 lt 11</t>
  </si>
  <si>
    <t>Saraiva</t>
  </si>
  <si>
    <t>amanha</t>
  </si>
  <si>
    <t>nascimonto</t>
  </si>
  <si>
    <t>cond verde c 14</t>
  </si>
  <si>
    <t>56 lt 101</t>
  </si>
  <si>
    <t>monairaa</t>
  </si>
  <si>
    <t>d lt 7</t>
  </si>
  <si>
    <t>socorrinha</t>
  </si>
  <si>
    <t>lorival</t>
  </si>
  <si>
    <t>sogra edvando</t>
  </si>
  <si>
    <t>102  lt 8</t>
  </si>
  <si>
    <t>118 lt 4</t>
  </si>
  <si>
    <t>6 lt 10</t>
  </si>
  <si>
    <t>41 lt 24</t>
  </si>
  <si>
    <t>70 lt 163 c dk</t>
  </si>
  <si>
    <t>4 lt 36</t>
  </si>
  <si>
    <t>Mariano</t>
  </si>
  <si>
    <t>zula</t>
  </si>
  <si>
    <t>jhonny</t>
  </si>
  <si>
    <t>115 lt 1</t>
  </si>
  <si>
    <t>97lt 14</t>
  </si>
  <si>
    <t>35 lt 6a</t>
  </si>
  <si>
    <t>5 lt 1</t>
  </si>
  <si>
    <t>marcio</t>
  </si>
  <si>
    <t>montees claro1</t>
  </si>
  <si>
    <t>portaria</t>
  </si>
  <si>
    <t>40b lt 13</t>
  </si>
  <si>
    <t xml:space="preserve">beatriz </t>
  </si>
  <si>
    <t>bar</t>
  </si>
  <si>
    <t xml:space="preserve">Ceara / 58 lt </t>
  </si>
  <si>
    <t>Pastor Gledior</t>
  </si>
  <si>
    <t>0b lt 23</t>
  </si>
  <si>
    <t>Patricia</t>
  </si>
  <si>
    <t>p</t>
  </si>
  <si>
    <t>247 lt 26b</t>
  </si>
  <si>
    <t>park 17</t>
  </si>
  <si>
    <t>100 lt 8</t>
  </si>
  <si>
    <t>67 lt 10 / iva meesea</t>
  </si>
  <si>
    <t>67 lt 10 / iva meesa</t>
  </si>
  <si>
    <t>pastor gleison</t>
  </si>
  <si>
    <t>park 12</t>
  </si>
  <si>
    <t>EEVA</t>
  </si>
  <si>
    <t>PANIFICADO EEMANUELA</t>
  </si>
  <si>
    <t>TAGUATUR</t>
  </si>
  <si>
    <t>NEETO</t>
  </si>
  <si>
    <t>ELIANE</t>
  </si>
  <si>
    <t>92 LT 16A</t>
  </si>
  <si>
    <t>265 lt 16</t>
  </si>
  <si>
    <t>100 lt 03b</t>
  </si>
  <si>
    <t>36 lt 21</t>
  </si>
  <si>
    <t>81 lt 1</t>
  </si>
  <si>
    <t>12 lt 8</t>
  </si>
  <si>
    <t>85 lt 1</t>
  </si>
  <si>
    <t>43 lt 12</t>
  </si>
  <si>
    <t>110a lt 6</t>
  </si>
  <si>
    <t>Adãop</t>
  </si>
  <si>
    <t>72 lt 11b</t>
  </si>
  <si>
    <t>72 lt 5</t>
  </si>
  <si>
    <t>40 LT 8B</t>
  </si>
  <si>
    <t>Cond verdee c6</t>
  </si>
  <si>
    <t>199 lt 5</t>
  </si>
  <si>
    <t>m</t>
  </si>
  <si>
    <t>110b lt 17</t>
  </si>
  <si>
    <t>smb</t>
  </si>
  <si>
    <t>34 lt 6</t>
  </si>
  <si>
    <t>39 lt 16</t>
  </si>
  <si>
    <t>54 lt 16a</t>
  </si>
  <si>
    <t>cond francisco</t>
  </si>
  <si>
    <t>42 lt 5a</t>
  </si>
  <si>
    <t>17 lt 19</t>
  </si>
  <si>
    <t>sr raimundo</t>
  </si>
  <si>
    <t>sr manuel</t>
  </si>
  <si>
    <t>11 lt 30</t>
  </si>
  <si>
    <t>cond verde c6</t>
  </si>
  <si>
    <t>4 lt 20</t>
  </si>
  <si>
    <t>Mae da monaira</t>
  </si>
  <si>
    <t>Juarez</t>
  </si>
  <si>
    <t>Galeguim</t>
  </si>
  <si>
    <t>IVA DA MESA</t>
  </si>
  <si>
    <t>98 lt 17</t>
  </si>
  <si>
    <t>99 lt 17</t>
  </si>
  <si>
    <t>PM</t>
  </si>
  <si>
    <t>100 LT 20A</t>
  </si>
  <si>
    <t>183 lt x</t>
  </si>
  <si>
    <t>park 13</t>
  </si>
  <si>
    <t>9 lt 1</t>
  </si>
  <si>
    <t>08//09</t>
  </si>
  <si>
    <t>CHACARA</t>
  </si>
  <si>
    <t xml:space="preserve">70 lt 172 </t>
  </si>
  <si>
    <t>117 lt 24</t>
  </si>
  <si>
    <t>8 lt 36</t>
  </si>
  <si>
    <t>1 lt 3</t>
  </si>
  <si>
    <t>1 lt 6b</t>
  </si>
  <si>
    <t>beira rio</t>
  </si>
  <si>
    <t>dorian</t>
  </si>
  <si>
    <t>SALAÕ</t>
  </si>
  <si>
    <t>zezinho do salão</t>
  </si>
  <si>
    <t xml:space="preserve">25 lt </t>
  </si>
  <si>
    <t xml:space="preserve">45 lt 1 </t>
  </si>
  <si>
    <t>45 lt 15</t>
  </si>
  <si>
    <t xml:space="preserve">Frango </t>
  </si>
  <si>
    <t>socorrinhaa</t>
  </si>
  <si>
    <t>85 LT 1</t>
  </si>
  <si>
    <t>PARK 12</t>
  </si>
  <si>
    <t>Nora juveenal</t>
  </si>
  <si>
    <t>Largatia</t>
  </si>
  <si>
    <t>8 lt 3</t>
  </si>
  <si>
    <t>Rua</t>
  </si>
  <si>
    <t>96 lt 20</t>
  </si>
  <si>
    <t>11 lt 11a</t>
  </si>
  <si>
    <t>90 lt 226 dk</t>
  </si>
  <si>
    <t>Beatriz</t>
  </si>
  <si>
    <t>Irma da edna</t>
  </si>
  <si>
    <t>J.D</t>
  </si>
  <si>
    <t>19 LT 4</t>
  </si>
  <si>
    <t>110 LT 10</t>
  </si>
  <si>
    <t>PARK 14</t>
  </si>
  <si>
    <t>C LT 24</t>
  </si>
  <si>
    <t>AMPARA</t>
  </si>
  <si>
    <t>CARLITA</t>
  </si>
  <si>
    <t>60 LT 9A</t>
  </si>
  <si>
    <t>Carlos</t>
  </si>
  <si>
    <t>47 lt 11 a</t>
  </si>
  <si>
    <t>vale do amanhace</t>
  </si>
  <si>
    <t>beatriz</t>
  </si>
  <si>
    <t>18 lt 8</t>
  </si>
  <si>
    <t>francissco</t>
  </si>
  <si>
    <t>71 lt 13 a3</t>
  </si>
  <si>
    <t>2 lt 3</t>
  </si>
  <si>
    <t>chiqunho</t>
  </si>
  <si>
    <t>102 llt 7</t>
  </si>
  <si>
    <t xml:space="preserve">70 lt 226 </t>
  </si>
  <si>
    <t>Nora do juvenal</t>
  </si>
  <si>
    <t>60 lt 6a</t>
  </si>
  <si>
    <t>petsita</t>
  </si>
  <si>
    <t>centro</t>
  </si>
  <si>
    <t>76 lt 3 c 2</t>
  </si>
  <si>
    <t>147 lt 28</t>
  </si>
  <si>
    <t>maria auiliadora</t>
  </si>
  <si>
    <t>so de brendo</t>
  </si>
  <si>
    <t>155 lt 1</t>
  </si>
  <si>
    <t>pedreeeiro</t>
  </si>
  <si>
    <t>20 lt 11</t>
  </si>
  <si>
    <t>10 LT 16</t>
  </si>
  <si>
    <t>74 LT 1</t>
  </si>
  <si>
    <t>adão</t>
  </si>
  <si>
    <t>mara</t>
  </si>
  <si>
    <t>15 lt 9</t>
  </si>
  <si>
    <t>22 lt 26b</t>
  </si>
  <si>
    <t>10 lt 4</t>
  </si>
  <si>
    <t>irma manoel</t>
  </si>
  <si>
    <t>107 lt 14</t>
  </si>
  <si>
    <t>23 lt 26</t>
  </si>
  <si>
    <t>5 lt 9</t>
  </si>
  <si>
    <t>netia</t>
  </si>
  <si>
    <t>caarlos</t>
  </si>
  <si>
    <t>gabrie</t>
  </si>
  <si>
    <t>440 lt 17</t>
  </si>
  <si>
    <t>120b lt 3</t>
  </si>
  <si>
    <t>mercadinho</t>
  </si>
  <si>
    <t>vale</t>
  </si>
  <si>
    <t>ceara</t>
  </si>
  <si>
    <t>poliana</t>
  </si>
  <si>
    <t>23 lt 27</t>
  </si>
  <si>
    <t>76 lt 2</t>
  </si>
  <si>
    <t>gas</t>
  </si>
  <si>
    <t>Monaira</t>
  </si>
  <si>
    <t>COND C 22</t>
  </si>
  <si>
    <t>1 lt 12</t>
  </si>
  <si>
    <t>v.c</t>
  </si>
  <si>
    <t>5 lt 55</t>
  </si>
  <si>
    <t>irmão manuel</t>
  </si>
  <si>
    <t>pai ou fi</t>
  </si>
  <si>
    <t>12 LT 4A</t>
  </si>
  <si>
    <t>40B LT 15</t>
  </si>
  <si>
    <t>8 LT 9</t>
  </si>
  <si>
    <t>56 LT 1B</t>
  </si>
  <si>
    <t>RAFAEL</t>
  </si>
  <si>
    <t>47 LT 33</t>
  </si>
  <si>
    <t>CARECA</t>
  </si>
  <si>
    <t>leida</t>
  </si>
  <si>
    <t>97 lt 27</t>
  </si>
  <si>
    <t>32 lt 16</t>
  </si>
  <si>
    <t>petista</t>
  </si>
  <si>
    <t>43 lt 36</t>
  </si>
  <si>
    <t>249 lt 22</t>
  </si>
  <si>
    <t>39 lt 15</t>
  </si>
  <si>
    <t>Centro</t>
  </si>
  <si>
    <t>Amando</t>
  </si>
  <si>
    <t>Gordin</t>
  </si>
  <si>
    <t>Cabeça branca</t>
  </si>
  <si>
    <t>donizete</t>
  </si>
  <si>
    <t>PASTOR</t>
  </si>
  <si>
    <t>1 LT 4</t>
  </si>
  <si>
    <t>PARAGUAI</t>
  </si>
  <si>
    <t>SEU PEDRO</t>
  </si>
  <si>
    <t>6A LT 6</t>
  </si>
  <si>
    <t>20 LT 14</t>
  </si>
  <si>
    <t>IRMAA DO ZE</t>
  </si>
  <si>
    <t>2 LT 8</t>
  </si>
  <si>
    <t>128 LT 02B</t>
  </si>
  <si>
    <t>56B</t>
  </si>
  <si>
    <t>gALEGO</t>
  </si>
  <si>
    <t>3LT 10</t>
  </si>
  <si>
    <t>park 16</t>
  </si>
  <si>
    <t>Velho</t>
  </si>
  <si>
    <t>Pago</t>
  </si>
  <si>
    <t>163 lt 8</t>
  </si>
  <si>
    <t>158 lt 12</t>
  </si>
  <si>
    <t>Pedreiro</t>
  </si>
  <si>
    <t>6 lt 40</t>
  </si>
  <si>
    <t>m.c1</t>
  </si>
  <si>
    <t>1 lt 1</t>
  </si>
  <si>
    <t>´9 lt 26</t>
  </si>
  <si>
    <t>v.e</t>
  </si>
  <si>
    <t>88 lt 5</t>
  </si>
  <si>
    <t>44 lt 4</t>
  </si>
  <si>
    <t>emanda</t>
  </si>
  <si>
    <t>socorrinho</t>
  </si>
  <si>
    <t>40 lt 31b</t>
  </si>
  <si>
    <t>SOCORRINHO</t>
  </si>
  <si>
    <t>GABRIEL</t>
  </si>
  <si>
    <t>Adão</t>
  </si>
  <si>
    <t>cond verde c 6</t>
  </si>
  <si>
    <t>8 l 3a</t>
  </si>
  <si>
    <t>Pastor do santana</t>
  </si>
  <si>
    <t>henrique</t>
  </si>
  <si>
    <t>4 lt 9b</t>
  </si>
  <si>
    <t>145 lt 17</t>
  </si>
  <si>
    <t>91 lt 30a</t>
  </si>
  <si>
    <t>12 lt 9</t>
  </si>
  <si>
    <t>jaoo faazzendeir</t>
  </si>
  <si>
    <t>Vitor</t>
  </si>
  <si>
    <t>gleo</t>
  </si>
  <si>
    <t>Céara</t>
  </si>
  <si>
    <t>100 lt 22</t>
  </si>
  <si>
    <t>Chiquinho</t>
  </si>
  <si>
    <t>80 lt 205</t>
  </si>
  <si>
    <t>21 lt 32b</t>
  </si>
  <si>
    <t>park .s.a</t>
  </si>
  <si>
    <t>30 lt 08n</t>
  </si>
  <si>
    <t>Iara</t>
  </si>
  <si>
    <t>54 lt 15</t>
  </si>
  <si>
    <t>careca vziinho</t>
  </si>
  <si>
    <t>sogra da leticia</t>
  </si>
  <si>
    <t>socoriinha</t>
  </si>
  <si>
    <t>maclereira</t>
  </si>
  <si>
    <t>baiano</t>
  </si>
  <si>
    <t>43 lt 37</t>
  </si>
  <si>
    <t>32 lt 15</t>
  </si>
  <si>
    <t>dona maria</t>
  </si>
  <si>
    <t>108 lt3</t>
  </si>
  <si>
    <t>33 LT 14</t>
  </si>
  <si>
    <t>30 LT 8N</t>
  </si>
  <si>
    <t>SOCORRINHA</t>
  </si>
  <si>
    <t>115 LT 1</t>
  </si>
  <si>
    <t>M.X</t>
  </si>
  <si>
    <t>Galo</t>
  </si>
  <si>
    <t>mae da dorunha</t>
  </si>
  <si>
    <t>6b olt 56</t>
  </si>
  <si>
    <t>106 lt 7</t>
  </si>
  <si>
    <t>5 lt 23</t>
  </si>
  <si>
    <t>sr zé</t>
  </si>
  <si>
    <t>bolsonaro</t>
  </si>
  <si>
    <t>110 lt 44</t>
  </si>
  <si>
    <t>park 1</t>
  </si>
  <si>
    <t>44 lt 1</t>
  </si>
  <si>
    <t>SMB</t>
  </si>
  <si>
    <t>Pai ou filho</t>
  </si>
  <si>
    <t>60 lt 1116</t>
  </si>
  <si>
    <t>alimentaçãop</t>
  </si>
  <si>
    <t>84 lt 5</t>
  </si>
  <si>
    <t>simone</t>
  </si>
  <si>
    <t>25 lt 6</t>
  </si>
  <si>
    <t>Lucima</t>
  </si>
  <si>
    <t>Marcio</t>
  </si>
  <si>
    <t>12 lt 5</t>
  </si>
  <si>
    <t>37 lt 8</t>
  </si>
  <si>
    <t>j.a</t>
  </si>
  <si>
    <t>71 lt 17b</t>
  </si>
  <si>
    <t>5 t 1</t>
  </si>
  <si>
    <t>j.A</t>
  </si>
  <si>
    <t>cond verde</t>
  </si>
  <si>
    <t>71 lt 01</t>
  </si>
  <si>
    <t>120A LT 16A</t>
  </si>
  <si>
    <t>NÃO SEI</t>
  </si>
  <si>
    <t>B.1</t>
  </si>
  <si>
    <t>FRANGO</t>
  </si>
  <si>
    <t>89 LT 03</t>
  </si>
  <si>
    <t>Ivo</t>
  </si>
  <si>
    <t>98 lt 6</t>
  </si>
  <si>
    <t xml:space="preserve"> 89 lt 15</t>
  </si>
  <si>
    <t>4 lt 6</t>
  </si>
  <si>
    <t>60 lt 116</t>
  </si>
  <si>
    <t>42 lt 66</t>
  </si>
  <si>
    <t>30 lt 8</t>
  </si>
  <si>
    <t>83 lt 1</t>
  </si>
  <si>
    <t>23 lt 266</t>
  </si>
  <si>
    <t>Pricilas mods</t>
  </si>
  <si>
    <t>edvan</t>
  </si>
  <si>
    <t>92 lt 13</t>
  </si>
  <si>
    <t>pastor samnuel</t>
  </si>
  <si>
    <t>40B LT 165</t>
  </si>
  <si>
    <t>GENISIS1</t>
  </si>
  <si>
    <t>CEEARA</t>
  </si>
  <si>
    <t>70 LT 36</t>
  </si>
  <si>
    <t>119 LT 8</t>
  </si>
  <si>
    <t>4 LT 1</t>
  </si>
  <si>
    <t>3 LT 9</t>
  </si>
  <si>
    <t>3 LT 3</t>
  </si>
  <si>
    <t>41 lt 30a</t>
  </si>
  <si>
    <t>Irmão do emerson</t>
  </si>
  <si>
    <t>PORTARIA</t>
  </si>
  <si>
    <t>90 lt 02</t>
  </si>
  <si>
    <t>Manueel da queiroz</t>
  </si>
  <si>
    <t>irmão manauel</t>
  </si>
  <si>
    <t>Cida</t>
  </si>
  <si>
    <t>Pastor valdir</t>
  </si>
  <si>
    <t>Roberto</t>
  </si>
  <si>
    <t>06 lt 21a</t>
  </si>
  <si>
    <t>15 lt 03</t>
  </si>
  <si>
    <t>m.c</t>
  </si>
  <si>
    <t>21 lt 21</t>
  </si>
  <si>
    <t>chiquinho</t>
  </si>
  <si>
    <t>50c lt 34</t>
  </si>
  <si>
    <t>scoby</t>
  </si>
  <si>
    <t>36 lt 15</t>
  </si>
  <si>
    <t>105 lt 9</t>
  </si>
  <si>
    <t>item</t>
  </si>
  <si>
    <t>71 lt 20a</t>
  </si>
  <si>
    <t>pintoba</t>
  </si>
  <si>
    <t>63 lt 08</t>
  </si>
  <si>
    <t>85 lt 01</t>
  </si>
  <si>
    <t>1 c F l 6</t>
  </si>
  <si>
    <t>109 lt 03</t>
  </si>
  <si>
    <t>120 lt 23a</t>
  </si>
  <si>
    <t>marcos</t>
  </si>
  <si>
    <t>40c lt 38</t>
  </si>
  <si>
    <t>x</t>
  </si>
  <si>
    <t>2 gas</t>
  </si>
  <si>
    <t>Priscila</t>
  </si>
  <si>
    <t>3 lt 7</t>
  </si>
  <si>
    <t>105 lt 20</t>
  </si>
  <si>
    <t>quadra 10 lt 5</t>
  </si>
  <si>
    <t>setor de mansoes</t>
  </si>
  <si>
    <t>q 5 lt 10</t>
  </si>
  <si>
    <t>park.s.aa</t>
  </si>
  <si>
    <t>q 10 lt 5</t>
  </si>
  <si>
    <t>vila paraiso</t>
  </si>
  <si>
    <t>q 5 lt 20</t>
  </si>
  <si>
    <t>queiroz</t>
  </si>
  <si>
    <t>jardim de ala</t>
  </si>
  <si>
    <t>montes claro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</si>
</sst>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Arial Black"/>
      <family val="2"/>
    </font>
    <font>
      <sz val="11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Arial Black"/>
      <family val="2"/>
    </font>
    <font>
      <sz val="11"/>
      <color theme="0"/>
      <name val="Arial Black"/>
      <family val="2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164" fontId="0" fillId="0" borderId="1" xfId="1" applyNumberFormat="1" applyFont="1" applyBorder="1"/>
    <xf numFmtId="164" fontId="1" fillId="0" borderId="0" xfId="1" applyNumberFormat="1" applyFont="1" applyAlignment="1">
      <alignment horizontal="center" vertical="center"/>
    </xf>
    <xf numFmtId="22" fontId="0" fillId="0" borderId="0" xfId="0" applyNumberFormat="1"/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4" fontId="0" fillId="0" borderId="0" xfId="1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44" fontId="0" fillId="0" borderId="0" xfId="0" applyNumberFormat="1"/>
    <xf numFmtId="44" fontId="3" fillId="0" borderId="1" xfId="0" applyNumberFormat="1" applyFont="1" applyBorder="1"/>
    <xf numFmtId="0" fontId="6" fillId="0" borderId="0" xfId="0" applyFont="1"/>
    <xf numFmtId="44" fontId="0" fillId="0" borderId="0" xfId="1" applyFont="1" applyAlignment="1">
      <alignment horizontal="center"/>
    </xf>
    <xf numFmtId="16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6" fontId="7" fillId="0" borderId="0" xfId="0" applyNumberFormat="1" applyFont="1" applyAlignment="1">
      <alignment horizontal="center" vertical="center"/>
    </xf>
    <xf numFmtId="0" fontId="0" fillId="0" borderId="1" xfId="0" applyBorder="1"/>
    <xf numFmtId="0" fontId="9" fillId="2" borderId="1" xfId="0" applyFont="1" applyFill="1" applyBorder="1" applyAlignment="1">
      <alignment horizontal="center" vertical="center"/>
    </xf>
    <xf numFmtId="44" fontId="0" fillId="0" borderId="0" xfId="1" applyFont="1"/>
    <xf numFmtId="0" fontId="11" fillId="0" borderId="0" xfId="0" applyFont="1" applyAlignment="1">
      <alignment horizontal="center" vertical="center"/>
    </xf>
  </cellXfs>
  <cellStyles count="2">
    <cellStyle name="Moeda" xfId="1" builtinId="4"/>
    <cellStyle name="Normal" xfId="0" builtinId="0"/>
  </cellStyles>
  <dxfs count="508"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b val="0"/>
      </font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b val="0"/>
      </font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b val="0"/>
      </font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b val="0"/>
      </font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b val="0"/>
      </font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b val="0"/>
      </font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b val="0"/>
      </font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b val="0"/>
      </font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b val="0"/>
      </font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b val="0"/>
      </font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b val="0"/>
      </font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b val="0"/>
      </font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b val="0"/>
      </font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b val="0"/>
      </font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b val="0"/>
      </font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b val="0"/>
      </font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b val="0"/>
      </font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b val="0"/>
      </font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b val="0"/>
      </font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b val="0"/>
      </font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b val="0"/>
      </font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b val="0"/>
      </font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b val="0"/>
      </font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b val="0"/>
      </font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b val="0"/>
      </font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b val="0"/>
      </font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b val="0"/>
      </font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b val="0"/>
      </font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b val="0"/>
      </font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b val="0"/>
      </font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33.xml.rels><?xml version="1.0" encoding="UTF-8" standalone="yes"?>
<Relationships xmlns="http://schemas.openxmlformats.org/package/2006/relationships"><Relationship Id="rId8" Type="http://schemas.openxmlformats.org/officeDocument/2006/relationships/hyperlink" Target="#'Dia 06'!A1"/><Relationship Id="rId3" Type="http://schemas.openxmlformats.org/officeDocument/2006/relationships/hyperlink" Target="#'Dia 01'!A1"/><Relationship Id="rId7" Type="http://schemas.openxmlformats.org/officeDocument/2006/relationships/hyperlink" Target="#'Dia 05'!A1"/><Relationship Id="rId2" Type="http://schemas.openxmlformats.org/officeDocument/2006/relationships/hyperlink" Target="#Fiados!A1"/><Relationship Id="rId1" Type="http://schemas.openxmlformats.org/officeDocument/2006/relationships/hyperlink" Target="#'Historico de abastecimento'!A1"/><Relationship Id="rId6" Type="http://schemas.openxmlformats.org/officeDocument/2006/relationships/hyperlink" Target="#'Dia 04'!A1"/><Relationship Id="rId5" Type="http://schemas.openxmlformats.org/officeDocument/2006/relationships/hyperlink" Target="#'Dia 03'!A1"/><Relationship Id="rId4" Type="http://schemas.openxmlformats.org/officeDocument/2006/relationships/hyperlink" Target="#'Dia 02'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123825</xdr:rowOff>
    </xdr:from>
    <xdr:to>
      <xdr:col>3</xdr:col>
      <xdr:colOff>85725</xdr:colOff>
      <xdr:row>3</xdr:row>
      <xdr:rowOff>85725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5C54BB-D923-411E-9942-C452F490A0DE}"/>
            </a:ext>
          </a:extLst>
        </xdr:cNvPr>
        <xdr:cNvSpPr/>
      </xdr:nvSpPr>
      <xdr:spPr>
        <a:xfrm>
          <a:off x="619125" y="123825"/>
          <a:ext cx="3600450" cy="55245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latin typeface="Arial Black" panose="020B0A04020102020204" pitchFamily="34" charset="0"/>
            </a:rPr>
            <a:t>Melhor</a:t>
          </a:r>
          <a:r>
            <a:rPr lang="en-US" sz="2000" baseline="0">
              <a:latin typeface="Arial Black" panose="020B0A04020102020204" pitchFamily="34" charset="0"/>
            </a:rPr>
            <a:t> gás</a:t>
          </a:r>
          <a:endParaRPr lang="en-US" sz="2000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7</xdr:col>
      <xdr:colOff>714375</xdr:colOff>
      <xdr:row>2</xdr:row>
      <xdr:rowOff>66675</xdr:rowOff>
    </xdr:from>
    <xdr:to>
      <xdr:col>11</xdr:col>
      <xdr:colOff>28575</xdr:colOff>
      <xdr:row>4</xdr:row>
      <xdr:rowOff>28575</xdr:rowOff>
    </xdr:to>
    <xdr:sp macro="" textlink="$J$4">
      <xdr:nvSpPr>
        <xdr:cNvPr id="3" name="Retângulo 2">
          <a:extLst>
            <a:ext uri="{FF2B5EF4-FFF2-40B4-BE49-F238E27FC236}">
              <a16:creationId xmlns:a16="http://schemas.microsoft.com/office/drawing/2014/main" id="{A5268B99-7B2D-4FA6-8919-D949BA1CAFF0}"/>
            </a:ext>
          </a:extLst>
        </xdr:cNvPr>
        <xdr:cNvSpPr/>
      </xdr:nvSpPr>
      <xdr:spPr>
        <a:xfrm>
          <a:off x="10467975" y="457200"/>
          <a:ext cx="3248025" cy="3524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273BABBF-FC4C-40EC-8507-B05137E3707D}" type="TxLink">
            <a:rPr lang="en-US" sz="1400" b="1" i="0" u="none" strike="noStrike">
              <a:solidFill>
                <a:schemeClr val="bg1"/>
              </a:solidFill>
              <a:latin typeface="Arial Black" panose="020B0A04020102020204" pitchFamily="34" charset="0"/>
              <a:cs typeface="Calibri"/>
            </a:rPr>
            <a:pPr algn="ctr"/>
            <a:t>Estoque inicial</a:t>
          </a:fld>
          <a:endParaRPr lang="pt-BR" sz="1400" b="1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8</xdr:col>
      <xdr:colOff>9524</xdr:colOff>
      <xdr:row>11</xdr:row>
      <xdr:rowOff>66675</xdr:rowOff>
    </xdr:from>
    <xdr:to>
      <xdr:col>10</xdr:col>
      <xdr:colOff>38100</xdr:colOff>
      <xdr:row>13</xdr:row>
      <xdr:rowOff>47625</xdr:rowOff>
    </xdr:to>
    <xdr:sp macro="" textlink="$I$13">
      <xdr:nvSpPr>
        <xdr:cNvPr id="4" name="Retângulo 3">
          <a:extLst>
            <a:ext uri="{FF2B5EF4-FFF2-40B4-BE49-F238E27FC236}">
              <a16:creationId xmlns:a16="http://schemas.microsoft.com/office/drawing/2014/main" id="{682A7181-121D-44FE-AD6C-73CEBBEFD328}"/>
            </a:ext>
          </a:extLst>
        </xdr:cNvPr>
        <xdr:cNvSpPr/>
      </xdr:nvSpPr>
      <xdr:spPr>
        <a:xfrm>
          <a:off x="10515599" y="2181225"/>
          <a:ext cx="2390776" cy="36195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9D7E5BDE-5ADD-4655-B0F8-498629E2789E}" type="TxLink">
            <a:rPr lang="en-US" sz="1400" b="0" i="0" u="none" strike="noStrike">
              <a:solidFill>
                <a:schemeClr val="bg1"/>
              </a:solidFill>
              <a:latin typeface="Arial Black" panose="020B0A04020102020204" pitchFamily="34" charset="0"/>
              <a:cs typeface="Calibri"/>
            </a:rPr>
            <a:pPr algn="ctr"/>
            <a:t>Saida de caixa</a:t>
          </a:fld>
          <a:endParaRPr lang="pt-BR" sz="14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7</xdr:col>
      <xdr:colOff>695325</xdr:colOff>
      <xdr:row>38</xdr:row>
      <xdr:rowOff>19050</xdr:rowOff>
    </xdr:from>
    <xdr:to>
      <xdr:col>11</xdr:col>
      <xdr:colOff>9525</xdr:colOff>
      <xdr:row>39</xdr:row>
      <xdr:rowOff>171450</xdr:rowOff>
    </xdr:to>
    <xdr:sp macro="" textlink="$I$40">
      <xdr:nvSpPr>
        <xdr:cNvPr id="5" name="Retângulo 4">
          <a:extLst>
            <a:ext uri="{FF2B5EF4-FFF2-40B4-BE49-F238E27FC236}">
              <a16:creationId xmlns:a16="http://schemas.microsoft.com/office/drawing/2014/main" id="{4A529294-4DA7-4A64-92F2-A1E3F8599AE5}"/>
            </a:ext>
          </a:extLst>
        </xdr:cNvPr>
        <xdr:cNvSpPr/>
      </xdr:nvSpPr>
      <xdr:spPr>
        <a:xfrm>
          <a:off x="10448925" y="7324725"/>
          <a:ext cx="3248025" cy="3429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4F6BA73-4BAA-4F17-812D-B7437725F7F1}" type="TxLink">
            <a:rPr lang="en-US" sz="1400" b="1" i="0" u="none" strike="noStrike">
              <a:solidFill>
                <a:schemeClr val="bg1"/>
              </a:solidFill>
              <a:latin typeface="Arial Black" panose="020B0A04020102020204" pitchFamily="34" charset="0"/>
              <a:cs typeface="Calibri"/>
            </a:rPr>
            <a:pPr algn="ctr"/>
            <a:t>Estoque Final</a:t>
          </a:fld>
          <a:endParaRPr lang="pt-BR" sz="1400" b="1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11</xdr:col>
      <xdr:colOff>685802</xdr:colOff>
      <xdr:row>2</xdr:row>
      <xdr:rowOff>161924</xdr:rowOff>
    </xdr:from>
    <xdr:to>
      <xdr:col>15</xdr:col>
      <xdr:colOff>66676</xdr:colOff>
      <xdr:row>4</xdr:row>
      <xdr:rowOff>47624</xdr:rowOff>
    </xdr:to>
    <xdr:sp macro="" textlink="$M$4">
      <xdr:nvSpPr>
        <xdr:cNvPr id="6" name="Retângulo 5">
          <a:extLst>
            <a:ext uri="{FF2B5EF4-FFF2-40B4-BE49-F238E27FC236}">
              <a16:creationId xmlns:a16="http://schemas.microsoft.com/office/drawing/2014/main" id="{F923EBC4-E396-48FF-95B0-6A5E444E9A79}"/>
            </a:ext>
          </a:extLst>
        </xdr:cNvPr>
        <xdr:cNvSpPr/>
      </xdr:nvSpPr>
      <xdr:spPr>
        <a:xfrm>
          <a:off x="14258927" y="552449"/>
          <a:ext cx="3286124" cy="2762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E7ABE673-AD27-4DBA-B4FE-B90381529BD6}" type="TxLink">
            <a:rPr lang="en-US" sz="1400" b="1" i="0" u="none" strike="noStrike">
              <a:solidFill>
                <a:schemeClr val="bg1"/>
              </a:solidFill>
              <a:latin typeface="Arial Black" panose="020B0A04020102020204" pitchFamily="34" charset="0"/>
              <a:cs typeface="Calibri"/>
            </a:rPr>
            <a:pPr algn="ctr"/>
            <a:t>Abastecimento</a:t>
          </a:fld>
          <a:endParaRPr lang="pt-BR" sz="1400" b="1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11</xdr:col>
      <xdr:colOff>676275</xdr:colOff>
      <xdr:row>39</xdr:row>
      <xdr:rowOff>47625</xdr:rowOff>
    </xdr:from>
    <xdr:to>
      <xdr:col>14</xdr:col>
      <xdr:colOff>209551</xdr:colOff>
      <xdr:row>43</xdr:row>
      <xdr:rowOff>114299</xdr:rowOff>
    </xdr:to>
    <xdr:sp macro="" textlink="">
      <xdr:nvSpPr>
        <xdr:cNvPr id="7" name="Retângulo: Cantos Arredondados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EEFE31-C5E6-4487-97F8-40CE7A107DD3}"/>
            </a:ext>
          </a:extLst>
        </xdr:cNvPr>
        <xdr:cNvSpPr/>
      </xdr:nvSpPr>
      <xdr:spPr>
        <a:xfrm>
          <a:off x="14258925" y="7543800"/>
          <a:ext cx="2562226" cy="828674"/>
        </a:xfrm>
        <a:prstGeom prst="round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3200">
              <a:latin typeface="Arial Black" panose="020B0A04020102020204" pitchFamily="34" charset="0"/>
            </a:rPr>
            <a:t>Menu</a:t>
          </a:r>
        </a:p>
      </xdr:txBody>
    </xdr:sp>
    <xdr:clientData/>
  </xdr:twoCellAnchor>
  <xdr:twoCellAnchor>
    <xdr:from>
      <xdr:col>11</xdr:col>
      <xdr:colOff>561976</xdr:colOff>
      <xdr:row>11</xdr:row>
      <xdr:rowOff>85725</xdr:rowOff>
    </xdr:from>
    <xdr:to>
      <xdr:col>14</xdr:col>
      <xdr:colOff>19051</xdr:colOff>
      <xdr:row>13</xdr:row>
      <xdr:rowOff>66675</xdr:rowOff>
    </xdr:to>
    <xdr:sp macro="" textlink="$I$13">
      <xdr:nvSpPr>
        <xdr:cNvPr id="8" name="Retângulo 7">
          <a:extLst>
            <a:ext uri="{FF2B5EF4-FFF2-40B4-BE49-F238E27FC236}">
              <a16:creationId xmlns:a16="http://schemas.microsoft.com/office/drawing/2014/main" id="{92A12E5E-E1AA-47FF-863D-2626CD065E4D}"/>
            </a:ext>
          </a:extLst>
        </xdr:cNvPr>
        <xdr:cNvSpPr/>
      </xdr:nvSpPr>
      <xdr:spPr>
        <a:xfrm>
          <a:off x="14249401" y="2200275"/>
          <a:ext cx="2381250" cy="36195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solidFill>
                <a:schemeClr val="bg1"/>
              </a:solidFill>
              <a:latin typeface="Arial Black" panose="020B0A04020102020204" pitchFamily="34" charset="0"/>
            </a:rPr>
            <a:t>Entrada</a:t>
          </a:r>
          <a:r>
            <a:rPr lang="pt-BR" sz="1400" baseline="0">
              <a:solidFill>
                <a:schemeClr val="bg1"/>
              </a:solidFill>
              <a:latin typeface="Arial Black" panose="020B0A04020102020204" pitchFamily="34" charset="0"/>
            </a:rPr>
            <a:t> caixa</a:t>
          </a:r>
          <a:endParaRPr lang="pt-BR" sz="14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123825</xdr:rowOff>
    </xdr:from>
    <xdr:to>
      <xdr:col>3</xdr:col>
      <xdr:colOff>85725</xdr:colOff>
      <xdr:row>3</xdr:row>
      <xdr:rowOff>85725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5839E9-4DC4-43F3-8507-49D1B95E90F2}"/>
            </a:ext>
          </a:extLst>
        </xdr:cNvPr>
        <xdr:cNvSpPr/>
      </xdr:nvSpPr>
      <xdr:spPr>
        <a:xfrm>
          <a:off x="619125" y="123825"/>
          <a:ext cx="3600450" cy="55245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latin typeface="Arial Black" panose="020B0A04020102020204" pitchFamily="34" charset="0"/>
            </a:rPr>
            <a:t>Melhor</a:t>
          </a:r>
          <a:r>
            <a:rPr lang="en-US" sz="2000" baseline="0">
              <a:latin typeface="Arial Black" panose="020B0A04020102020204" pitchFamily="34" charset="0"/>
            </a:rPr>
            <a:t> gás</a:t>
          </a:r>
          <a:endParaRPr lang="en-US" sz="2000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7</xdr:col>
      <xdr:colOff>714375</xdr:colOff>
      <xdr:row>2</xdr:row>
      <xdr:rowOff>66675</xdr:rowOff>
    </xdr:from>
    <xdr:to>
      <xdr:col>11</xdr:col>
      <xdr:colOff>28575</xdr:colOff>
      <xdr:row>4</xdr:row>
      <xdr:rowOff>28575</xdr:rowOff>
    </xdr:to>
    <xdr:sp macro="" textlink="$J$4">
      <xdr:nvSpPr>
        <xdr:cNvPr id="3" name="Retângulo 2">
          <a:extLst>
            <a:ext uri="{FF2B5EF4-FFF2-40B4-BE49-F238E27FC236}">
              <a16:creationId xmlns:a16="http://schemas.microsoft.com/office/drawing/2014/main" id="{4D211F6D-04FE-470A-A9B5-3E93FBB88060}"/>
            </a:ext>
          </a:extLst>
        </xdr:cNvPr>
        <xdr:cNvSpPr/>
      </xdr:nvSpPr>
      <xdr:spPr>
        <a:xfrm>
          <a:off x="10467975" y="457200"/>
          <a:ext cx="3248025" cy="3524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273BABBF-FC4C-40EC-8507-B05137E3707D}" type="TxLink">
            <a:rPr lang="en-US" sz="1400" b="1" i="0" u="none" strike="noStrike">
              <a:solidFill>
                <a:schemeClr val="bg1"/>
              </a:solidFill>
              <a:latin typeface="Arial Black" panose="020B0A04020102020204" pitchFamily="34" charset="0"/>
              <a:cs typeface="Calibri"/>
            </a:rPr>
            <a:pPr algn="ctr"/>
            <a:t>Estoque inicial</a:t>
          </a:fld>
          <a:endParaRPr lang="pt-BR" sz="1400" b="1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8</xdr:col>
      <xdr:colOff>9524</xdr:colOff>
      <xdr:row>11</xdr:row>
      <xdr:rowOff>66675</xdr:rowOff>
    </xdr:from>
    <xdr:to>
      <xdr:col>10</xdr:col>
      <xdr:colOff>38100</xdr:colOff>
      <xdr:row>13</xdr:row>
      <xdr:rowOff>47625</xdr:rowOff>
    </xdr:to>
    <xdr:sp macro="" textlink="$I$13">
      <xdr:nvSpPr>
        <xdr:cNvPr id="4" name="Retângulo 3">
          <a:extLst>
            <a:ext uri="{FF2B5EF4-FFF2-40B4-BE49-F238E27FC236}">
              <a16:creationId xmlns:a16="http://schemas.microsoft.com/office/drawing/2014/main" id="{76908B3D-CDFC-41C5-9B94-710F7F4EAB11}"/>
            </a:ext>
          </a:extLst>
        </xdr:cNvPr>
        <xdr:cNvSpPr/>
      </xdr:nvSpPr>
      <xdr:spPr>
        <a:xfrm>
          <a:off x="10515599" y="2181225"/>
          <a:ext cx="2390776" cy="36195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9D7E5BDE-5ADD-4655-B0F8-498629E2789E}" type="TxLink">
            <a:rPr lang="en-US" sz="1400" b="0" i="0" u="none" strike="noStrike">
              <a:solidFill>
                <a:schemeClr val="bg1"/>
              </a:solidFill>
              <a:latin typeface="Arial Black" panose="020B0A04020102020204" pitchFamily="34" charset="0"/>
              <a:cs typeface="Calibri"/>
            </a:rPr>
            <a:pPr algn="ctr"/>
            <a:t>Saida de caixa</a:t>
          </a:fld>
          <a:endParaRPr lang="pt-BR" sz="14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7</xdr:col>
      <xdr:colOff>695325</xdr:colOff>
      <xdr:row>38</xdr:row>
      <xdr:rowOff>19050</xdr:rowOff>
    </xdr:from>
    <xdr:to>
      <xdr:col>11</xdr:col>
      <xdr:colOff>9525</xdr:colOff>
      <xdr:row>39</xdr:row>
      <xdr:rowOff>171450</xdr:rowOff>
    </xdr:to>
    <xdr:sp macro="" textlink="$I$40">
      <xdr:nvSpPr>
        <xdr:cNvPr id="5" name="Retângulo 4">
          <a:extLst>
            <a:ext uri="{FF2B5EF4-FFF2-40B4-BE49-F238E27FC236}">
              <a16:creationId xmlns:a16="http://schemas.microsoft.com/office/drawing/2014/main" id="{97682B51-0507-4CE0-9DB5-9F9027C9309B}"/>
            </a:ext>
          </a:extLst>
        </xdr:cNvPr>
        <xdr:cNvSpPr/>
      </xdr:nvSpPr>
      <xdr:spPr>
        <a:xfrm>
          <a:off x="10448925" y="7324725"/>
          <a:ext cx="3248025" cy="3429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4F6BA73-4BAA-4F17-812D-B7437725F7F1}" type="TxLink">
            <a:rPr lang="en-US" sz="1400" b="1" i="0" u="none" strike="noStrike">
              <a:solidFill>
                <a:schemeClr val="bg1"/>
              </a:solidFill>
              <a:latin typeface="Arial Black" panose="020B0A04020102020204" pitchFamily="34" charset="0"/>
              <a:cs typeface="Calibri"/>
            </a:rPr>
            <a:pPr algn="ctr"/>
            <a:t>Estoque Final</a:t>
          </a:fld>
          <a:endParaRPr lang="pt-BR" sz="1400" b="1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11</xdr:col>
      <xdr:colOff>685802</xdr:colOff>
      <xdr:row>2</xdr:row>
      <xdr:rowOff>161924</xdr:rowOff>
    </xdr:from>
    <xdr:to>
      <xdr:col>15</xdr:col>
      <xdr:colOff>66676</xdr:colOff>
      <xdr:row>4</xdr:row>
      <xdr:rowOff>47624</xdr:rowOff>
    </xdr:to>
    <xdr:sp macro="" textlink="$M$4">
      <xdr:nvSpPr>
        <xdr:cNvPr id="6" name="Retângulo 5">
          <a:extLst>
            <a:ext uri="{FF2B5EF4-FFF2-40B4-BE49-F238E27FC236}">
              <a16:creationId xmlns:a16="http://schemas.microsoft.com/office/drawing/2014/main" id="{860C165D-86DC-46E1-8EEF-5E36DBF5A7C3}"/>
            </a:ext>
          </a:extLst>
        </xdr:cNvPr>
        <xdr:cNvSpPr/>
      </xdr:nvSpPr>
      <xdr:spPr>
        <a:xfrm>
          <a:off x="14258927" y="552449"/>
          <a:ext cx="3286124" cy="2762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E7ABE673-AD27-4DBA-B4FE-B90381529BD6}" type="TxLink">
            <a:rPr lang="en-US" sz="1400" b="1" i="0" u="none" strike="noStrike">
              <a:solidFill>
                <a:schemeClr val="bg1"/>
              </a:solidFill>
              <a:latin typeface="Arial Black" panose="020B0A04020102020204" pitchFamily="34" charset="0"/>
              <a:cs typeface="Calibri"/>
            </a:rPr>
            <a:pPr algn="ctr"/>
            <a:t>Abastecimento</a:t>
          </a:fld>
          <a:endParaRPr lang="pt-BR" sz="1400" b="1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11</xdr:col>
      <xdr:colOff>676275</xdr:colOff>
      <xdr:row>39</xdr:row>
      <xdr:rowOff>47625</xdr:rowOff>
    </xdr:from>
    <xdr:to>
      <xdr:col>14</xdr:col>
      <xdr:colOff>209551</xdr:colOff>
      <xdr:row>43</xdr:row>
      <xdr:rowOff>114299</xdr:rowOff>
    </xdr:to>
    <xdr:sp macro="" textlink="">
      <xdr:nvSpPr>
        <xdr:cNvPr id="7" name="Retângulo: Cantos Arredondados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B788CC-EBE7-4BDC-AD51-F52151903552}"/>
            </a:ext>
          </a:extLst>
        </xdr:cNvPr>
        <xdr:cNvSpPr/>
      </xdr:nvSpPr>
      <xdr:spPr>
        <a:xfrm>
          <a:off x="14258925" y="7543800"/>
          <a:ext cx="2562226" cy="828674"/>
        </a:xfrm>
        <a:prstGeom prst="round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3200">
              <a:latin typeface="Arial Black" panose="020B0A04020102020204" pitchFamily="34" charset="0"/>
            </a:rPr>
            <a:t>Menu</a:t>
          </a:r>
        </a:p>
      </xdr:txBody>
    </xdr:sp>
    <xdr:clientData/>
  </xdr:twoCellAnchor>
  <xdr:twoCellAnchor>
    <xdr:from>
      <xdr:col>11</xdr:col>
      <xdr:colOff>561976</xdr:colOff>
      <xdr:row>11</xdr:row>
      <xdr:rowOff>85725</xdr:rowOff>
    </xdr:from>
    <xdr:to>
      <xdr:col>14</xdr:col>
      <xdr:colOff>19051</xdr:colOff>
      <xdr:row>13</xdr:row>
      <xdr:rowOff>66675</xdr:rowOff>
    </xdr:to>
    <xdr:sp macro="" textlink="$I$13">
      <xdr:nvSpPr>
        <xdr:cNvPr id="8" name="Retângulo 7">
          <a:extLst>
            <a:ext uri="{FF2B5EF4-FFF2-40B4-BE49-F238E27FC236}">
              <a16:creationId xmlns:a16="http://schemas.microsoft.com/office/drawing/2014/main" id="{DDC31E47-41D1-4AC8-8319-7DE4236ECBDB}"/>
            </a:ext>
          </a:extLst>
        </xdr:cNvPr>
        <xdr:cNvSpPr/>
      </xdr:nvSpPr>
      <xdr:spPr>
        <a:xfrm>
          <a:off x="14249401" y="2200275"/>
          <a:ext cx="2381250" cy="36195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solidFill>
                <a:schemeClr val="bg1"/>
              </a:solidFill>
              <a:latin typeface="Arial Black" panose="020B0A04020102020204" pitchFamily="34" charset="0"/>
            </a:rPr>
            <a:t>Entrada</a:t>
          </a:r>
          <a:r>
            <a:rPr lang="pt-BR" sz="1400" baseline="0">
              <a:solidFill>
                <a:schemeClr val="bg1"/>
              </a:solidFill>
              <a:latin typeface="Arial Black" panose="020B0A04020102020204" pitchFamily="34" charset="0"/>
            </a:rPr>
            <a:t> caixa</a:t>
          </a:r>
          <a:endParaRPr lang="pt-BR" sz="14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123825</xdr:rowOff>
    </xdr:from>
    <xdr:to>
      <xdr:col>3</xdr:col>
      <xdr:colOff>85725</xdr:colOff>
      <xdr:row>3</xdr:row>
      <xdr:rowOff>85725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222043-3BFE-4F3C-B0F8-150532BF977A}"/>
            </a:ext>
          </a:extLst>
        </xdr:cNvPr>
        <xdr:cNvSpPr/>
      </xdr:nvSpPr>
      <xdr:spPr>
        <a:xfrm>
          <a:off x="619125" y="123825"/>
          <a:ext cx="3600450" cy="55245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latin typeface="Arial Black" panose="020B0A04020102020204" pitchFamily="34" charset="0"/>
            </a:rPr>
            <a:t>Melhor</a:t>
          </a:r>
          <a:r>
            <a:rPr lang="en-US" sz="2000" baseline="0">
              <a:latin typeface="Arial Black" panose="020B0A04020102020204" pitchFamily="34" charset="0"/>
            </a:rPr>
            <a:t> gás</a:t>
          </a:r>
          <a:endParaRPr lang="en-US" sz="2000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7</xdr:col>
      <xdr:colOff>714375</xdr:colOff>
      <xdr:row>2</xdr:row>
      <xdr:rowOff>66675</xdr:rowOff>
    </xdr:from>
    <xdr:to>
      <xdr:col>11</xdr:col>
      <xdr:colOff>28575</xdr:colOff>
      <xdr:row>4</xdr:row>
      <xdr:rowOff>28575</xdr:rowOff>
    </xdr:to>
    <xdr:sp macro="" textlink="$J$4">
      <xdr:nvSpPr>
        <xdr:cNvPr id="3" name="Retângulo 2">
          <a:extLst>
            <a:ext uri="{FF2B5EF4-FFF2-40B4-BE49-F238E27FC236}">
              <a16:creationId xmlns:a16="http://schemas.microsoft.com/office/drawing/2014/main" id="{16B84F71-6EF1-4C96-8E20-EFC48CFE9A44}"/>
            </a:ext>
          </a:extLst>
        </xdr:cNvPr>
        <xdr:cNvSpPr/>
      </xdr:nvSpPr>
      <xdr:spPr>
        <a:xfrm>
          <a:off x="10467975" y="457200"/>
          <a:ext cx="3248025" cy="3524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273BABBF-FC4C-40EC-8507-B05137E3707D}" type="TxLink">
            <a:rPr lang="en-US" sz="1400" b="1" i="0" u="none" strike="noStrike">
              <a:solidFill>
                <a:schemeClr val="bg1"/>
              </a:solidFill>
              <a:latin typeface="Arial Black" panose="020B0A04020102020204" pitchFamily="34" charset="0"/>
              <a:cs typeface="Calibri"/>
            </a:rPr>
            <a:pPr algn="ctr"/>
            <a:t>Estoque inicial</a:t>
          </a:fld>
          <a:endParaRPr lang="pt-BR" sz="1400" b="1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8</xdr:col>
      <xdr:colOff>9524</xdr:colOff>
      <xdr:row>11</xdr:row>
      <xdr:rowOff>66675</xdr:rowOff>
    </xdr:from>
    <xdr:to>
      <xdr:col>10</xdr:col>
      <xdr:colOff>38100</xdr:colOff>
      <xdr:row>13</xdr:row>
      <xdr:rowOff>47625</xdr:rowOff>
    </xdr:to>
    <xdr:sp macro="" textlink="$I$13">
      <xdr:nvSpPr>
        <xdr:cNvPr id="4" name="Retângulo 3">
          <a:extLst>
            <a:ext uri="{FF2B5EF4-FFF2-40B4-BE49-F238E27FC236}">
              <a16:creationId xmlns:a16="http://schemas.microsoft.com/office/drawing/2014/main" id="{EF8DC06D-E052-43FD-A20C-CCCB9C960F7D}"/>
            </a:ext>
          </a:extLst>
        </xdr:cNvPr>
        <xdr:cNvSpPr/>
      </xdr:nvSpPr>
      <xdr:spPr>
        <a:xfrm>
          <a:off x="10515599" y="2181225"/>
          <a:ext cx="2390776" cy="36195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9D7E5BDE-5ADD-4655-B0F8-498629E2789E}" type="TxLink">
            <a:rPr lang="en-US" sz="1400" b="0" i="0" u="none" strike="noStrike">
              <a:solidFill>
                <a:schemeClr val="bg1"/>
              </a:solidFill>
              <a:latin typeface="Arial Black" panose="020B0A04020102020204" pitchFamily="34" charset="0"/>
              <a:cs typeface="Calibri"/>
            </a:rPr>
            <a:pPr algn="ctr"/>
            <a:t>Saida de caixa</a:t>
          </a:fld>
          <a:endParaRPr lang="pt-BR" sz="14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7</xdr:col>
      <xdr:colOff>695325</xdr:colOff>
      <xdr:row>38</xdr:row>
      <xdr:rowOff>19050</xdr:rowOff>
    </xdr:from>
    <xdr:to>
      <xdr:col>11</xdr:col>
      <xdr:colOff>9525</xdr:colOff>
      <xdr:row>39</xdr:row>
      <xdr:rowOff>171450</xdr:rowOff>
    </xdr:to>
    <xdr:sp macro="" textlink="$I$40">
      <xdr:nvSpPr>
        <xdr:cNvPr id="5" name="Retângulo 4">
          <a:extLst>
            <a:ext uri="{FF2B5EF4-FFF2-40B4-BE49-F238E27FC236}">
              <a16:creationId xmlns:a16="http://schemas.microsoft.com/office/drawing/2014/main" id="{EE4BD01A-9BBF-48C1-8C85-63BEF11C1286}"/>
            </a:ext>
          </a:extLst>
        </xdr:cNvPr>
        <xdr:cNvSpPr/>
      </xdr:nvSpPr>
      <xdr:spPr>
        <a:xfrm>
          <a:off x="10448925" y="7324725"/>
          <a:ext cx="3248025" cy="3429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4F6BA73-4BAA-4F17-812D-B7437725F7F1}" type="TxLink">
            <a:rPr lang="en-US" sz="1400" b="1" i="0" u="none" strike="noStrike">
              <a:solidFill>
                <a:schemeClr val="bg1"/>
              </a:solidFill>
              <a:latin typeface="Arial Black" panose="020B0A04020102020204" pitchFamily="34" charset="0"/>
              <a:cs typeface="Calibri"/>
            </a:rPr>
            <a:pPr algn="ctr"/>
            <a:t>Estoque Final</a:t>
          </a:fld>
          <a:endParaRPr lang="pt-BR" sz="1400" b="1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11</xdr:col>
      <xdr:colOff>685802</xdr:colOff>
      <xdr:row>2</xdr:row>
      <xdr:rowOff>161924</xdr:rowOff>
    </xdr:from>
    <xdr:to>
      <xdr:col>15</xdr:col>
      <xdr:colOff>66676</xdr:colOff>
      <xdr:row>4</xdr:row>
      <xdr:rowOff>47624</xdr:rowOff>
    </xdr:to>
    <xdr:sp macro="" textlink="$M$4">
      <xdr:nvSpPr>
        <xdr:cNvPr id="6" name="Retângulo 5">
          <a:extLst>
            <a:ext uri="{FF2B5EF4-FFF2-40B4-BE49-F238E27FC236}">
              <a16:creationId xmlns:a16="http://schemas.microsoft.com/office/drawing/2014/main" id="{EAD2E421-0780-47B8-97AA-0D241830042A}"/>
            </a:ext>
          </a:extLst>
        </xdr:cNvPr>
        <xdr:cNvSpPr/>
      </xdr:nvSpPr>
      <xdr:spPr>
        <a:xfrm>
          <a:off x="14258927" y="552449"/>
          <a:ext cx="3286124" cy="2762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E7ABE673-AD27-4DBA-B4FE-B90381529BD6}" type="TxLink">
            <a:rPr lang="en-US" sz="1400" b="1" i="0" u="none" strike="noStrike">
              <a:solidFill>
                <a:schemeClr val="bg1"/>
              </a:solidFill>
              <a:latin typeface="Arial Black" panose="020B0A04020102020204" pitchFamily="34" charset="0"/>
              <a:cs typeface="Calibri"/>
            </a:rPr>
            <a:pPr algn="ctr"/>
            <a:t>Abastecimento</a:t>
          </a:fld>
          <a:endParaRPr lang="pt-BR" sz="1400" b="1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11</xdr:col>
      <xdr:colOff>676275</xdr:colOff>
      <xdr:row>39</xdr:row>
      <xdr:rowOff>47625</xdr:rowOff>
    </xdr:from>
    <xdr:to>
      <xdr:col>14</xdr:col>
      <xdr:colOff>209551</xdr:colOff>
      <xdr:row>43</xdr:row>
      <xdr:rowOff>114299</xdr:rowOff>
    </xdr:to>
    <xdr:sp macro="" textlink="">
      <xdr:nvSpPr>
        <xdr:cNvPr id="7" name="Retângulo: Cantos Arredondados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51AFEC-ED34-4D7B-9E47-30638F446723}"/>
            </a:ext>
          </a:extLst>
        </xdr:cNvPr>
        <xdr:cNvSpPr/>
      </xdr:nvSpPr>
      <xdr:spPr>
        <a:xfrm>
          <a:off x="14258925" y="7543800"/>
          <a:ext cx="2562226" cy="828674"/>
        </a:xfrm>
        <a:prstGeom prst="round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3200">
              <a:latin typeface="Arial Black" panose="020B0A04020102020204" pitchFamily="34" charset="0"/>
            </a:rPr>
            <a:t>Menu</a:t>
          </a:r>
        </a:p>
      </xdr:txBody>
    </xdr:sp>
    <xdr:clientData/>
  </xdr:twoCellAnchor>
  <xdr:twoCellAnchor>
    <xdr:from>
      <xdr:col>11</xdr:col>
      <xdr:colOff>561976</xdr:colOff>
      <xdr:row>11</xdr:row>
      <xdr:rowOff>85725</xdr:rowOff>
    </xdr:from>
    <xdr:to>
      <xdr:col>14</xdr:col>
      <xdr:colOff>19051</xdr:colOff>
      <xdr:row>13</xdr:row>
      <xdr:rowOff>66675</xdr:rowOff>
    </xdr:to>
    <xdr:sp macro="" textlink="$I$13">
      <xdr:nvSpPr>
        <xdr:cNvPr id="8" name="Retângulo 7">
          <a:extLst>
            <a:ext uri="{FF2B5EF4-FFF2-40B4-BE49-F238E27FC236}">
              <a16:creationId xmlns:a16="http://schemas.microsoft.com/office/drawing/2014/main" id="{79220672-24CC-4B93-BC4E-078352FD71EA}"/>
            </a:ext>
          </a:extLst>
        </xdr:cNvPr>
        <xdr:cNvSpPr/>
      </xdr:nvSpPr>
      <xdr:spPr>
        <a:xfrm>
          <a:off x="14249401" y="2200275"/>
          <a:ext cx="2381250" cy="36195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solidFill>
                <a:schemeClr val="bg1"/>
              </a:solidFill>
              <a:latin typeface="Arial Black" panose="020B0A04020102020204" pitchFamily="34" charset="0"/>
            </a:rPr>
            <a:t>Entrada</a:t>
          </a:r>
          <a:r>
            <a:rPr lang="pt-BR" sz="1400" baseline="0">
              <a:solidFill>
                <a:schemeClr val="bg1"/>
              </a:solidFill>
              <a:latin typeface="Arial Black" panose="020B0A04020102020204" pitchFamily="34" charset="0"/>
            </a:rPr>
            <a:t> caixa</a:t>
          </a:r>
          <a:endParaRPr lang="pt-BR" sz="14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123825</xdr:rowOff>
    </xdr:from>
    <xdr:to>
      <xdr:col>3</xdr:col>
      <xdr:colOff>85725</xdr:colOff>
      <xdr:row>3</xdr:row>
      <xdr:rowOff>85725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9D5212-9306-4FA5-B498-EA3A1CE220E7}"/>
            </a:ext>
          </a:extLst>
        </xdr:cNvPr>
        <xdr:cNvSpPr/>
      </xdr:nvSpPr>
      <xdr:spPr>
        <a:xfrm>
          <a:off x="619125" y="123825"/>
          <a:ext cx="3600450" cy="55245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latin typeface="Arial Black" panose="020B0A04020102020204" pitchFamily="34" charset="0"/>
            </a:rPr>
            <a:t>Melhor</a:t>
          </a:r>
          <a:r>
            <a:rPr lang="en-US" sz="2000" baseline="0">
              <a:latin typeface="Arial Black" panose="020B0A04020102020204" pitchFamily="34" charset="0"/>
            </a:rPr>
            <a:t> gás</a:t>
          </a:r>
          <a:endParaRPr lang="en-US" sz="2000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7</xdr:col>
      <xdr:colOff>714375</xdr:colOff>
      <xdr:row>2</xdr:row>
      <xdr:rowOff>66675</xdr:rowOff>
    </xdr:from>
    <xdr:to>
      <xdr:col>11</xdr:col>
      <xdr:colOff>28575</xdr:colOff>
      <xdr:row>4</xdr:row>
      <xdr:rowOff>28575</xdr:rowOff>
    </xdr:to>
    <xdr:sp macro="" textlink="$J$4">
      <xdr:nvSpPr>
        <xdr:cNvPr id="3" name="Retângulo 2">
          <a:extLst>
            <a:ext uri="{FF2B5EF4-FFF2-40B4-BE49-F238E27FC236}">
              <a16:creationId xmlns:a16="http://schemas.microsoft.com/office/drawing/2014/main" id="{027D6526-6B5A-4C19-993B-5A6F99F8FAE4}"/>
            </a:ext>
          </a:extLst>
        </xdr:cNvPr>
        <xdr:cNvSpPr/>
      </xdr:nvSpPr>
      <xdr:spPr>
        <a:xfrm>
          <a:off x="10467975" y="457200"/>
          <a:ext cx="3248025" cy="3524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273BABBF-FC4C-40EC-8507-B05137E3707D}" type="TxLink">
            <a:rPr lang="en-US" sz="1400" b="1" i="0" u="none" strike="noStrike">
              <a:solidFill>
                <a:schemeClr val="bg1"/>
              </a:solidFill>
              <a:latin typeface="Arial Black" panose="020B0A04020102020204" pitchFamily="34" charset="0"/>
              <a:cs typeface="Calibri"/>
            </a:rPr>
            <a:pPr algn="ctr"/>
            <a:t>Estoque inicial</a:t>
          </a:fld>
          <a:endParaRPr lang="pt-BR" sz="1400" b="1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8</xdr:col>
      <xdr:colOff>9524</xdr:colOff>
      <xdr:row>11</xdr:row>
      <xdr:rowOff>66675</xdr:rowOff>
    </xdr:from>
    <xdr:to>
      <xdr:col>10</xdr:col>
      <xdr:colOff>38100</xdr:colOff>
      <xdr:row>13</xdr:row>
      <xdr:rowOff>47625</xdr:rowOff>
    </xdr:to>
    <xdr:sp macro="" textlink="$I$13">
      <xdr:nvSpPr>
        <xdr:cNvPr id="4" name="Retângulo 3">
          <a:extLst>
            <a:ext uri="{FF2B5EF4-FFF2-40B4-BE49-F238E27FC236}">
              <a16:creationId xmlns:a16="http://schemas.microsoft.com/office/drawing/2014/main" id="{914556F4-5F17-4CB2-A01D-7DE33209F3EC}"/>
            </a:ext>
          </a:extLst>
        </xdr:cNvPr>
        <xdr:cNvSpPr/>
      </xdr:nvSpPr>
      <xdr:spPr>
        <a:xfrm>
          <a:off x="10515599" y="2181225"/>
          <a:ext cx="2390776" cy="36195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9D7E5BDE-5ADD-4655-B0F8-498629E2789E}" type="TxLink">
            <a:rPr lang="en-US" sz="1400" b="0" i="0" u="none" strike="noStrike">
              <a:solidFill>
                <a:schemeClr val="bg1"/>
              </a:solidFill>
              <a:latin typeface="Arial Black" panose="020B0A04020102020204" pitchFamily="34" charset="0"/>
              <a:cs typeface="Calibri"/>
            </a:rPr>
            <a:pPr algn="ctr"/>
            <a:t>Saida de caixa</a:t>
          </a:fld>
          <a:endParaRPr lang="pt-BR" sz="14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7</xdr:col>
      <xdr:colOff>695325</xdr:colOff>
      <xdr:row>38</xdr:row>
      <xdr:rowOff>19050</xdr:rowOff>
    </xdr:from>
    <xdr:to>
      <xdr:col>11</xdr:col>
      <xdr:colOff>9525</xdr:colOff>
      <xdr:row>39</xdr:row>
      <xdr:rowOff>171450</xdr:rowOff>
    </xdr:to>
    <xdr:sp macro="" textlink="$I$40">
      <xdr:nvSpPr>
        <xdr:cNvPr id="5" name="Retângulo 4">
          <a:extLst>
            <a:ext uri="{FF2B5EF4-FFF2-40B4-BE49-F238E27FC236}">
              <a16:creationId xmlns:a16="http://schemas.microsoft.com/office/drawing/2014/main" id="{113648FF-6BF2-40EA-8213-359200D26E47}"/>
            </a:ext>
          </a:extLst>
        </xdr:cNvPr>
        <xdr:cNvSpPr/>
      </xdr:nvSpPr>
      <xdr:spPr>
        <a:xfrm>
          <a:off x="10448925" y="7324725"/>
          <a:ext cx="3248025" cy="3429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4F6BA73-4BAA-4F17-812D-B7437725F7F1}" type="TxLink">
            <a:rPr lang="en-US" sz="1400" b="1" i="0" u="none" strike="noStrike">
              <a:solidFill>
                <a:schemeClr val="bg1"/>
              </a:solidFill>
              <a:latin typeface="Arial Black" panose="020B0A04020102020204" pitchFamily="34" charset="0"/>
              <a:cs typeface="Calibri"/>
            </a:rPr>
            <a:pPr algn="ctr"/>
            <a:t>Estoque Final</a:t>
          </a:fld>
          <a:endParaRPr lang="pt-BR" sz="1400" b="1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11</xdr:col>
      <xdr:colOff>685802</xdr:colOff>
      <xdr:row>2</xdr:row>
      <xdr:rowOff>161924</xdr:rowOff>
    </xdr:from>
    <xdr:to>
      <xdr:col>15</xdr:col>
      <xdr:colOff>66676</xdr:colOff>
      <xdr:row>4</xdr:row>
      <xdr:rowOff>47624</xdr:rowOff>
    </xdr:to>
    <xdr:sp macro="" textlink="$M$4">
      <xdr:nvSpPr>
        <xdr:cNvPr id="6" name="Retângulo 5">
          <a:extLst>
            <a:ext uri="{FF2B5EF4-FFF2-40B4-BE49-F238E27FC236}">
              <a16:creationId xmlns:a16="http://schemas.microsoft.com/office/drawing/2014/main" id="{AA4AE6CE-3AED-4704-87D2-E2665D15A642}"/>
            </a:ext>
          </a:extLst>
        </xdr:cNvPr>
        <xdr:cNvSpPr/>
      </xdr:nvSpPr>
      <xdr:spPr>
        <a:xfrm>
          <a:off x="14258927" y="552449"/>
          <a:ext cx="3286124" cy="2762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E7ABE673-AD27-4DBA-B4FE-B90381529BD6}" type="TxLink">
            <a:rPr lang="en-US" sz="1400" b="1" i="0" u="none" strike="noStrike">
              <a:solidFill>
                <a:schemeClr val="bg1"/>
              </a:solidFill>
              <a:latin typeface="Arial Black" panose="020B0A04020102020204" pitchFamily="34" charset="0"/>
              <a:cs typeface="Calibri"/>
            </a:rPr>
            <a:pPr algn="ctr"/>
            <a:t>Abastecimento</a:t>
          </a:fld>
          <a:endParaRPr lang="pt-BR" sz="1400" b="1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11</xdr:col>
      <xdr:colOff>676275</xdr:colOff>
      <xdr:row>39</xdr:row>
      <xdr:rowOff>47625</xdr:rowOff>
    </xdr:from>
    <xdr:to>
      <xdr:col>14</xdr:col>
      <xdr:colOff>209551</xdr:colOff>
      <xdr:row>43</xdr:row>
      <xdr:rowOff>114299</xdr:rowOff>
    </xdr:to>
    <xdr:sp macro="" textlink="">
      <xdr:nvSpPr>
        <xdr:cNvPr id="7" name="Retângulo: Cantos Arredondados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1E6748-ADD4-4B1B-9A10-154EDBA8727C}"/>
            </a:ext>
          </a:extLst>
        </xdr:cNvPr>
        <xdr:cNvSpPr/>
      </xdr:nvSpPr>
      <xdr:spPr>
        <a:xfrm>
          <a:off x="14258925" y="7543800"/>
          <a:ext cx="2562226" cy="828674"/>
        </a:xfrm>
        <a:prstGeom prst="round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3200">
              <a:latin typeface="Arial Black" panose="020B0A04020102020204" pitchFamily="34" charset="0"/>
            </a:rPr>
            <a:t>Menu</a:t>
          </a:r>
        </a:p>
      </xdr:txBody>
    </xdr:sp>
    <xdr:clientData/>
  </xdr:twoCellAnchor>
  <xdr:twoCellAnchor>
    <xdr:from>
      <xdr:col>11</xdr:col>
      <xdr:colOff>561976</xdr:colOff>
      <xdr:row>11</xdr:row>
      <xdr:rowOff>85725</xdr:rowOff>
    </xdr:from>
    <xdr:to>
      <xdr:col>14</xdr:col>
      <xdr:colOff>19051</xdr:colOff>
      <xdr:row>13</xdr:row>
      <xdr:rowOff>66675</xdr:rowOff>
    </xdr:to>
    <xdr:sp macro="" textlink="$I$13">
      <xdr:nvSpPr>
        <xdr:cNvPr id="8" name="Retângulo 7">
          <a:extLst>
            <a:ext uri="{FF2B5EF4-FFF2-40B4-BE49-F238E27FC236}">
              <a16:creationId xmlns:a16="http://schemas.microsoft.com/office/drawing/2014/main" id="{8DA37816-94A8-46D8-B0C1-5F078124AACF}"/>
            </a:ext>
          </a:extLst>
        </xdr:cNvPr>
        <xdr:cNvSpPr/>
      </xdr:nvSpPr>
      <xdr:spPr>
        <a:xfrm>
          <a:off x="14249401" y="2200275"/>
          <a:ext cx="2381250" cy="36195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solidFill>
                <a:schemeClr val="bg1"/>
              </a:solidFill>
              <a:latin typeface="Arial Black" panose="020B0A04020102020204" pitchFamily="34" charset="0"/>
            </a:rPr>
            <a:t>Entrada</a:t>
          </a:r>
          <a:r>
            <a:rPr lang="pt-BR" sz="1400" baseline="0">
              <a:solidFill>
                <a:schemeClr val="bg1"/>
              </a:solidFill>
              <a:latin typeface="Arial Black" panose="020B0A04020102020204" pitchFamily="34" charset="0"/>
            </a:rPr>
            <a:t> caixa</a:t>
          </a:r>
          <a:endParaRPr lang="pt-BR" sz="14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123825</xdr:rowOff>
    </xdr:from>
    <xdr:to>
      <xdr:col>3</xdr:col>
      <xdr:colOff>85725</xdr:colOff>
      <xdr:row>3</xdr:row>
      <xdr:rowOff>85725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579F1A-CF8C-4174-962B-53EC40BCB23F}"/>
            </a:ext>
          </a:extLst>
        </xdr:cNvPr>
        <xdr:cNvSpPr/>
      </xdr:nvSpPr>
      <xdr:spPr>
        <a:xfrm>
          <a:off x="619125" y="123825"/>
          <a:ext cx="3600450" cy="55245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latin typeface="Arial Black" panose="020B0A04020102020204" pitchFamily="34" charset="0"/>
            </a:rPr>
            <a:t>Melhor</a:t>
          </a:r>
          <a:r>
            <a:rPr lang="en-US" sz="2000" baseline="0">
              <a:latin typeface="Arial Black" panose="020B0A04020102020204" pitchFamily="34" charset="0"/>
            </a:rPr>
            <a:t> gás</a:t>
          </a:r>
          <a:endParaRPr lang="en-US" sz="2000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7</xdr:col>
      <xdr:colOff>714375</xdr:colOff>
      <xdr:row>2</xdr:row>
      <xdr:rowOff>66675</xdr:rowOff>
    </xdr:from>
    <xdr:to>
      <xdr:col>11</xdr:col>
      <xdr:colOff>28575</xdr:colOff>
      <xdr:row>4</xdr:row>
      <xdr:rowOff>28575</xdr:rowOff>
    </xdr:to>
    <xdr:sp macro="" textlink="$J$4">
      <xdr:nvSpPr>
        <xdr:cNvPr id="3" name="Retângulo 2">
          <a:extLst>
            <a:ext uri="{FF2B5EF4-FFF2-40B4-BE49-F238E27FC236}">
              <a16:creationId xmlns:a16="http://schemas.microsoft.com/office/drawing/2014/main" id="{7F52EC0C-B243-4AFF-861D-F76602EB9E44}"/>
            </a:ext>
          </a:extLst>
        </xdr:cNvPr>
        <xdr:cNvSpPr/>
      </xdr:nvSpPr>
      <xdr:spPr>
        <a:xfrm>
          <a:off x="10467975" y="457200"/>
          <a:ext cx="3248025" cy="3524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273BABBF-FC4C-40EC-8507-B05137E3707D}" type="TxLink">
            <a:rPr lang="en-US" sz="1400" b="1" i="0" u="none" strike="noStrike">
              <a:solidFill>
                <a:schemeClr val="bg1"/>
              </a:solidFill>
              <a:latin typeface="Arial Black" panose="020B0A04020102020204" pitchFamily="34" charset="0"/>
              <a:cs typeface="Calibri"/>
            </a:rPr>
            <a:pPr algn="ctr"/>
            <a:t>Estoque inicial</a:t>
          </a:fld>
          <a:endParaRPr lang="pt-BR" sz="1400" b="1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8</xdr:col>
      <xdr:colOff>9524</xdr:colOff>
      <xdr:row>11</xdr:row>
      <xdr:rowOff>66675</xdr:rowOff>
    </xdr:from>
    <xdr:to>
      <xdr:col>10</xdr:col>
      <xdr:colOff>38100</xdr:colOff>
      <xdr:row>13</xdr:row>
      <xdr:rowOff>47625</xdr:rowOff>
    </xdr:to>
    <xdr:sp macro="" textlink="$I$13">
      <xdr:nvSpPr>
        <xdr:cNvPr id="4" name="Retângulo 3">
          <a:extLst>
            <a:ext uri="{FF2B5EF4-FFF2-40B4-BE49-F238E27FC236}">
              <a16:creationId xmlns:a16="http://schemas.microsoft.com/office/drawing/2014/main" id="{4747ACAD-5C9E-4233-88B0-87D08178C0A0}"/>
            </a:ext>
          </a:extLst>
        </xdr:cNvPr>
        <xdr:cNvSpPr/>
      </xdr:nvSpPr>
      <xdr:spPr>
        <a:xfrm>
          <a:off x="10515599" y="2181225"/>
          <a:ext cx="2390776" cy="36195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9D7E5BDE-5ADD-4655-B0F8-498629E2789E}" type="TxLink">
            <a:rPr lang="en-US" sz="1400" b="0" i="0" u="none" strike="noStrike">
              <a:solidFill>
                <a:schemeClr val="bg1"/>
              </a:solidFill>
              <a:latin typeface="Arial Black" panose="020B0A04020102020204" pitchFamily="34" charset="0"/>
              <a:cs typeface="Calibri"/>
            </a:rPr>
            <a:pPr algn="ctr"/>
            <a:t>Saida de caixa</a:t>
          </a:fld>
          <a:endParaRPr lang="pt-BR" sz="14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7</xdr:col>
      <xdr:colOff>695325</xdr:colOff>
      <xdr:row>38</xdr:row>
      <xdr:rowOff>19050</xdr:rowOff>
    </xdr:from>
    <xdr:to>
      <xdr:col>11</xdr:col>
      <xdr:colOff>9525</xdr:colOff>
      <xdr:row>39</xdr:row>
      <xdr:rowOff>171450</xdr:rowOff>
    </xdr:to>
    <xdr:sp macro="" textlink="$I$40">
      <xdr:nvSpPr>
        <xdr:cNvPr id="5" name="Retângulo 4">
          <a:extLst>
            <a:ext uri="{FF2B5EF4-FFF2-40B4-BE49-F238E27FC236}">
              <a16:creationId xmlns:a16="http://schemas.microsoft.com/office/drawing/2014/main" id="{9E5619C7-C460-4CC3-BB89-83E795B8A074}"/>
            </a:ext>
          </a:extLst>
        </xdr:cNvPr>
        <xdr:cNvSpPr/>
      </xdr:nvSpPr>
      <xdr:spPr>
        <a:xfrm>
          <a:off x="10448925" y="7324725"/>
          <a:ext cx="3248025" cy="3429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4F6BA73-4BAA-4F17-812D-B7437725F7F1}" type="TxLink">
            <a:rPr lang="en-US" sz="1400" b="1" i="0" u="none" strike="noStrike">
              <a:solidFill>
                <a:schemeClr val="bg1"/>
              </a:solidFill>
              <a:latin typeface="Arial Black" panose="020B0A04020102020204" pitchFamily="34" charset="0"/>
              <a:cs typeface="Calibri"/>
            </a:rPr>
            <a:pPr algn="ctr"/>
            <a:t>Estoque Final</a:t>
          </a:fld>
          <a:endParaRPr lang="pt-BR" sz="1400" b="1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11</xdr:col>
      <xdr:colOff>685802</xdr:colOff>
      <xdr:row>2</xdr:row>
      <xdr:rowOff>161924</xdr:rowOff>
    </xdr:from>
    <xdr:to>
      <xdr:col>15</xdr:col>
      <xdr:colOff>66676</xdr:colOff>
      <xdr:row>4</xdr:row>
      <xdr:rowOff>47624</xdr:rowOff>
    </xdr:to>
    <xdr:sp macro="" textlink="$M$4">
      <xdr:nvSpPr>
        <xdr:cNvPr id="6" name="Retângulo 5">
          <a:extLst>
            <a:ext uri="{FF2B5EF4-FFF2-40B4-BE49-F238E27FC236}">
              <a16:creationId xmlns:a16="http://schemas.microsoft.com/office/drawing/2014/main" id="{9BDA194A-2BAF-47B8-AD57-BB22A36528F9}"/>
            </a:ext>
          </a:extLst>
        </xdr:cNvPr>
        <xdr:cNvSpPr/>
      </xdr:nvSpPr>
      <xdr:spPr>
        <a:xfrm>
          <a:off x="14258927" y="552449"/>
          <a:ext cx="3286124" cy="2762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E7ABE673-AD27-4DBA-B4FE-B90381529BD6}" type="TxLink">
            <a:rPr lang="en-US" sz="1400" b="1" i="0" u="none" strike="noStrike">
              <a:solidFill>
                <a:schemeClr val="bg1"/>
              </a:solidFill>
              <a:latin typeface="Arial Black" panose="020B0A04020102020204" pitchFamily="34" charset="0"/>
              <a:cs typeface="Calibri"/>
            </a:rPr>
            <a:pPr algn="ctr"/>
            <a:t>Abastecimento</a:t>
          </a:fld>
          <a:endParaRPr lang="pt-BR" sz="1400" b="1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11</xdr:col>
      <xdr:colOff>676275</xdr:colOff>
      <xdr:row>39</xdr:row>
      <xdr:rowOff>47625</xdr:rowOff>
    </xdr:from>
    <xdr:to>
      <xdr:col>14</xdr:col>
      <xdr:colOff>209551</xdr:colOff>
      <xdr:row>43</xdr:row>
      <xdr:rowOff>114299</xdr:rowOff>
    </xdr:to>
    <xdr:sp macro="" textlink="">
      <xdr:nvSpPr>
        <xdr:cNvPr id="7" name="Retângulo: Cantos Arredondados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0E8F2E-2B98-4FDA-A35C-0CEF26412191}"/>
            </a:ext>
          </a:extLst>
        </xdr:cNvPr>
        <xdr:cNvSpPr/>
      </xdr:nvSpPr>
      <xdr:spPr>
        <a:xfrm>
          <a:off x="14258925" y="7543800"/>
          <a:ext cx="2562226" cy="828674"/>
        </a:xfrm>
        <a:prstGeom prst="round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3200">
              <a:latin typeface="Arial Black" panose="020B0A04020102020204" pitchFamily="34" charset="0"/>
            </a:rPr>
            <a:t>Menu</a:t>
          </a:r>
        </a:p>
      </xdr:txBody>
    </xdr:sp>
    <xdr:clientData/>
  </xdr:twoCellAnchor>
  <xdr:twoCellAnchor>
    <xdr:from>
      <xdr:col>11</xdr:col>
      <xdr:colOff>561976</xdr:colOff>
      <xdr:row>11</xdr:row>
      <xdr:rowOff>85725</xdr:rowOff>
    </xdr:from>
    <xdr:to>
      <xdr:col>14</xdr:col>
      <xdr:colOff>19051</xdr:colOff>
      <xdr:row>13</xdr:row>
      <xdr:rowOff>66675</xdr:rowOff>
    </xdr:to>
    <xdr:sp macro="" textlink="$I$13">
      <xdr:nvSpPr>
        <xdr:cNvPr id="8" name="Retângulo 7">
          <a:extLst>
            <a:ext uri="{FF2B5EF4-FFF2-40B4-BE49-F238E27FC236}">
              <a16:creationId xmlns:a16="http://schemas.microsoft.com/office/drawing/2014/main" id="{0C56555B-96E7-41D5-B426-EB11A5AAB231}"/>
            </a:ext>
          </a:extLst>
        </xdr:cNvPr>
        <xdr:cNvSpPr/>
      </xdr:nvSpPr>
      <xdr:spPr>
        <a:xfrm>
          <a:off x="14249401" y="2200275"/>
          <a:ext cx="2381250" cy="36195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solidFill>
                <a:schemeClr val="bg1"/>
              </a:solidFill>
              <a:latin typeface="Arial Black" panose="020B0A04020102020204" pitchFamily="34" charset="0"/>
            </a:rPr>
            <a:t>Entrada</a:t>
          </a:r>
          <a:r>
            <a:rPr lang="pt-BR" sz="1400" baseline="0">
              <a:solidFill>
                <a:schemeClr val="bg1"/>
              </a:solidFill>
              <a:latin typeface="Arial Black" panose="020B0A04020102020204" pitchFamily="34" charset="0"/>
            </a:rPr>
            <a:t> caixa</a:t>
          </a:r>
          <a:endParaRPr lang="pt-BR" sz="14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123825</xdr:rowOff>
    </xdr:from>
    <xdr:to>
      <xdr:col>3</xdr:col>
      <xdr:colOff>85725</xdr:colOff>
      <xdr:row>3</xdr:row>
      <xdr:rowOff>85725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2ED8DD-F846-4F12-A62F-42BB87D13246}"/>
            </a:ext>
          </a:extLst>
        </xdr:cNvPr>
        <xdr:cNvSpPr/>
      </xdr:nvSpPr>
      <xdr:spPr>
        <a:xfrm>
          <a:off x="619125" y="123825"/>
          <a:ext cx="3600450" cy="55245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latin typeface="Arial Black" panose="020B0A04020102020204" pitchFamily="34" charset="0"/>
            </a:rPr>
            <a:t>Melhor</a:t>
          </a:r>
          <a:r>
            <a:rPr lang="en-US" sz="2000" baseline="0">
              <a:latin typeface="Arial Black" panose="020B0A04020102020204" pitchFamily="34" charset="0"/>
            </a:rPr>
            <a:t> gás</a:t>
          </a:r>
          <a:endParaRPr lang="en-US" sz="2000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7</xdr:col>
      <xdr:colOff>714375</xdr:colOff>
      <xdr:row>2</xdr:row>
      <xdr:rowOff>66675</xdr:rowOff>
    </xdr:from>
    <xdr:to>
      <xdr:col>11</xdr:col>
      <xdr:colOff>28575</xdr:colOff>
      <xdr:row>4</xdr:row>
      <xdr:rowOff>28575</xdr:rowOff>
    </xdr:to>
    <xdr:sp macro="" textlink="$J$4">
      <xdr:nvSpPr>
        <xdr:cNvPr id="3" name="Retângulo 2">
          <a:extLst>
            <a:ext uri="{FF2B5EF4-FFF2-40B4-BE49-F238E27FC236}">
              <a16:creationId xmlns:a16="http://schemas.microsoft.com/office/drawing/2014/main" id="{DF02C6E4-7BE7-47CD-83F9-1D6AC028DC49}"/>
            </a:ext>
          </a:extLst>
        </xdr:cNvPr>
        <xdr:cNvSpPr/>
      </xdr:nvSpPr>
      <xdr:spPr>
        <a:xfrm>
          <a:off x="10467975" y="457200"/>
          <a:ext cx="3248025" cy="3524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273BABBF-FC4C-40EC-8507-B05137E3707D}" type="TxLink">
            <a:rPr lang="en-US" sz="1400" b="1" i="0" u="none" strike="noStrike">
              <a:solidFill>
                <a:schemeClr val="bg1"/>
              </a:solidFill>
              <a:latin typeface="Arial Black" panose="020B0A04020102020204" pitchFamily="34" charset="0"/>
              <a:cs typeface="Calibri"/>
            </a:rPr>
            <a:pPr algn="ctr"/>
            <a:t>Estoque inicial</a:t>
          </a:fld>
          <a:endParaRPr lang="pt-BR" sz="1400" b="1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8</xdr:col>
      <xdr:colOff>9524</xdr:colOff>
      <xdr:row>11</xdr:row>
      <xdr:rowOff>66675</xdr:rowOff>
    </xdr:from>
    <xdr:to>
      <xdr:col>10</xdr:col>
      <xdr:colOff>38100</xdr:colOff>
      <xdr:row>13</xdr:row>
      <xdr:rowOff>47625</xdr:rowOff>
    </xdr:to>
    <xdr:sp macro="" textlink="$I$13">
      <xdr:nvSpPr>
        <xdr:cNvPr id="4" name="Retângulo 3">
          <a:extLst>
            <a:ext uri="{FF2B5EF4-FFF2-40B4-BE49-F238E27FC236}">
              <a16:creationId xmlns:a16="http://schemas.microsoft.com/office/drawing/2014/main" id="{DE4910BE-A1EE-45AA-B5A6-D39F1DCD971D}"/>
            </a:ext>
          </a:extLst>
        </xdr:cNvPr>
        <xdr:cNvSpPr/>
      </xdr:nvSpPr>
      <xdr:spPr>
        <a:xfrm>
          <a:off x="10515599" y="2181225"/>
          <a:ext cx="2390776" cy="36195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9D7E5BDE-5ADD-4655-B0F8-498629E2789E}" type="TxLink">
            <a:rPr lang="en-US" sz="1400" b="0" i="0" u="none" strike="noStrike">
              <a:solidFill>
                <a:schemeClr val="bg1"/>
              </a:solidFill>
              <a:latin typeface="Arial Black" panose="020B0A04020102020204" pitchFamily="34" charset="0"/>
              <a:cs typeface="Calibri"/>
            </a:rPr>
            <a:pPr algn="ctr"/>
            <a:t>Saida de caixa</a:t>
          </a:fld>
          <a:endParaRPr lang="pt-BR" sz="14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7</xdr:col>
      <xdr:colOff>695325</xdr:colOff>
      <xdr:row>38</xdr:row>
      <xdr:rowOff>19050</xdr:rowOff>
    </xdr:from>
    <xdr:to>
      <xdr:col>11</xdr:col>
      <xdr:colOff>9525</xdr:colOff>
      <xdr:row>39</xdr:row>
      <xdr:rowOff>171450</xdr:rowOff>
    </xdr:to>
    <xdr:sp macro="" textlink="$I$40">
      <xdr:nvSpPr>
        <xdr:cNvPr id="5" name="Retângulo 4">
          <a:extLst>
            <a:ext uri="{FF2B5EF4-FFF2-40B4-BE49-F238E27FC236}">
              <a16:creationId xmlns:a16="http://schemas.microsoft.com/office/drawing/2014/main" id="{53634D76-B85F-4953-AE28-C129B6F3C76B}"/>
            </a:ext>
          </a:extLst>
        </xdr:cNvPr>
        <xdr:cNvSpPr/>
      </xdr:nvSpPr>
      <xdr:spPr>
        <a:xfrm>
          <a:off x="10448925" y="7324725"/>
          <a:ext cx="3248025" cy="3429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4F6BA73-4BAA-4F17-812D-B7437725F7F1}" type="TxLink">
            <a:rPr lang="en-US" sz="1400" b="1" i="0" u="none" strike="noStrike">
              <a:solidFill>
                <a:schemeClr val="bg1"/>
              </a:solidFill>
              <a:latin typeface="Arial Black" panose="020B0A04020102020204" pitchFamily="34" charset="0"/>
              <a:cs typeface="Calibri"/>
            </a:rPr>
            <a:pPr algn="ctr"/>
            <a:t>Estoque Final</a:t>
          </a:fld>
          <a:endParaRPr lang="pt-BR" sz="1400" b="1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11</xdr:col>
      <xdr:colOff>685802</xdr:colOff>
      <xdr:row>2</xdr:row>
      <xdr:rowOff>161924</xdr:rowOff>
    </xdr:from>
    <xdr:to>
      <xdr:col>15</xdr:col>
      <xdr:colOff>66676</xdr:colOff>
      <xdr:row>4</xdr:row>
      <xdr:rowOff>47624</xdr:rowOff>
    </xdr:to>
    <xdr:sp macro="" textlink="$M$4">
      <xdr:nvSpPr>
        <xdr:cNvPr id="6" name="Retângulo 5">
          <a:extLst>
            <a:ext uri="{FF2B5EF4-FFF2-40B4-BE49-F238E27FC236}">
              <a16:creationId xmlns:a16="http://schemas.microsoft.com/office/drawing/2014/main" id="{FA2C5540-F44E-4242-8059-2A7D32D7BFF0}"/>
            </a:ext>
          </a:extLst>
        </xdr:cNvPr>
        <xdr:cNvSpPr/>
      </xdr:nvSpPr>
      <xdr:spPr>
        <a:xfrm>
          <a:off x="14258927" y="552449"/>
          <a:ext cx="3286124" cy="2762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E7ABE673-AD27-4DBA-B4FE-B90381529BD6}" type="TxLink">
            <a:rPr lang="en-US" sz="1400" b="1" i="0" u="none" strike="noStrike">
              <a:solidFill>
                <a:schemeClr val="bg1"/>
              </a:solidFill>
              <a:latin typeface="Arial Black" panose="020B0A04020102020204" pitchFamily="34" charset="0"/>
              <a:cs typeface="Calibri"/>
            </a:rPr>
            <a:pPr algn="ctr"/>
            <a:t>Abastecimento</a:t>
          </a:fld>
          <a:endParaRPr lang="pt-BR" sz="1400" b="1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11</xdr:col>
      <xdr:colOff>676275</xdr:colOff>
      <xdr:row>39</xdr:row>
      <xdr:rowOff>47625</xdr:rowOff>
    </xdr:from>
    <xdr:to>
      <xdr:col>14</xdr:col>
      <xdr:colOff>209551</xdr:colOff>
      <xdr:row>43</xdr:row>
      <xdr:rowOff>114299</xdr:rowOff>
    </xdr:to>
    <xdr:sp macro="" textlink="">
      <xdr:nvSpPr>
        <xdr:cNvPr id="7" name="Retângulo: Cantos Arredondados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2B25B4-72F5-4A24-AAA6-C56A018C18E6}"/>
            </a:ext>
          </a:extLst>
        </xdr:cNvPr>
        <xdr:cNvSpPr/>
      </xdr:nvSpPr>
      <xdr:spPr>
        <a:xfrm>
          <a:off x="14258925" y="7543800"/>
          <a:ext cx="2562226" cy="828674"/>
        </a:xfrm>
        <a:prstGeom prst="round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3200">
              <a:latin typeface="Arial Black" panose="020B0A04020102020204" pitchFamily="34" charset="0"/>
            </a:rPr>
            <a:t>Menu</a:t>
          </a:r>
        </a:p>
      </xdr:txBody>
    </xdr:sp>
    <xdr:clientData/>
  </xdr:twoCellAnchor>
  <xdr:twoCellAnchor>
    <xdr:from>
      <xdr:col>11</xdr:col>
      <xdr:colOff>561976</xdr:colOff>
      <xdr:row>11</xdr:row>
      <xdr:rowOff>85725</xdr:rowOff>
    </xdr:from>
    <xdr:to>
      <xdr:col>14</xdr:col>
      <xdr:colOff>19051</xdr:colOff>
      <xdr:row>13</xdr:row>
      <xdr:rowOff>66675</xdr:rowOff>
    </xdr:to>
    <xdr:sp macro="" textlink="$I$13">
      <xdr:nvSpPr>
        <xdr:cNvPr id="8" name="Retângulo 7">
          <a:extLst>
            <a:ext uri="{FF2B5EF4-FFF2-40B4-BE49-F238E27FC236}">
              <a16:creationId xmlns:a16="http://schemas.microsoft.com/office/drawing/2014/main" id="{DEE8453B-4C78-4AFC-86A4-23D9B27F2BFC}"/>
            </a:ext>
          </a:extLst>
        </xdr:cNvPr>
        <xdr:cNvSpPr/>
      </xdr:nvSpPr>
      <xdr:spPr>
        <a:xfrm>
          <a:off x="14249401" y="2200275"/>
          <a:ext cx="2381250" cy="36195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solidFill>
                <a:schemeClr val="bg1"/>
              </a:solidFill>
              <a:latin typeface="Arial Black" panose="020B0A04020102020204" pitchFamily="34" charset="0"/>
            </a:rPr>
            <a:t>Entrada</a:t>
          </a:r>
          <a:r>
            <a:rPr lang="pt-BR" sz="1400" baseline="0">
              <a:solidFill>
                <a:schemeClr val="bg1"/>
              </a:solidFill>
              <a:latin typeface="Arial Black" panose="020B0A04020102020204" pitchFamily="34" charset="0"/>
            </a:rPr>
            <a:t> caixa</a:t>
          </a:r>
          <a:endParaRPr lang="pt-BR" sz="14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123825</xdr:rowOff>
    </xdr:from>
    <xdr:to>
      <xdr:col>3</xdr:col>
      <xdr:colOff>85725</xdr:colOff>
      <xdr:row>3</xdr:row>
      <xdr:rowOff>85725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4935E0-6F44-4D9E-A743-995AC7F11BD0}"/>
            </a:ext>
          </a:extLst>
        </xdr:cNvPr>
        <xdr:cNvSpPr/>
      </xdr:nvSpPr>
      <xdr:spPr>
        <a:xfrm>
          <a:off x="619125" y="123825"/>
          <a:ext cx="3600450" cy="55245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latin typeface="Arial Black" panose="020B0A04020102020204" pitchFamily="34" charset="0"/>
            </a:rPr>
            <a:t>Melhor</a:t>
          </a:r>
          <a:r>
            <a:rPr lang="en-US" sz="2000" baseline="0">
              <a:latin typeface="Arial Black" panose="020B0A04020102020204" pitchFamily="34" charset="0"/>
            </a:rPr>
            <a:t> gás</a:t>
          </a:r>
          <a:endParaRPr lang="en-US" sz="2000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7</xdr:col>
      <xdr:colOff>714375</xdr:colOff>
      <xdr:row>2</xdr:row>
      <xdr:rowOff>66675</xdr:rowOff>
    </xdr:from>
    <xdr:to>
      <xdr:col>11</xdr:col>
      <xdr:colOff>28575</xdr:colOff>
      <xdr:row>4</xdr:row>
      <xdr:rowOff>28575</xdr:rowOff>
    </xdr:to>
    <xdr:sp macro="" textlink="$J$4">
      <xdr:nvSpPr>
        <xdr:cNvPr id="3" name="Retângulo 2">
          <a:extLst>
            <a:ext uri="{FF2B5EF4-FFF2-40B4-BE49-F238E27FC236}">
              <a16:creationId xmlns:a16="http://schemas.microsoft.com/office/drawing/2014/main" id="{7949D529-7E0B-41D7-8DBE-FBC40D75FC54}"/>
            </a:ext>
          </a:extLst>
        </xdr:cNvPr>
        <xdr:cNvSpPr/>
      </xdr:nvSpPr>
      <xdr:spPr>
        <a:xfrm>
          <a:off x="10467975" y="457200"/>
          <a:ext cx="3248025" cy="3524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273BABBF-FC4C-40EC-8507-B05137E3707D}" type="TxLink">
            <a:rPr lang="en-US" sz="1400" b="1" i="0" u="none" strike="noStrike">
              <a:solidFill>
                <a:schemeClr val="bg1"/>
              </a:solidFill>
              <a:latin typeface="Arial Black" panose="020B0A04020102020204" pitchFamily="34" charset="0"/>
              <a:cs typeface="Calibri"/>
            </a:rPr>
            <a:pPr algn="ctr"/>
            <a:t>Estoque inicial</a:t>
          </a:fld>
          <a:endParaRPr lang="pt-BR" sz="1400" b="1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8</xdr:col>
      <xdr:colOff>9524</xdr:colOff>
      <xdr:row>11</xdr:row>
      <xdr:rowOff>66675</xdr:rowOff>
    </xdr:from>
    <xdr:to>
      <xdr:col>10</xdr:col>
      <xdr:colOff>38100</xdr:colOff>
      <xdr:row>13</xdr:row>
      <xdr:rowOff>47625</xdr:rowOff>
    </xdr:to>
    <xdr:sp macro="" textlink="$I$13">
      <xdr:nvSpPr>
        <xdr:cNvPr id="4" name="Retângulo 3">
          <a:extLst>
            <a:ext uri="{FF2B5EF4-FFF2-40B4-BE49-F238E27FC236}">
              <a16:creationId xmlns:a16="http://schemas.microsoft.com/office/drawing/2014/main" id="{534F6BD9-490B-4424-91F4-CF6DE783EBC5}"/>
            </a:ext>
          </a:extLst>
        </xdr:cNvPr>
        <xdr:cNvSpPr/>
      </xdr:nvSpPr>
      <xdr:spPr>
        <a:xfrm>
          <a:off x="10515599" y="2181225"/>
          <a:ext cx="2390776" cy="36195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9D7E5BDE-5ADD-4655-B0F8-498629E2789E}" type="TxLink">
            <a:rPr lang="en-US" sz="1400" b="0" i="0" u="none" strike="noStrike">
              <a:solidFill>
                <a:schemeClr val="bg1"/>
              </a:solidFill>
              <a:latin typeface="Arial Black" panose="020B0A04020102020204" pitchFamily="34" charset="0"/>
              <a:cs typeface="Calibri"/>
            </a:rPr>
            <a:pPr algn="ctr"/>
            <a:t>Saida de caixa</a:t>
          </a:fld>
          <a:endParaRPr lang="pt-BR" sz="14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7</xdr:col>
      <xdr:colOff>695325</xdr:colOff>
      <xdr:row>38</xdr:row>
      <xdr:rowOff>19050</xdr:rowOff>
    </xdr:from>
    <xdr:to>
      <xdr:col>11</xdr:col>
      <xdr:colOff>9525</xdr:colOff>
      <xdr:row>39</xdr:row>
      <xdr:rowOff>171450</xdr:rowOff>
    </xdr:to>
    <xdr:sp macro="" textlink="$I$40">
      <xdr:nvSpPr>
        <xdr:cNvPr id="5" name="Retângulo 4">
          <a:extLst>
            <a:ext uri="{FF2B5EF4-FFF2-40B4-BE49-F238E27FC236}">
              <a16:creationId xmlns:a16="http://schemas.microsoft.com/office/drawing/2014/main" id="{91AA8D9F-AC49-4B22-87C3-39BCB7573A95}"/>
            </a:ext>
          </a:extLst>
        </xdr:cNvPr>
        <xdr:cNvSpPr/>
      </xdr:nvSpPr>
      <xdr:spPr>
        <a:xfrm>
          <a:off x="10448925" y="7324725"/>
          <a:ext cx="3248025" cy="3429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4F6BA73-4BAA-4F17-812D-B7437725F7F1}" type="TxLink">
            <a:rPr lang="en-US" sz="1400" b="1" i="0" u="none" strike="noStrike">
              <a:solidFill>
                <a:schemeClr val="bg1"/>
              </a:solidFill>
              <a:latin typeface="Arial Black" panose="020B0A04020102020204" pitchFamily="34" charset="0"/>
              <a:cs typeface="Calibri"/>
            </a:rPr>
            <a:pPr algn="ctr"/>
            <a:t>Estoque Final</a:t>
          </a:fld>
          <a:endParaRPr lang="pt-BR" sz="1400" b="1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11</xdr:col>
      <xdr:colOff>685802</xdr:colOff>
      <xdr:row>2</xdr:row>
      <xdr:rowOff>161924</xdr:rowOff>
    </xdr:from>
    <xdr:to>
      <xdr:col>15</xdr:col>
      <xdr:colOff>66676</xdr:colOff>
      <xdr:row>4</xdr:row>
      <xdr:rowOff>47624</xdr:rowOff>
    </xdr:to>
    <xdr:sp macro="" textlink="$M$4">
      <xdr:nvSpPr>
        <xdr:cNvPr id="6" name="Retângulo 5">
          <a:extLst>
            <a:ext uri="{FF2B5EF4-FFF2-40B4-BE49-F238E27FC236}">
              <a16:creationId xmlns:a16="http://schemas.microsoft.com/office/drawing/2014/main" id="{21BB4249-2B7E-4DDA-8319-C23056D108D4}"/>
            </a:ext>
          </a:extLst>
        </xdr:cNvPr>
        <xdr:cNvSpPr/>
      </xdr:nvSpPr>
      <xdr:spPr>
        <a:xfrm>
          <a:off x="14258927" y="552449"/>
          <a:ext cx="3286124" cy="2762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E7ABE673-AD27-4DBA-B4FE-B90381529BD6}" type="TxLink">
            <a:rPr lang="en-US" sz="1400" b="1" i="0" u="none" strike="noStrike">
              <a:solidFill>
                <a:schemeClr val="bg1"/>
              </a:solidFill>
              <a:latin typeface="Arial Black" panose="020B0A04020102020204" pitchFamily="34" charset="0"/>
              <a:cs typeface="Calibri"/>
            </a:rPr>
            <a:pPr algn="ctr"/>
            <a:t>Abastecimento</a:t>
          </a:fld>
          <a:endParaRPr lang="pt-BR" sz="1400" b="1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11</xdr:col>
      <xdr:colOff>676275</xdr:colOff>
      <xdr:row>39</xdr:row>
      <xdr:rowOff>47625</xdr:rowOff>
    </xdr:from>
    <xdr:to>
      <xdr:col>14</xdr:col>
      <xdr:colOff>209551</xdr:colOff>
      <xdr:row>43</xdr:row>
      <xdr:rowOff>114299</xdr:rowOff>
    </xdr:to>
    <xdr:sp macro="" textlink="">
      <xdr:nvSpPr>
        <xdr:cNvPr id="7" name="Retângulo: Cantos Arredondados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F13575-216A-4038-B9E8-97467C567E08}"/>
            </a:ext>
          </a:extLst>
        </xdr:cNvPr>
        <xdr:cNvSpPr/>
      </xdr:nvSpPr>
      <xdr:spPr>
        <a:xfrm>
          <a:off x="14258925" y="7543800"/>
          <a:ext cx="2562226" cy="828674"/>
        </a:xfrm>
        <a:prstGeom prst="round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3200">
              <a:latin typeface="Arial Black" panose="020B0A04020102020204" pitchFamily="34" charset="0"/>
            </a:rPr>
            <a:t>Menu</a:t>
          </a:r>
        </a:p>
      </xdr:txBody>
    </xdr:sp>
    <xdr:clientData/>
  </xdr:twoCellAnchor>
  <xdr:twoCellAnchor>
    <xdr:from>
      <xdr:col>11</xdr:col>
      <xdr:colOff>561976</xdr:colOff>
      <xdr:row>11</xdr:row>
      <xdr:rowOff>85725</xdr:rowOff>
    </xdr:from>
    <xdr:to>
      <xdr:col>14</xdr:col>
      <xdr:colOff>19051</xdr:colOff>
      <xdr:row>13</xdr:row>
      <xdr:rowOff>66675</xdr:rowOff>
    </xdr:to>
    <xdr:sp macro="" textlink="$I$13">
      <xdr:nvSpPr>
        <xdr:cNvPr id="8" name="Retângulo 7">
          <a:extLst>
            <a:ext uri="{FF2B5EF4-FFF2-40B4-BE49-F238E27FC236}">
              <a16:creationId xmlns:a16="http://schemas.microsoft.com/office/drawing/2014/main" id="{8A9B304C-4861-492D-AEB0-CB09D66C5E7D}"/>
            </a:ext>
          </a:extLst>
        </xdr:cNvPr>
        <xdr:cNvSpPr/>
      </xdr:nvSpPr>
      <xdr:spPr>
        <a:xfrm>
          <a:off x="14249401" y="2200275"/>
          <a:ext cx="2381250" cy="36195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solidFill>
                <a:schemeClr val="bg1"/>
              </a:solidFill>
              <a:latin typeface="Arial Black" panose="020B0A04020102020204" pitchFamily="34" charset="0"/>
            </a:rPr>
            <a:t>Entrada</a:t>
          </a:r>
          <a:r>
            <a:rPr lang="pt-BR" sz="1400" baseline="0">
              <a:solidFill>
                <a:schemeClr val="bg1"/>
              </a:solidFill>
              <a:latin typeface="Arial Black" panose="020B0A04020102020204" pitchFamily="34" charset="0"/>
            </a:rPr>
            <a:t> caixa</a:t>
          </a:r>
          <a:endParaRPr lang="pt-BR" sz="14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123825</xdr:rowOff>
    </xdr:from>
    <xdr:to>
      <xdr:col>3</xdr:col>
      <xdr:colOff>85725</xdr:colOff>
      <xdr:row>3</xdr:row>
      <xdr:rowOff>85725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C7F81B-0297-4D10-A15A-94B64EFD4388}"/>
            </a:ext>
          </a:extLst>
        </xdr:cNvPr>
        <xdr:cNvSpPr/>
      </xdr:nvSpPr>
      <xdr:spPr>
        <a:xfrm>
          <a:off x="619125" y="123825"/>
          <a:ext cx="3600450" cy="55245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latin typeface="Arial Black" panose="020B0A04020102020204" pitchFamily="34" charset="0"/>
            </a:rPr>
            <a:t>Melhor</a:t>
          </a:r>
          <a:r>
            <a:rPr lang="en-US" sz="2000" baseline="0">
              <a:latin typeface="Arial Black" panose="020B0A04020102020204" pitchFamily="34" charset="0"/>
            </a:rPr>
            <a:t> gás</a:t>
          </a:r>
          <a:endParaRPr lang="en-US" sz="2000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7</xdr:col>
      <xdr:colOff>714375</xdr:colOff>
      <xdr:row>2</xdr:row>
      <xdr:rowOff>66675</xdr:rowOff>
    </xdr:from>
    <xdr:to>
      <xdr:col>11</xdr:col>
      <xdr:colOff>28575</xdr:colOff>
      <xdr:row>4</xdr:row>
      <xdr:rowOff>28575</xdr:rowOff>
    </xdr:to>
    <xdr:sp macro="" textlink="$J$4">
      <xdr:nvSpPr>
        <xdr:cNvPr id="3" name="Retângulo 2">
          <a:extLst>
            <a:ext uri="{FF2B5EF4-FFF2-40B4-BE49-F238E27FC236}">
              <a16:creationId xmlns:a16="http://schemas.microsoft.com/office/drawing/2014/main" id="{7566688C-C968-4D8A-B0DA-161B43C0FDFC}"/>
            </a:ext>
          </a:extLst>
        </xdr:cNvPr>
        <xdr:cNvSpPr/>
      </xdr:nvSpPr>
      <xdr:spPr>
        <a:xfrm>
          <a:off x="10467975" y="457200"/>
          <a:ext cx="3248025" cy="3524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273BABBF-FC4C-40EC-8507-B05137E3707D}" type="TxLink">
            <a:rPr lang="en-US" sz="1400" b="1" i="0" u="none" strike="noStrike">
              <a:solidFill>
                <a:schemeClr val="bg1"/>
              </a:solidFill>
              <a:latin typeface="Arial Black" panose="020B0A04020102020204" pitchFamily="34" charset="0"/>
              <a:cs typeface="Calibri"/>
            </a:rPr>
            <a:pPr algn="ctr"/>
            <a:t>Estoque inicial</a:t>
          </a:fld>
          <a:endParaRPr lang="pt-BR" sz="1400" b="1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7</xdr:col>
      <xdr:colOff>733424</xdr:colOff>
      <xdr:row>11</xdr:row>
      <xdr:rowOff>76200</xdr:rowOff>
    </xdr:from>
    <xdr:to>
      <xdr:col>10</xdr:col>
      <xdr:colOff>9525</xdr:colOff>
      <xdr:row>13</xdr:row>
      <xdr:rowOff>57150</xdr:rowOff>
    </xdr:to>
    <xdr:sp macro="" textlink="$I$13">
      <xdr:nvSpPr>
        <xdr:cNvPr id="4" name="Retângulo 3">
          <a:extLst>
            <a:ext uri="{FF2B5EF4-FFF2-40B4-BE49-F238E27FC236}">
              <a16:creationId xmlns:a16="http://schemas.microsoft.com/office/drawing/2014/main" id="{E7079B9B-6BAE-4185-AA2D-265F5D3653A5}"/>
            </a:ext>
          </a:extLst>
        </xdr:cNvPr>
        <xdr:cNvSpPr/>
      </xdr:nvSpPr>
      <xdr:spPr>
        <a:xfrm>
          <a:off x="10487024" y="2190750"/>
          <a:ext cx="2390776" cy="36195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9D7E5BDE-5ADD-4655-B0F8-498629E2789E}" type="TxLink">
            <a:rPr lang="en-US" sz="1400" b="0" i="0" u="none" strike="noStrike">
              <a:solidFill>
                <a:schemeClr val="bg1"/>
              </a:solidFill>
              <a:latin typeface="Arial Black" panose="020B0A04020102020204" pitchFamily="34" charset="0"/>
              <a:cs typeface="Calibri"/>
            </a:rPr>
            <a:pPr algn="ctr"/>
            <a:t>Saida de caixa</a:t>
          </a:fld>
          <a:endParaRPr lang="pt-BR" sz="14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7</xdr:col>
      <xdr:colOff>695325</xdr:colOff>
      <xdr:row>38</xdr:row>
      <xdr:rowOff>19050</xdr:rowOff>
    </xdr:from>
    <xdr:to>
      <xdr:col>11</xdr:col>
      <xdr:colOff>9525</xdr:colOff>
      <xdr:row>39</xdr:row>
      <xdr:rowOff>171450</xdr:rowOff>
    </xdr:to>
    <xdr:sp macro="" textlink="$I$40">
      <xdr:nvSpPr>
        <xdr:cNvPr id="5" name="Retângulo 4">
          <a:extLst>
            <a:ext uri="{FF2B5EF4-FFF2-40B4-BE49-F238E27FC236}">
              <a16:creationId xmlns:a16="http://schemas.microsoft.com/office/drawing/2014/main" id="{84D4B743-E912-4234-B64E-5ECF66C60850}"/>
            </a:ext>
          </a:extLst>
        </xdr:cNvPr>
        <xdr:cNvSpPr/>
      </xdr:nvSpPr>
      <xdr:spPr>
        <a:xfrm>
          <a:off x="10448925" y="7324725"/>
          <a:ext cx="3248025" cy="3429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4F6BA73-4BAA-4F17-812D-B7437725F7F1}" type="TxLink">
            <a:rPr lang="en-US" sz="1400" b="1" i="0" u="none" strike="noStrike">
              <a:solidFill>
                <a:schemeClr val="bg1"/>
              </a:solidFill>
              <a:latin typeface="Arial Black" panose="020B0A04020102020204" pitchFamily="34" charset="0"/>
              <a:cs typeface="Calibri"/>
            </a:rPr>
            <a:pPr algn="ctr"/>
            <a:t>Estoque Final</a:t>
          </a:fld>
          <a:endParaRPr lang="pt-BR" sz="1400" b="1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11</xdr:col>
      <xdr:colOff>685802</xdr:colOff>
      <xdr:row>2</xdr:row>
      <xdr:rowOff>161924</xdr:rowOff>
    </xdr:from>
    <xdr:to>
      <xdr:col>15</xdr:col>
      <xdr:colOff>66676</xdr:colOff>
      <xdr:row>4</xdr:row>
      <xdr:rowOff>47624</xdr:rowOff>
    </xdr:to>
    <xdr:sp macro="" textlink="$M$4">
      <xdr:nvSpPr>
        <xdr:cNvPr id="6" name="Retângulo 5">
          <a:extLst>
            <a:ext uri="{FF2B5EF4-FFF2-40B4-BE49-F238E27FC236}">
              <a16:creationId xmlns:a16="http://schemas.microsoft.com/office/drawing/2014/main" id="{32EDB170-7757-446F-BAFB-C2966CB83A77}"/>
            </a:ext>
          </a:extLst>
        </xdr:cNvPr>
        <xdr:cNvSpPr/>
      </xdr:nvSpPr>
      <xdr:spPr>
        <a:xfrm>
          <a:off x="14258927" y="552449"/>
          <a:ext cx="3286124" cy="2762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E7ABE673-AD27-4DBA-B4FE-B90381529BD6}" type="TxLink">
            <a:rPr lang="en-US" sz="1400" b="1" i="0" u="none" strike="noStrike">
              <a:solidFill>
                <a:schemeClr val="bg1"/>
              </a:solidFill>
              <a:latin typeface="Arial Black" panose="020B0A04020102020204" pitchFamily="34" charset="0"/>
              <a:cs typeface="Calibri"/>
            </a:rPr>
            <a:pPr algn="ctr"/>
            <a:t>Abastecimento</a:t>
          </a:fld>
          <a:endParaRPr lang="pt-BR" sz="1400" b="1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11</xdr:col>
      <xdr:colOff>676275</xdr:colOff>
      <xdr:row>39</xdr:row>
      <xdr:rowOff>47625</xdr:rowOff>
    </xdr:from>
    <xdr:to>
      <xdr:col>14</xdr:col>
      <xdr:colOff>209551</xdr:colOff>
      <xdr:row>43</xdr:row>
      <xdr:rowOff>114299</xdr:rowOff>
    </xdr:to>
    <xdr:sp macro="" textlink="">
      <xdr:nvSpPr>
        <xdr:cNvPr id="7" name="Retângulo: Cantos Arredondados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1EB608-DFEB-4DE6-9CE7-7C27F0B618BB}"/>
            </a:ext>
          </a:extLst>
        </xdr:cNvPr>
        <xdr:cNvSpPr/>
      </xdr:nvSpPr>
      <xdr:spPr>
        <a:xfrm>
          <a:off x="14258925" y="7543800"/>
          <a:ext cx="2562226" cy="828674"/>
        </a:xfrm>
        <a:prstGeom prst="round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3200">
              <a:latin typeface="Arial Black" panose="020B0A04020102020204" pitchFamily="34" charset="0"/>
            </a:rPr>
            <a:t>Menu</a:t>
          </a:r>
        </a:p>
      </xdr:txBody>
    </xdr:sp>
    <xdr:clientData/>
  </xdr:twoCellAnchor>
  <xdr:twoCellAnchor>
    <xdr:from>
      <xdr:col>11</xdr:col>
      <xdr:colOff>561976</xdr:colOff>
      <xdr:row>11</xdr:row>
      <xdr:rowOff>85725</xdr:rowOff>
    </xdr:from>
    <xdr:to>
      <xdr:col>14</xdr:col>
      <xdr:colOff>19051</xdr:colOff>
      <xdr:row>13</xdr:row>
      <xdr:rowOff>66675</xdr:rowOff>
    </xdr:to>
    <xdr:sp macro="" textlink="$I$13">
      <xdr:nvSpPr>
        <xdr:cNvPr id="8" name="Retângulo 7">
          <a:extLst>
            <a:ext uri="{FF2B5EF4-FFF2-40B4-BE49-F238E27FC236}">
              <a16:creationId xmlns:a16="http://schemas.microsoft.com/office/drawing/2014/main" id="{21C7A310-EB64-4092-9C69-7469019D95B6}"/>
            </a:ext>
          </a:extLst>
        </xdr:cNvPr>
        <xdr:cNvSpPr/>
      </xdr:nvSpPr>
      <xdr:spPr>
        <a:xfrm>
          <a:off x="14249401" y="2200275"/>
          <a:ext cx="2381250" cy="36195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solidFill>
                <a:schemeClr val="bg1"/>
              </a:solidFill>
              <a:latin typeface="Arial Black" panose="020B0A04020102020204" pitchFamily="34" charset="0"/>
            </a:rPr>
            <a:t>Entrada</a:t>
          </a:r>
          <a:r>
            <a:rPr lang="pt-BR" sz="1400" baseline="0">
              <a:solidFill>
                <a:schemeClr val="bg1"/>
              </a:solidFill>
              <a:latin typeface="Arial Black" panose="020B0A04020102020204" pitchFamily="34" charset="0"/>
            </a:rPr>
            <a:t> caixa</a:t>
          </a:r>
          <a:endParaRPr lang="pt-BR" sz="14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123825</xdr:rowOff>
    </xdr:from>
    <xdr:to>
      <xdr:col>3</xdr:col>
      <xdr:colOff>85725</xdr:colOff>
      <xdr:row>3</xdr:row>
      <xdr:rowOff>85725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F7A44B-8549-4C71-A658-99CBEF0D1FC5}"/>
            </a:ext>
          </a:extLst>
        </xdr:cNvPr>
        <xdr:cNvSpPr/>
      </xdr:nvSpPr>
      <xdr:spPr>
        <a:xfrm>
          <a:off x="619125" y="123825"/>
          <a:ext cx="3600450" cy="55245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latin typeface="Arial Black" panose="020B0A04020102020204" pitchFamily="34" charset="0"/>
            </a:rPr>
            <a:t>Melhor</a:t>
          </a:r>
          <a:r>
            <a:rPr lang="en-US" sz="2000" baseline="0">
              <a:latin typeface="Arial Black" panose="020B0A04020102020204" pitchFamily="34" charset="0"/>
            </a:rPr>
            <a:t> gás</a:t>
          </a:r>
          <a:endParaRPr lang="en-US" sz="2000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7</xdr:col>
      <xdr:colOff>714375</xdr:colOff>
      <xdr:row>2</xdr:row>
      <xdr:rowOff>66675</xdr:rowOff>
    </xdr:from>
    <xdr:to>
      <xdr:col>11</xdr:col>
      <xdr:colOff>28575</xdr:colOff>
      <xdr:row>4</xdr:row>
      <xdr:rowOff>28575</xdr:rowOff>
    </xdr:to>
    <xdr:sp macro="" textlink="$J$4">
      <xdr:nvSpPr>
        <xdr:cNvPr id="3" name="Retângulo 2">
          <a:extLst>
            <a:ext uri="{FF2B5EF4-FFF2-40B4-BE49-F238E27FC236}">
              <a16:creationId xmlns:a16="http://schemas.microsoft.com/office/drawing/2014/main" id="{145E40A3-C52D-43DA-9577-B8DBEB55D26C}"/>
            </a:ext>
          </a:extLst>
        </xdr:cNvPr>
        <xdr:cNvSpPr/>
      </xdr:nvSpPr>
      <xdr:spPr>
        <a:xfrm>
          <a:off x="10467975" y="457200"/>
          <a:ext cx="3248025" cy="3524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273BABBF-FC4C-40EC-8507-B05137E3707D}" type="TxLink">
            <a:rPr lang="en-US" sz="1400" b="1" i="0" u="none" strike="noStrike">
              <a:solidFill>
                <a:schemeClr val="bg1"/>
              </a:solidFill>
              <a:latin typeface="Arial Black" panose="020B0A04020102020204" pitchFamily="34" charset="0"/>
              <a:cs typeface="Calibri"/>
            </a:rPr>
            <a:pPr algn="ctr"/>
            <a:t>Estoque inicial</a:t>
          </a:fld>
          <a:endParaRPr lang="pt-BR" sz="1400" b="1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7</xdr:col>
      <xdr:colOff>733424</xdr:colOff>
      <xdr:row>11</xdr:row>
      <xdr:rowOff>76200</xdr:rowOff>
    </xdr:from>
    <xdr:to>
      <xdr:col>10</xdr:col>
      <xdr:colOff>9525</xdr:colOff>
      <xdr:row>13</xdr:row>
      <xdr:rowOff>57150</xdr:rowOff>
    </xdr:to>
    <xdr:sp macro="" textlink="$I$13">
      <xdr:nvSpPr>
        <xdr:cNvPr id="4" name="Retângulo 3">
          <a:extLst>
            <a:ext uri="{FF2B5EF4-FFF2-40B4-BE49-F238E27FC236}">
              <a16:creationId xmlns:a16="http://schemas.microsoft.com/office/drawing/2014/main" id="{6B2AE219-B1D9-4AB1-A638-9A6172FAF52B}"/>
            </a:ext>
          </a:extLst>
        </xdr:cNvPr>
        <xdr:cNvSpPr/>
      </xdr:nvSpPr>
      <xdr:spPr>
        <a:xfrm>
          <a:off x="10487024" y="2190750"/>
          <a:ext cx="2390776" cy="36195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9D7E5BDE-5ADD-4655-B0F8-498629E2789E}" type="TxLink">
            <a:rPr lang="en-US" sz="1400" b="0" i="0" u="none" strike="noStrike">
              <a:solidFill>
                <a:schemeClr val="bg1"/>
              </a:solidFill>
              <a:latin typeface="Arial Black" panose="020B0A04020102020204" pitchFamily="34" charset="0"/>
              <a:cs typeface="Calibri"/>
            </a:rPr>
            <a:pPr algn="ctr"/>
            <a:t>Saida de caixa</a:t>
          </a:fld>
          <a:endParaRPr lang="pt-BR" sz="14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7</xdr:col>
      <xdr:colOff>695325</xdr:colOff>
      <xdr:row>38</xdr:row>
      <xdr:rowOff>19050</xdr:rowOff>
    </xdr:from>
    <xdr:to>
      <xdr:col>11</xdr:col>
      <xdr:colOff>9525</xdr:colOff>
      <xdr:row>39</xdr:row>
      <xdr:rowOff>171450</xdr:rowOff>
    </xdr:to>
    <xdr:sp macro="" textlink="$I$40">
      <xdr:nvSpPr>
        <xdr:cNvPr id="5" name="Retângulo 4">
          <a:extLst>
            <a:ext uri="{FF2B5EF4-FFF2-40B4-BE49-F238E27FC236}">
              <a16:creationId xmlns:a16="http://schemas.microsoft.com/office/drawing/2014/main" id="{7281EFD0-0B2C-4763-A44F-D1C733DC4E60}"/>
            </a:ext>
          </a:extLst>
        </xdr:cNvPr>
        <xdr:cNvSpPr/>
      </xdr:nvSpPr>
      <xdr:spPr>
        <a:xfrm>
          <a:off x="10448925" y="7324725"/>
          <a:ext cx="3248025" cy="3429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4F6BA73-4BAA-4F17-812D-B7437725F7F1}" type="TxLink">
            <a:rPr lang="en-US" sz="1400" b="1" i="0" u="none" strike="noStrike">
              <a:solidFill>
                <a:schemeClr val="bg1"/>
              </a:solidFill>
              <a:latin typeface="Arial Black" panose="020B0A04020102020204" pitchFamily="34" charset="0"/>
              <a:cs typeface="Calibri"/>
            </a:rPr>
            <a:pPr algn="ctr"/>
            <a:t>Estoque Final</a:t>
          </a:fld>
          <a:endParaRPr lang="pt-BR" sz="1400" b="1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11</xdr:col>
      <xdr:colOff>685802</xdr:colOff>
      <xdr:row>2</xdr:row>
      <xdr:rowOff>161924</xdr:rowOff>
    </xdr:from>
    <xdr:to>
      <xdr:col>15</xdr:col>
      <xdr:colOff>66676</xdr:colOff>
      <xdr:row>4</xdr:row>
      <xdr:rowOff>47624</xdr:rowOff>
    </xdr:to>
    <xdr:sp macro="" textlink="$M$4">
      <xdr:nvSpPr>
        <xdr:cNvPr id="6" name="Retângulo 5">
          <a:extLst>
            <a:ext uri="{FF2B5EF4-FFF2-40B4-BE49-F238E27FC236}">
              <a16:creationId xmlns:a16="http://schemas.microsoft.com/office/drawing/2014/main" id="{71A5F65C-45E2-4725-9ADE-54EADB7A360D}"/>
            </a:ext>
          </a:extLst>
        </xdr:cNvPr>
        <xdr:cNvSpPr/>
      </xdr:nvSpPr>
      <xdr:spPr>
        <a:xfrm>
          <a:off x="14258927" y="552449"/>
          <a:ext cx="3286124" cy="2762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E7ABE673-AD27-4DBA-B4FE-B90381529BD6}" type="TxLink">
            <a:rPr lang="en-US" sz="1400" b="1" i="0" u="none" strike="noStrike">
              <a:solidFill>
                <a:schemeClr val="bg1"/>
              </a:solidFill>
              <a:latin typeface="Arial Black" panose="020B0A04020102020204" pitchFamily="34" charset="0"/>
              <a:cs typeface="Calibri"/>
            </a:rPr>
            <a:pPr algn="ctr"/>
            <a:t>Abastecimento</a:t>
          </a:fld>
          <a:endParaRPr lang="pt-BR" sz="1400" b="1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11</xdr:col>
      <xdr:colOff>676275</xdr:colOff>
      <xdr:row>39</xdr:row>
      <xdr:rowOff>47625</xdr:rowOff>
    </xdr:from>
    <xdr:to>
      <xdr:col>14</xdr:col>
      <xdr:colOff>209551</xdr:colOff>
      <xdr:row>43</xdr:row>
      <xdr:rowOff>114299</xdr:rowOff>
    </xdr:to>
    <xdr:sp macro="" textlink="">
      <xdr:nvSpPr>
        <xdr:cNvPr id="7" name="Retângulo: Cantos Arredondados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CEEEAC-79A7-490A-8DA0-432F6ED5E24B}"/>
            </a:ext>
          </a:extLst>
        </xdr:cNvPr>
        <xdr:cNvSpPr/>
      </xdr:nvSpPr>
      <xdr:spPr>
        <a:xfrm>
          <a:off x="14258925" y="7543800"/>
          <a:ext cx="2562226" cy="828674"/>
        </a:xfrm>
        <a:prstGeom prst="round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3200">
              <a:latin typeface="Arial Black" panose="020B0A04020102020204" pitchFamily="34" charset="0"/>
            </a:rPr>
            <a:t>Menu</a:t>
          </a:r>
        </a:p>
      </xdr:txBody>
    </xdr:sp>
    <xdr:clientData/>
  </xdr:twoCellAnchor>
  <xdr:twoCellAnchor>
    <xdr:from>
      <xdr:col>11</xdr:col>
      <xdr:colOff>561976</xdr:colOff>
      <xdr:row>11</xdr:row>
      <xdr:rowOff>85725</xdr:rowOff>
    </xdr:from>
    <xdr:to>
      <xdr:col>14</xdr:col>
      <xdr:colOff>19051</xdr:colOff>
      <xdr:row>13</xdr:row>
      <xdr:rowOff>66675</xdr:rowOff>
    </xdr:to>
    <xdr:sp macro="" textlink="$I$13">
      <xdr:nvSpPr>
        <xdr:cNvPr id="8" name="Retângulo 7">
          <a:extLst>
            <a:ext uri="{FF2B5EF4-FFF2-40B4-BE49-F238E27FC236}">
              <a16:creationId xmlns:a16="http://schemas.microsoft.com/office/drawing/2014/main" id="{CA7780B6-E2E7-44A0-85FE-F020FA552B11}"/>
            </a:ext>
          </a:extLst>
        </xdr:cNvPr>
        <xdr:cNvSpPr/>
      </xdr:nvSpPr>
      <xdr:spPr>
        <a:xfrm>
          <a:off x="14249401" y="2200275"/>
          <a:ext cx="2381250" cy="36195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solidFill>
                <a:schemeClr val="bg1"/>
              </a:solidFill>
              <a:latin typeface="Arial Black" panose="020B0A04020102020204" pitchFamily="34" charset="0"/>
            </a:rPr>
            <a:t>Entrada</a:t>
          </a:r>
          <a:r>
            <a:rPr lang="pt-BR" sz="1400" baseline="0">
              <a:solidFill>
                <a:schemeClr val="bg1"/>
              </a:solidFill>
              <a:latin typeface="Arial Black" panose="020B0A04020102020204" pitchFamily="34" charset="0"/>
            </a:rPr>
            <a:t> caixa</a:t>
          </a:r>
          <a:endParaRPr lang="pt-BR" sz="14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123825</xdr:rowOff>
    </xdr:from>
    <xdr:to>
      <xdr:col>3</xdr:col>
      <xdr:colOff>85725</xdr:colOff>
      <xdr:row>3</xdr:row>
      <xdr:rowOff>85725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23F701-970E-4F05-8A16-02862ECDE0F7}"/>
            </a:ext>
          </a:extLst>
        </xdr:cNvPr>
        <xdr:cNvSpPr/>
      </xdr:nvSpPr>
      <xdr:spPr>
        <a:xfrm>
          <a:off x="619125" y="123825"/>
          <a:ext cx="3600450" cy="55245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latin typeface="Arial Black" panose="020B0A04020102020204" pitchFamily="34" charset="0"/>
            </a:rPr>
            <a:t>Melhor</a:t>
          </a:r>
          <a:r>
            <a:rPr lang="en-US" sz="2000" baseline="0">
              <a:latin typeface="Arial Black" panose="020B0A04020102020204" pitchFamily="34" charset="0"/>
            </a:rPr>
            <a:t> gás</a:t>
          </a:r>
          <a:endParaRPr lang="en-US" sz="2000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7</xdr:col>
      <xdr:colOff>714375</xdr:colOff>
      <xdr:row>2</xdr:row>
      <xdr:rowOff>66675</xdr:rowOff>
    </xdr:from>
    <xdr:to>
      <xdr:col>11</xdr:col>
      <xdr:colOff>28575</xdr:colOff>
      <xdr:row>4</xdr:row>
      <xdr:rowOff>28575</xdr:rowOff>
    </xdr:to>
    <xdr:sp macro="" textlink="$J$4">
      <xdr:nvSpPr>
        <xdr:cNvPr id="3" name="Retângulo 2">
          <a:extLst>
            <a:ext uri="{FF2B5EF4-FFF2-40B4-BE49-F238E27FC236}">
              <a16:creationId xmlns:a16="http://schemas.microsoft.com/office/drawing/2014/main" id="{A7307072-8C1C-4968-BFF0-0CDAE642EC50}"/>
            </a:ext>
          </a:extLst>
        </xdr:cNvPr>
        <xdr:cNvSpPr/>
      </xdr:nvSpPr>
      <xdr:spPr>
        <a:xfrm>
          <a:off x="10467975" y="457200"/>
          <a:ext cx="3248025" cy="3524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273BABBF-FC4C-40EC-8507-B05137E3707D}" type="TxLink">
            <a:rPr lang="en-US" sz="1400" b="1" i="0" u="none" strike="noStrike">
              <a:solidFill>
                <a:schemeClr val="bg1"/>
              </a:solidFill>
              <a:latin typeface="Arial Black" panose="020B0A04020102020204" pitchFamily="34" charset="0"/>
              <a:cs typeface="Calibri"/>
            </a:rPr>
            <a:pPr algn="ctr"/>
            <a:t>Estoque inicial</a:t>
          </a:fld>
          <a:endParaRPr lang="pt-BR" sz="1400" b="1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7</xdr:col>
      <xdr:colOff>733424</xdr:colOff>
      <xdr:row>11</xdr:row>
      <xdr:rowOff>76200</xdr:rowOff>
    </xdr:from>
    <xdr:to>
      <xdr:col>10</xdr:col>
      <xdr:colOff>9525</xdr:colOff>
      <xdr:row>13</xdr:row>
      <xdr:rowOff>57150</xdr:rowOff>
    </xdr:to>
    <xdr:sp macro="" textlink="$I$13">
      <xdr:nvSpPr>
        <xdr:cNvPr id="4" name="Retângulo 3">
          <a:extLst>
            <a:ext uri="{FF2B5EF4-FFF2-40B4-BE49-F238E27FC236}">
              <a16:creationId xmlns:a16="http://schemas.microsoft.com/office/drawing/2014/main" id="{38438A11-12D0-4A1F-9F67-9194C7FC5F01}"/>
            </a:ext>
          </a:extLst>
        </xdr:cNvPr>
        <xdr:cNvSpPr/>
      </xdr:nvSpPr>
      <xdr:spPr>
        <a:xfrm>
          <a:off x="10487024" y="2190750"/>
          <a:ext cx="2390776" cy="36195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9D7E5BDE-5ADD-4655-B0F8-498629E2789E}" type="TxLink">
            <a:rPr lang="en-US" sz="1400" b="0" i="0" u="none" strike="noStrike">
              <a:solidFill>
                <a:schemeClr val="bg1"/>
              </a:solidFill>
              <a:latin typeface="Arial Black" panose="020B0A04020102020204" pitchFamily="34" charset="0"/>
              <a:cs typeface="Calibri"/>
            </a:rPr>
            <a:pPr algn="ctr"/>
            <a:t>Saida de caixa</a:t>
          </a:fld>
          <a:endParaRPr lang="pt-BR" sz="14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7</xdr:col>
      <xdr:colOff>695325</xdr:colOff>
      <xdr:row>38</xdr:row>
      <xdr:rowOff>19050</xdr:rowOff>
    </xdr:from>
    <xdr:to>
      <xdr:col>11</xdr:col>
      <xdr:colOff>9525</xdr:colOff>
      <xdr:row>39</xdr:row>
      <xdr:rowOff>171450</xdr:rowOff>
    </xdr:to>
    <xdr:sp macro="" textlink="$I$40">
      <xdr:nvSpPr>
        <xdr:cNvPr id="5" name="Retângulo 4">
          <a:extLst>
            <a:ext uri="{FF2B5EF4-FFF2-40B4-BE49-F238E27FC236}">
              <a16:creationId xmlns:a16="http://schemas.microsoft.com/office/drawing/2014/main" id="{D265C3BE-7A6D-42F9-B739-1E40A4C406F9}"/>
            </a:ext>
          </a:extLst>
        </xdr:cNvPr>
        <xdr:cNvSpPr/>
      </xdr:nvSpPr>
      <xdr:spPr>
        <a:xfrm>
          <a:off x="10448925" y="7324725"/>
          <a:ext cx="3248025" cy="3429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4F6BA73-4BAA-4F17-812D-B7437725F7F1}" type="TxLink">
            <a:rPr lang="en-US" sz="1400" b="1" i="0" u="none" strike="noStrike">
              <a:solidFill>
                <a:schemeClr val="bg1"/>
              </a:solidFill>
              <a:latin typeface="Arial Black" panose="020B0A04020102020204" pitchFamily="34" charset="0"/>
              <a:cs typeface="Calibri"/>
            </a:rPr>
            <a:pPr algn="ctr"/>
            <a:t>Estoque Final</a:t>
          </a:fld>
          <a:endParaRPr lang="pt-BR" sz="1400" b="1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11</xdr:col>
      <xdr:colOff>685802</xdr:colOff>
      <xdr:row>2</xdr:row>
      <xdr:rowOff>161924</xdr:rowOff>
    </xdr:from>
    <xdr:to>
      <xdr:col>15</xdr:col>
      <xdr:colOff>66676</xdr:colOff>
      <xdr:row>4</xdr:row>
      <xdr:rowOff>47624</xdr:rowOff>
    </xdr:to>
    <xdr:sp macro="" textlink="$M$4">
      <xdr:nvSpPr>
        <xdr:cNvPr id="6" name="Retângulo 5">
          <a:extLst>
            <a:ext uri="{FF2B5EF4-FFF2-40B4-BE49-F238E27FC236}">
              <a16:creationId xmlns:a16="http://schemas.microsoft.com/office/drawing/2014/main" id="{C51AF34D-60D5-4981-8A55-6F4676252050}"/>
            </a:ext>
          </a:extLst>
        </xdr:cNvPr>
        <xdr:cNvSpPr/>
      </xdr:nvSpPr>
      <xdr:spPr>
        <a:xfrm>
          <a:off x="14258927" y="552449"/>
          <a:ext cx="3286124" cy="2762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E7ABE673-AD27-4DBA-B4FE-B90381529BD6}" type="TxLink">
            <a:rPr lang="en-US" sz="1400" b="1" i="0" u="none" strike="noStrike">
              <a:solidFill>
                <a:schemeClr val="bg1"/>
              </a:solidFill>
              <a:latin typeface="Arial Black" panose="020B0A04020102020204" pitchFamily="34" charset="0"/>
              <a:cs typeface="Calibri"/>
            </a:rPr>
            <a:pPr algn="ctr"/>
            <a:t>Abastecimento</a:t>
          </a:fld>
          <a:endParaRPr lang="pt-BR" sz="1400" b="1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11</xdr:col>
      <xdr:colOff>676275</xdr:colOff>
      <xdr:row>39</xdr:row>
      <xdr:rowOff>47625</xdr:rowOff>
    </xdr:from>
    <xdr:to>
      <xdr:col>14</xdr:col>
      <xdr:colOff>209551</xdr:colOff>
      <xdr:row>43</xdr:row>
      <xdr:rowOff>114299</xdr:rowOff>
    </xdr:to>
    <xdr:sp macro="" textlink="">
      <xdr:nvSpPr>
        <xdr:cNvPr id="7" name="Retângulo: Cantos Arredondados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F438B5-CA29-46BC-9417-3D98C4E737B3}"/>
            </a:ext>
          </a:extLst>
        </xdr:cNvPr>
        <xdr:cNvSpPr/>
      </xdr:nvSpPr>
      <xdr:spPr>
        <a:xfrm>
          <a:off x="14258925" y="7543800"/>
          <a:ext cx="2562226" cy="828674"/>
        </a:xfrm>
        <a:prstGeom prst="round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3200">
              <a:latin typeface="Arial Black" panose="020B0A04020102020204" pitchFamily="34" charset="0"/>
            </a:rPr>
            <a:t>Menu</a:t>
          </a:r>
        </a:p>
      </xdr:txBody>
    </xdr:sp>
    <xdr:clientData/>
  </xdr:twoCellAnchor>
  <xdr:twoCellAnchor>
    <xdr:from>
      <xdr:col>11</xdr:col>
      <xdr:colOff>561976</xdr:colOff>
      <xdr:row>11</xdr:row>
      <xdr:rowOff>85725</xdr:rowOff>
    </xdr:from>
    <xdr:to>
      <xdr:col>14</xdr:col>
      <xdr:colOff>19051</xdr:colOff>
      <xdr:row>13</xdr:row>
      <xdr:rowOff>66675</xdr:rowOff>
    </xdr:to>
    <xdr:sp macro="" textlink="$I$13">
      <xdr:nvSpPr>
        <xdr:cNvPr id="8" name="Retângulo 7">
          <a:extLst>
            <a:ext uri="{FF2B5EF4-FFF2-40B4-BE49-F238E27FC236}">
              <a16:creationId xmlns:a16="http://schemas.microsoft.com/office/drawing/2014/main" id="{331E02BD-DDF5-4E62-ABBF-7CFA98E2294A}"/>
            </a:ext>
          </a:extLst>
        </xdr:cNvPr>
        <xdr:cNvSpPr/>
      </xdr:nvSpPr>
      <xdr:spPr>
        <a:xfrm>
          <a:off x="14249401" y="2200275"/>
          <a:ext cx="2381250" cy="36195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solidFill>
                <a:schemeClr val="bg1"/>
              </a:solidFill>
              <a:latin typeface="Arial Black" panose="020B0A04020102020204" pitchFamily="34" charset="0"/>
            </a:rPr>
            <a:t>Entrada</a:t>
          </a:r>
          <a:r>
            <a:rPr lang="pt-BR" sz="1400" baseline="0">
              <a:solidFill>
                <a:schemeClr val="bg1"/>
              </a:solidFill>
              <a:latin typeface="Arial Black" panose="020B0A04020102020204" pitchFamily="34" charset="0"/>
            </a:rPr>
            <a:t> caixa</a:t>
          </a:r>
          <a:endParaRPr lang="pt-BR" sz="14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123825</xdr:rowOff>
    </xdr:from>
    <xdr:to>
      <xdr:col>3</xdr:col>
      <xdr:colOff>85725</xdr:colOff>
      <xdr:row>3</xdr:row>
      <xdr:rowOff>85725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8A77BC-5B9E-4B7A-8599-1B0C290BBA7F}"/>
            </a:ext>
          </a:extLst>
        </xdr:cNvPr>
        <xdr:cNvSpPr/>
      </xdr:nvSpPr>
      <xdr:spPr>
        <a:xfrm>
          <a:off x="619125" y="123825"/>
          <a:ext cx="3600450" cy="55245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latin typeface="Arial Black" panose="020B0A04020102020204" pitchFamily="34" charset="0"/>
            </a:rPr>
            <a:t>Melhor</a:t>
          </a:r>
          <a:r>
            <a:rPr lang="en-US" sz="2000" baseline="0">
              <a:latin typeface="Arial Black" panose="020B0A04020102020204" pitchFamily="34" charset="0"/>
            </a:rPr>
            <a:t> gás</a:t>
          </a:r>
          <a:endParaRPr lang="en-US" sz="2000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7</xdr:col>
      <xdr:colOff>714375</xdr:colOff>
      <xdr:row>2</xdr:row>
      <xdr:rowOff>66675</xdr:rowOff>
    </xdr:from>
    <xdr:to>
      <xdr:col>11</xdr:col>
      <xdr:colOff>28575</xdr:colOff>
      <xdr:row>4</xdr:row>
      <xdr:rowOff>28575</xdr:rowOff>
    </xdr:to>
    <xdr:sp macro="" textlink="$J$4">
      <xdr:nvSpPr>
        <xdr:cNvPr id="3" name="Retângulo 2">
          <a:extLst>
            <a:ext uri="{FF2B5EF4-FFF2-40B4-BE49-F238E27FC236}">
              <a16:creationId xmlns:a16="http://schemas.microsoft.com/office/drawing/2014/main" id="{5C12D72A-A219-4EAF-B155-185D8F309E27}"/>
            </a:ext>
          </a:extLst>
        </xdr:cNvPr>
        <xdr:cNvSpPr/>
      </xdr:nvSpPr>
      <xdr:spPr>
        <a:xfrm>
          <a:off x="10467975" y="457200"/>
          <a:ext cx="3248025" cy="3524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273BABBF-FC4C-40EC-8507-B05137E3707D}" type="TxLink">
            <a:rPr lang="en-US" sz="1400" b="1" i="0" u="none" strike="noStrike">
              <a:solidFill>
                <a:schemeClr val="bg1"/>
              </a:solidFill>
              <a:latin typeface="Arial Black" panose="020B0A04020102020204" pitchFamily="34" charset="0"/>
              <a:cs typeface="Calibri"/>
            </a:rPr>
            <a:pPr algn="ctr"/>
            <a:t>Estoque inicial</a:t>
          </a:fld>
          <a:endParaRPr lang="pt-BR" sz="1400" b="1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7</xdr:col>
      <xdr:colOff>733424</xdr:colOff>
      <xdr:row>11</xdr:row>
      <xdr:rowOff>76200</xdr:rowOff>
    </xdr:from>
    <xdr:to>
      <xdr:col>10</xdr:col>
      <xdr:colOff>9525</xdr:colOff>
      <xdr:row>13</xdr:row>
      <xdr:rowOff>57150</xdr:rowOff>
    </xdr:to>
    <xdr:sp macro="" textlink="$I$13">
      <xdr:nvSpPr>
        <xdr:cNvPr id="4" name="Retângulo 3">
          <a:extLst>
            <a:ext uri="{FF2B5EF4-FFF2-40B4-BE49-F238E27FC236}">
              <a16:creationId xmlns:a16="http://schemas.microsoft.com/office/drawing/2014/main" id="{AB480040-9707-4AAA-8327-F80BDF5B20D4}"/>
            </a:ext>
          </a:extLst>
        </xdr:cNvPr>
        <xdr:cNvSpPr/>
      </xdr:nvSpPr>
      <xdr:spPr>
        <a:xfrm>
          <a:off x="10487024" y="2190750"/>
          <a:ext cx="2390776" cy="36195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9D7E5BDE-5ADD-4655-B0F8-498629E2789E}" type="TxLink">
            <a:rPr lang="en-US" sz="1400" b="0" i="0" u="none" strike="noStrike">
              <a:solidFill>
                <a:schemeClr val="bg1"/>
              </a:solidFill>
              <a:latin typeface="Arial Black" panose="020B0A04020102020204" pitchFamily="34" charset="0"/>
              <a:cs typeface="Calibri"/>
            </a:rPr>
            <a:pPr algn="ctr"/>
            <a:t>Saida de caixa</a:t>
          </a:fld>
          <a:endParaRPr lang="pt-BR" sz="14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7</xdr:col>
      <xdr:colOff>695325</xdr:colOff>
      <xdr:row>38</xdr:row>
      <xdr:rowOff>19050</xdr:rowOff>
    </xdr:from>
    <xdr:to>
      <xdr:col>11</xdr:col>
      <xdr:colOff>9525</xdr:colOff>
      <xdr:row>39</xdr:row>
      <xdr:rowOff>171450</xdr:rowOff>
    </xdr:to>
    <xdr:sp macro="" textlink="$I$40">
      <xdr:nvSpPr>
        <xdr:cNvPr id="5" name="Retângulo 4">
          <a:extLst>
            <a:ext uri="{FF2B5EF4-FFF2-40B4-BE49-F238E27FC236}">
              <a16:creationId xmlns:a16="http://schemas.microsoft.com/office/drawing/2014/main" id="{DEDFB195-7AA8-4DDB-9C88-BE5B22B2127C}"/>
            </a:ext>
          </a:extLst>
        </xdr:cNvPr>
        <xdr:cNvSpPr/>
      </xdr:nvSpPr>
      <xdr:spPr>
        <a:xfrm>
          <a:off x="10448925" y="7324725"/>
          <a:ext cx="3248025" cy="3429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4F6BA73-4BAA-4F17-812D-B7437725F7F1}" type="TxLink">
            <a:rPr lang="en-US" sz="1400" b="1" i="0" u="none" strike="noStrike">
              <a:solidFill>
                <a:schemeClr val="bg1"/>
              </a:solidFill>
              <a:latin typeface="Arial Black" panose="020B0A04020102020204" pitchFamily="34" charset="0"/>
              <a:cs typeface="Calibri"/>
            </a:rPr>
            <a:pPr algn="ctr"/>
            <a:t>Estoque Final</a:t>
          </a:fld>
          <a:endParaRPr lang="pt-BR" sz="1400" b="1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11</xdr:col>
      <xdr:colOff>685802</xdr:colOff>
      <xdr:row>2</xdr:row>
      <xdr:rowOff>161924</xdr:rowOff>
    </xdr:from>
    <xdr:to>
      <xdr:col>15</xdr:col>
      <xdr:colOff>66676</xdr:colOff>
      <xdr:row>4</xdr:row>
      <xdr:rowOff>47624</xdr:rowOff>
    </xdr:to>
    <xdr:sp macro="" textlink="$M$4">
      <xdr:nvSpPr>
        <xdr:cNvPr id="6" name="Retângulo 5">
          <a:extLst>
            <a:ext uri="{FF2B5EF4-FFF2-40B4-BE49-F238E27FC236}">
              <a16:creationId xmlns:a16="http://schemas.microsoft.com/office/drawing/2014/main" id="{CBB480C6-366B-44FC-BFC7-19A298C4EE02}"/>
            </a:ext>
          </a:extLst>
        </xdr:cNvPr>
        <xdr:cNvSpPr/>
      </xdr:nvSpPr>
      <xdr:spPr>
        <a:xfrm>
          <a:off x="14258927" y="552449"/>
          <a:ext cx="3286124" cy="2762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E7ABE673-AD27-4DBA-B4FE-B90381529BD6}" type="TxLink">
            <a:rPr lang="en-US" sz="1400" b="1" i="0" u="none" strike="noStrike">
              <a:solidFill>
                <a:schemeClr val="bg1"/>
              </a:solidFill>
              <a:latin typeface="Arial Black" panose="020B0A04020102020204" pitchFamily="34" charset="0"/>
              <a:cs typeface="Calibri"/>
            </a:rPr>
            <a:pPr algn="ctr"/>
            <a:t>Abastecimento</a:t>
          </a:fld>
          <a:endParaRPr lang="pt-BR" sz="1400" b="1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11</xdr:col>
      <xdr:colOff>676275</xdr:colOff>
      <xdr:row>39</xdr:row>
      <xdr:rowOff>47625</xdr:rowOff>
    </xdr:from>
    <xdr:to>
      <xdr:col>14</xdr:col>
      <xdr:colOff>209551</xdr:colOff>
      <xdr:row>43</xdr:row>
      <xdr:rowOff>114299</xdr:rowOff>
    </xdr:to>
    <xdr:sp macro="" textlink="">
      <xdr:nvSpPr>
        <xdr:cNvPr id="7" name="Retângulo: Cantos Arredondados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F35660-4BF6-4FF8-9F7B-B2314D0290D4}"/>
            </a:ext>
          </a:extLst>
        </xdr:cNvPr>
        <xdr:cNvSpPr/>
      </xdr:nvSpPr>
      <xdr:spPr>
        <a:xfrm>
          <a:off x="14258925" y="7543800"/>
          <a:ext cx="2562226" cy="828674"/>
        </a:xfrm>
        <a:prstGeom prst="round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3200">
              <a:latin typeface="Arial Black" panose="020B0A04020102020204" pitchFamily="34" charset="0"/>
            </a:rPr>
            <a:t>Menu</a:t>
          </a:r>
        </a:p>
      </xdr:txBody>
    </xdr:sp>
    <xdr:clientData/>
  </xdr:twoCellAnchor>
  <xdr:twoCellAnchor>
    <xdr:from>
      <xdr:col>11</xdr:col>
      <xdr:colOff>561976</xdr:colOff>
      <xdr:row>11</xdr:row>
      <xdr:rowOff>85725</xdr:rowOff>
    </xdr:from>
    <xdr:to>
      <xdr:col>14</xdr:col>
      <xdr:colOff>19051</xdr:colOff>
      <xdr:row>13</xdr:row>
      <xdr:rowOff>66675</xdr:rowOff>
    </xdr:to>
    <xdr:sp macro="" textlink="$I$13">
      <xdr:nvSpPr>
        <xdr:cNvPr id="8" name="Retângulo 7">
          <a:extLst>
            <a:ext uri="{FF2B5EF4-FFF2-40B4-BE49-F238E27FC236}">
              <a16:creationId xmlns:a16="http://schemas.microsoft.com/office/drawing/2014/main" id="{10AA8196-0032-4BB0-99AC-81DA26D3A613}"/>
            </a:ext>
          </a:extLst>
        </xdr:cNvPr>
        <xdr:cNvSpPr/>
      </xdr:nvSpPr>
      <xdr:spPr>
        <a:xfrm>
          <a:off x="14249401" y="2200275"/>
          <a:ext cx="2381250" cy="36195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solidFill>
                <a:schemeClr val="bg1"/>
              </a:solidFill>
              <a:latin typeface="Arial Black" panose="020B0A04020102020204" pitchFamily="34" charset="0"/>
            </a:rPr>
            <a:t>Entrada</a:t>
          </a:r>
          <a:r>
            <a:rPr lang="pt-BR" sz="1400" baseline="0">
              <a:solidFill>
                <a:schemeClr val="bg1"/>
              </a:solidFill>
              <a:latin typeface="Arial Black" panose="020B0A04020102020204" pitchFamily="34" charset="0"/>
            </a:rPr>
            <a:t> caixa</a:t>
          </a:r>
          <a:endParaRPr lang="pt-BR" sz="14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123825</xdr:rowOff>
    </xdr:from>
    <xdr:to>
      <xdr:col>3</xdr:col>
      <xdr:colOff>85725</xdr:colOff>
      <xdr:row>3</xdr:row>
      <xdr:rowOff>85725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BC980C-B08F-4732-BDF4-C9565D3037F4}"/>
            </a:ext>
          </a:extLst>
        </xdr:cNvPr>
        <xdr:cNvSpPr/>
      </xdr:nvSpPr>
      <xdr:spPr>
        <a:xfrm>
          <a:off x="619125" y="123825"/>
          <a:ext cx="3600450" cy="55245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latin typeface="Arial Black" panose="020B0A04020102020204" pitchFamily="34" charset="0"/>
            </a:rPr>
            <a:t>Melhor</a:t>
          </a:r>
          <a:r>
            <a:rPr lang="en-US" sz="2000" baseline="0">
              <a:latin typeface="Arial Black" panose="020B0A04020102020204" pitchFamily="34" charset="0"/>
            </a:rPr>
            <a:t> gás</a:t>
          </a:r>
          <a:endParaRPr lang="en-US" sz="2000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7</xdr:col>
      <xdr:colOff>714375</xdr:colOff>
      <xdr:row>2</xdr:row>
      <xdr:rowOff>66675</xdr:rowOff>
    </xdr:from>
    <xdr:to>
      <xdr:col>11</xdr:col>
      <xdr:colOff>28575</xdr:colOff>
      <xdr:row>4</xdr:row>
      <xdr:rowOff>28575</xdr:rowOff>
    </xdr:to>
    <xdr:sp macro="" textlink="$J$4">
      <xdr:nvSpPr>
        <xdr:cNvPr id="3" name="Retângulo 2">
          <a:extLst>
            <a:ext uri="{FF2B5EF4-FFF2-40B4-BE49-F238E27FC236}">
              <a16:creationId xmlns:a16="http://schemas.microsoft.com/office/drawing/2014/main" id="{17E87B45-7F0E-4DA4-AEA0-77F5D4F215B3}"/>
            </a:ext>
          </a:extLst>
        </xdr:cNvPr>
        <xdr:cNvSpPr/>
      </xdr:nvSpPr>
      <xdr:spPr>
        <a:xfrm>
          <a:off x="10467975" y="457200"/>
          <a:ext cx="3248025" cy="3524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273BABBF-FC4C-40EC-8507-B05137E3707D}" type="TxLink">
            <a:rPr lang="en-US" sz="1400" b="1" i="0" u="none" strike="noStrike">
              <a:solidFill>
                <a:schemeClr val="bg1"/>
              </a:solidFill>
              <a:latin typeface="Arial Black" panose="020B0A04020102020204" pitchFamily="34" charset="0"/>
              <a:cs typeface="Calibri"/>
            </a:rPr>
            <a:pPr algn="ctr"/>
            <a:t>Estoque inicial</a:t>
          </a:fld>
          <a:endParaRPr lang="pt-BR" sz="1400" b="1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8</xdr:col>
      <xdr:colOff>9524</xdr:colOff>
      <xdr:row>11</xdr:row>
      <xdr:rowOff>66675</xdr:rowOff>
    </xdr:from>
    <xdr:to>
      <xdr:col>10</xdr:col>
      <xdr:colOff>38100</xdr:colOff>
      <xdr:row>13</xdr:row>
      <xdr:rowOff>47625</xdr:rowOff>
    </xdr:to>
    <xdr:sp macro="" textlink="$I$13">
      <xdr:nvSpPr>
        <xdr:cNvPr id="4" name="Retângulo 3">
          <a:extLst>
            <a:ext uri="{FF2B5EF4-FFF2-40B4-BE49-F238E27FC236}">
              <a16:creationId xmlns:a16="http://schemas.microsoft.com/office/drawing/2014/main" id="{594CB5C4-01CB-4055-8AAB-C1CA6E148E9B}"/>
            </a:ext>
          </a:extLst>
        </xdr:cNvPr>
        <xdr:cNvSpPr/>
      </xdr:nvSpPr>
      <xdr:spPr>
        <a:xfrm>
          <a:off x="10515599" y="2181225"/>
          <a:ext cx="2390776" cy="36195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9D7E5BDE-5ADD-4655-B0F8-498629E2789E}" type="TxLink">
            <a:rPr lang="en-US" sz="1400" b="0" i="0" u="none" strike="noStrike">
              <a:solidFill>
                <a:schemeClr val="bg1"/>
              </a:solidFill>
              <a:latin typeface="Arial Black" panose="020B0A04020102020204" pitchFamily="34" charset="0"/>
              <a:cs typeface="Calibri"/>
            </a:rPr>
            <a:pPr algn="ctr"/>
            <a:t>Saida de caixa</a:t>
          </a:fld>
          <a:endParaRPr lang="pt-BR" sz="14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7</xdr:col>
      <xdr:colOff>695325</xdr:colOff>
      <xdr:row>38</xdr:row>
      <xdr:rowOff>19050</xdr:rowOff>
    </xdr:from>
    <xdr:to>
      <xdr:col>11</xdr:col>
      <xdr:colOff>9525</xdr:colOff>
      <xdr:row>39</xdr:row>
      <xdr:rowOff>171450</xdr:rowOff>
    </xdr:to>
    <xdr:sp macro="" textlink="$I$40">
      <xdr:nvSpPr>
        <xdr:cNvPr id="5" name="Retângulo 4">
          <a:extLst>
            <a:ext uri="{FF2B5EF4-FFF2-40B4-BE49-F238E27FC236}">
              <a16:creationId xmlns:a16="http://schemas.microsoft.com/office/drawing/2014/main" id="{2DF47ED7-6D1D-484F-AEF9-111DF591F657}"/>
            </a:ext>
          </a:extLst>
        </xdr:cNvPr>
        <xdr:cNvSpPr/>
      </xdr:nvSpPr>
      <xdr:spPr>
        <a:xfrm>
          <a:off x="10448925" y="7324725"/>
          <a:ext cx="3248025" cy="3429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4F6BA73-4BAA-4F17-812D-B7437725F7F1}" type="TxLink">
            <a:rPr lang="en-US" sz="1400" b="1" i="0" u="none" strike="noStrike">
              <a:solidFill>
                <a:schemeClr val="bg1"/>
              </a:solidFill>
              <a:latin typeface="Arial Black" panose="020B0A04020102020204" pitchFamily="34" charset="0"/>
              <a:cs typeface="Calibri"/>
            </a:rPr>
            <a:pPr algn="ctr"/>
            <a:t>Estoque Final</a:t>
          </a:fld>
          <a:endParaRPr lang="pt-BR" sz="1400" b="1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11</xdr:col>
      <xdr:colOff>685802</xdr:colOff>
      <xdr:row>2</xdr:row>
      <xdr:rowOff>161924</xdr:rowOff>
    </xdr:from>
    <xdr:to>
      <xdr:col>15</xdr:col>
      <xdr:colOff>66676</xdr:colOff>
      <xdr:row>4</xdr:row>
      <xdr:rowOff>47624</xdr:rowOff>
    </xdr:to>
    <xdr:sp macro="" textlink="$M$4">
      <xdr:nvSpPr>
        <xdr:cNvPr id="6" name="Retângulo 5">
          <a:extLst>
            <a:ext uri="{FF2B5EF4-FFF2-40B4-BE49-F238E27FC236}">
              <a16:creationId xmlns:a16="http://schemas.microsoft.com/office/drawing/2014/main" id="{CBED49D7-2A1B-4A72-8F61-ABB16DD46130}"/>
            </a:ext>
          </a:extLst>
        </xdr:cNvPr>
        <xdr:cNvSpPr/>
      </xdr:nvSpPr>
      <xdr:spPr>
        <a:xfrm>
          <a:off x="14258927" y="552449"/>
          <a:ext cx="3286124" cy="2762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E7ABE673-AD27-4DBA-B4FE-B90381529BD6}" type="TxLink">
            <a:rPr lang="en-US" sz="1400" b="1" i="0" u="none" strike="noStrike">
              <a:solidFill>
                <a:schemeClr val="bg1"/>
              </a:solidFill>
              <a:latin typeface="Arial Black" panose="020B0A04020102020204" pitchFamily="34" charset="0"/>
              <a:cs typeface="Calibri"/>
            </a:rPr>
            <a:pPr algn="ctr"/>
            <a:t>Abastecimento</a:t>
          </a:fld>
          <a:endParaRPr lang="pt-BR" sz="1400" b="1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11</xdr:col>
      <xdr:colOff>676275</xdr:colOff>
      <xdr:row>39</xdr:row>
      <xdr:rowOff>47625</xdr:rowOff>
    </xdr:from>
    <xdr:to>
      <xdr:col>14</xdr:col>
      <xdr:colOff>209551</xdr:colOff>
      <xdr:row>43</xdr:row>
      <xdr:rowOff>114299</xdr:rowOff>
    </xdr:to>
    <xdr:sp macro="" textlink="">
      <xdr:nvSpPr>
        <xdr:cNvPr id="7" name="Retângulo: Cantos Arredondados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131888-0C0A-4C71-86E1-2A777B2B95D0}"/>
            </a:ext>
          </a:extLst>
        </xdr:cNvPr>
        <xdr:cNvSpPr/>
      </xdr:nvSpPr>
      <xdr:spPr>
        <a:xfrm>
          <a:off x="14258925" y="7543800"/>
          <a:ext cx="2562226" cy="828674"/>
        </a:xfrm>
        <a:prstGeom prst="round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3200">
              <a:latin typeface="Arial Black" panose="020B0A04020102020204" pitchFamily="34" charset="0"/>
            </a:rPr>
            <a:t>Menu</a:t>
          </a:r>
        </a:p>
      </xdr:txBody>
    </xdr:sp>
    <xdr:clientData/>
  </xdr:twoCellAnchor>
  <xdr:twoCellAnchor>
    <xdr:from>
      <xdr:col>11</xdr:col>
      <xdr:colOff>561976</xdr:colOff>
      <xdr:row>11</xdr:row>
      <xdr:rowOff>85725</xdr:rowOff>
    </xdr:from>
    <xdr:to>
      <xdr:col>14</xdr:col>
      <xdr:colOff>19051</xdr:colOff>
      <xdr:row>13</xdr:row>
      <xdr:rowOff>66675</xdr:rowOff>
    </xdr:to>
    <xdr:sp macro="" textlink="$I$13">
      <xdr:nvSpPr>
        <xdr:cNvPr id="8" name="Retângulo 7">
          <a:extLst>
            <a:ext uri="{FF2B5EF4-FFF2-40B4-BE49-F238E27FC236}">
              <a16:creationId xmlns:a16="http://schemas.microsoft.com/office/drawing/2014/main" id="{B9B2E200-50E9-4525-8F58-794DF6AA4E3B}"/>
            </a:ext>
          </a:extLst>
        </xdr:cNvPr>
        <xdr:cNvSpPr/>
      </xdr:nvSpPr>
      <xdr:spPr>
        <a:xfrm>
          <a:off x="14249401" y="2200275"/>
          <a:ext cx="2381250" cy="36195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solidFill>
                <a:schemeClr val="bg1"/>
              </a:solidFill>
              <a:latin typeface="Arial Black" panose="020B0A04020102020204" pitchFamily="34" charset="0"/>
            </a:rPr>
            <a:t>Entrada</a:t>
          </a:r>
          <a:r>
            <a:rPr lang="pt-BR" sz="1400" baseline="0">
              <a:solidFill>
                <a:schemeClr val="bg1"/>
              </a:solidFill>
              <a:latin typeface="Arial Black" panose="020B0A04020102020204" pitchFamily="34" charset="0"/>
            </a:rPr>
            <a:t> caixa</a:t>
          </a:r>
          <a:endParaRPr lang="pt-BR" sz="14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123825</xdr:rowOff>
    </xdr:from>
    <xdr:to>
      <xdr:col>3</xdr:col>
      <xdr:colOff>85725</xdr:colOff>
      <xdr:row>3</xdr:row>
      <xdr:rowOff>85725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0DF145-9DC6-48CE-989D-E8B0F8C2BBF7}"/>
            </a:ext>
          </a:extLst>
        </xdr:cNvPr>
        <xdr:cNvSpPr/>
      </xdr:nvSpPr>
      <xdr:spPr>
        <a:xfrm>
          <a:off x="619125" y="123825"/>
          <a:ext cx="3600450" cy="55245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latin typeface="Arial Black" panose="020B0A04020102020204" pitchFamily="34" charset="0"/>
            </a:rPr>
            <a:t>Melhor</a:t>
          </a:r>
          <a:r>
            <a:rPr lang="en-US" sz="2000" baseline="0">
              <a:latin typeface="Arial Black" panose="020B0A04020102020204" pitchFamily="34" charset="0"/>
            </a:rPr>
            <a:t> gás</a:t>
          </a:r>
          <a:endParaRPr lang="en-US" sz="2000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7</xdr:col>
      <xdr:colOff>714375</xdr:colOff>
      <xdr:row>2</xdr:row>
      <xdr:rowOff>66675</xdr:rowOff>
    </xdr:from>
    <xdr:to>
      <xdr:col>11</xdr:col>
      <xdr:colOff>28575</xdr:colOff>
      <xdr:row>4</xdr:row>
      <xdr:rowOff>28575</xdr:rowOff>
    </xdr:to>
    <xdr:sp macro="" textlink="$J$4">
      <xdr:nvSpPr>
        <xdr:cNvPr id="3" name="Retângulo 2">
          <a:extLst>
            <a:ext uri="{FF2B5EF4-FFF2-40B4-BE49-F238E27FC236}">
              <a16:creationId xmlns:a16="http://schemas.microsoft.com/office/drawing/2014/main" id="{926C3370-8CA6-467D-BF81-F3B18CB49129}"/>
            </a:ext>
          </a:extLst>
        </xdr:cNvPr>
        <xdr:cNvSpPr/>
      </xdr:nvSpPr>
      <xdr:spPr>
        <a:xfrm>
          <a:off x="10467975" y="457200"/>
          <a:ext cx="3248025" cy="3524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273BABBF-FC4C-40EC-8507-B05137E3707D}" type="TxLink">
            <a:rPr lang="en-US" sz="1400" b="1" i="0" u="none" strike="noStrike">
              <a:solidFill>
                <a:schemeClr val="bg1"/>
              </a:solidFill>
              <a:latin typeface="Arial Black" panose="020B0A04020102020204" pitchFamily="34" charset="0"/>
              <a:cs typeface="Calibri"/>
            </a:rPr>
            <a:pPr algn="ctr"/>
            <a:t>Estoque inicial</a:t>
          </a:fld>
          <a:endParaRPr lang="pt-BR" sz="1400" b="1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7</xdr:col>
      <xdr:colOff>733424</xdr:colOff>
      <xdr:row>11</xdr:row>
      <xdr:rowOff>76200</xdr:rowOff>
    </xdr:from>
    <xdr:to>
      <xdr:col>10</xdr:col>
      <xdr:colOff>9525</xdr:colOff>
      <xdr:row>13</xdr:row>
      <xdr:rowOff>57150</xdr:rowOff>
    </xdr:to>
    <xdr:sp macro="" textlink="$I$13">
      <xdr:nvSpPr>
        <xdr:cNvPr id="4" name="Retângulo 3">
          <a:extLst>
            <a:ext uri="{FF2B5EF4-FFF2-40B4-BE49-F238E27FC236}">
              <a16:creationId xmlns:a16="http://schemas.microsoft.com/office/drawing/2014/main" id="{B2523839-5445-47E3-ABC7-D8AE4D713887}"/>
            </a:ext>
          </a:extLst>
        </xdr:cNvPr>
        <xdr:cNvSpPr/>
      </xdr:nvSpPr>
      <xdr:spPr>
        <a:xfrm>
          <a:off x="10487024" y="2190750"/>
          <a:ext cx="2390776" cy="36195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9D7E5BDE-5ADD-4655-B0F8-498629E2789E}" type="TxLink">
            <a:rPr lang="en-US" sz="1400" b="0" i="0" u="none" strike="noStrike">
              <a:solidFill>
                <a:schemeClr val="bg1"/>
              </a:solidFill>
              <a:latin typeface="Arial Black" panose="020B0A04020102020204" pitchFamily="34" charset="0"/>
              <a:cs typeface="Calibri"/>
            </a:rPr>
            <a:pPr algn="ctr"/>
            <a:t>Saida de caixa</a:t>
          </a:fld>
          <a:endParaRPr lang="pt-BR" sz="14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7</xdr:col>
      <xdr:colOff>695325</xdr:colOff>
      <xdr:row>38</xdr:row>
      <xdr:rowOff>19050</xdr:rowOff>
    </xdr:from>
    <xdr:to>
      <xdr:col>11</xdr:col>
      <xdr:colOff>9525</xdr:colOff>
      <xdr:row>39</xdr:row>
      <xdr:rowOff>171450</xdr:rowOff>
    </xdr:to>
    <xdr:sp macro="" textlink="$I$40">
      <xdr:nvSpPr>
        <xdr:cNvPr id="5" name="Retângulo 4">
          <a:extLst>
            <a:ext uri="{FF2B5EF4-FFF2-40B4-BE49-F238E27FC236}">
              <a16:creationId xmlns:a16="http://schemas.microsoft.com/office/drawing/2014/main" id="{F9F3FC19-0600-47C3-BAEA-12432F802573}"/>
            </a:ext>
          </a:extLst>
        </xdr:cNvPr>
        <xdr:cNvSpPr/>
      </xdr:nvSpPr>
      <xdr:spPr>
        <a:xfrm>
          <a:off x="10448925" y="7324725"/>
          <a:ext cx="3248025" cy="3429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4F6BA73-4BAA-4F17-812D-B7437725F7F1}" type="TxLink">
            <a:rPr lang="en-US" sz="1400" b="1" i="0" u="none" strike="noStrike">
              <a:solidFill>
                <a:schemeClr val="bg1"/>
              </a:solidFill>
              <a:latin typeface="Arial Black" panose="020B0A04020102020204" pitchFamily="34" charset="0"/>
              <a:cs typeface="Calibri"/>
            </a:rPr>
            <a:pPr algn="ctr"/>
            <a:t>Estoque Final</a:t>
          </a:fld>
          <a:endParaRPr lang="pt-BR" sz="1400" b="1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11</xdr:col>
      <xdr:colOff>685802</xdr:colOff>
      <xdr:row>2</xdr:row>
      <xdr:rowOff>161924</xdr:rowOff>
    </xdr:from>
    <xdr:to>
      <xdr:col>15</xdr:col>
      <xdr:colOff>66676</xdr:colOff>
      <xdr:row>4</xdr:row>
      <xdr:rowOff>47624</xdr:rowOff>
    </xdr:to>
    <xdr:sp macro="" textlink="$M$4">
      <xdr:nvSpPr>
        <xdr:cNvPr id="6" name="Retângulo 5">
          <a:extLst>
            <a:ext uri="{FF2B5EF4-FFF2-40B4-BE49-F238E27FC236}">
              <a16:creationId xmlns:a16="http://schemas.microsoft.com/office/drawing/2014/main" id="{1EB47E6C-812F-43FE-AD77-671CAAE33840}"/>
            </a:ext>
          </a:extLst>
        </xdr:cNvPr>
        <xdr:cNvSpPr/>
      </xdr:nvSpPr>
      <xdr:spPr>
        <a:xfrm>
          <a:off x="14258927" y="552449"/>
          <a:ext cx="3286124" cy="2762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E7ABE673-AD27-4DBA-B4FE-B90381529BD6}" type="TxLink">
            <a:rPr lang="en-US" sz="1400" b="1" i="0" u="none" strike="noStrike">
              <a:solidFill>
                <a:schemeClr val="bg1"/>
              </a:solidFill>
              <a:latin typeface="Arial Black" panose="020B0A04020102020204" pitchFamily="34" charset="0"/>
              <a:cs typeface="Calibri"/>
            </a:rPr>
            <a:pPr algn="ctr"/>
            <a:t>Abastecimento</a:t>
          </a:fld>
          <a:endParaRPr lang="pt-BR" sz="1400" b="1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11</xdr:col>
      <xdr:colOff>676275</xdr:colOff>
      <xdr:row>39</xdr:row>
      <xdr:rowOff>47625</xdr:rowOff>
    </xdr:from>
    <xdr:to>
      <xdr:col>14</xdr:col>
      <xdr:colOff>209551</xdr:colOff>
      <xdr:row>43</xdr:row>
      <xdr:rowOff>114299</xdr:rowOff>
    </xdr:to>
    <xdr:sp macro="" textlink="">
      <xdr:nvSpPr>
        <xdr:cNvPr id="7" name="Retângulo: Cantos Arredondados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D41430-7974-4BBE-BA15-F8488069FC57}"/>
            </a:ext>
          </a:extLst>
        </xdr:cNvPr>
        <xdr:cNvSpPr/>
      </xdr:nvSpPr>
      <xdr:spPr>
        <a:xfrm>
          <a:off x="14258925" y="7543800"/>
          <a:ext cx="2562226" cy="828674"/>
        </a:xfrm>
        <a:prstGeom prst="round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3200">
              <a:latin typeface="Arial Black" panose="020B0A04020102020204" pitchFamily="34" charset="0"/>
            </a:rPr>
            <a:t>Menu</a:t>
          </a:r>
        </a:p>
      </xdr:txBody>
    </xdr:sp>
    <xdr:clientData/>
  </xdr:twoCellAnchor>
  <xdr:twoCellAnchor>
    <xdr:from>
      <xdr:col>11</xdr:col>
      <xdr:colOff>561976</xdr:colOff>
      <xdr:row>11</xdr:row>
      <xdr:rowOff>85725</xdr:rowOff>
    </xdr:from>
    <xdr:to>
      <xdr:col>14</xdr:col>
      <xdr:colOff>19051</xdr:colOff>
      <xdr:row>13</xdr:row>
      <xdr:rowOff>66675</xdr:rowOff>
    </xdr:to>
    <xdr:sp macro="" textlink="$I$13">
      <xdr:nvSpPr>
        <xdr:cNvPr id="8" name="Retângulo 7">
          <a:extLst>
            <a:ext uri="{FF2B5EF4-FFF2-40B4-BE49-F238E27FC236}">
              <a16:creationId xmlns:a16="http://schemas.microsoft.com/office/drawing/2014/main" id="{32D904BE-012D-462A-8DB3-C7FB869F3965}"/>
            </a:ext>
          </a:extLst>
        </xdr:cNvPr>
        <xdr:cNvSpPr/>
      </xdr:nvSpPr>
      <xdr:spPr>
        <a:xfrm>
          <a:off x="14249401" y="2200275"/>
          <a:ext cx="2381250" cy="36195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solidFill>
                <a:schemeClr val="bg1"/>
              </a:solidFill>
              <a:latin typeface="Arial Black" panose="020B0A04020102020204" pitchFamily="34" charset="0"/>
            </a:rPr>
            <a:t>Entrada</a:t>
          </a:r>
          <a:r>
            <a:rPr lang="pt-BR" sz="1400" baseline="0">
              <a:solidFill>
                <a:schemeClr val="bg1"/>
              </a:solidFill>
              <a:latin typeface="Arial Black" panose="020B0A04020102020204" pitchFamily="34" charset="0"/>
            </a:rPr>
            <a:t> caixa</a:t>
          </a:r>
          <a:endParaRPr lang="pt-BR" sz="14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123825</xdr:rowOff>
    </xdr:from>
    <xdr:to>
      <xdr:col>3</xdr:col>
      <xdr:colOff>85725</xdr:colOff>
      <xdr:row>3</xdr:row>
      <xdr:rowOff>85725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CC82FB-EB07-47F5-A499-517B4E0F5448}"/>
            </a:ext>
          </a:extLst>
        </xdr:cNvPr>
        <xdr:cNvSpPr/>
      </xdr:nvSpPr>
      <xdr:spPr>
        <a:xfrm>
          <a:off x="619125" y="123825"/>
          <a:ext cx="3600450" cy="55245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latin typeface="Arial Black" panose="020B0A04020102020204" pitchFamily="34" charset="0"/>
            </a:rPr>
            <a:t>Melhor</a:t>
          </a:r>
          <a:r>
            <a:rPr lang="en-US" sz="2000" baseline="0">
              <a:latin typeface="Arial Black" panose="020B0A04020102020204" pitchFamily="34" charset="0"/>
            </a:rPr>
            <a:t> gás</a:t>
          </a:r>
          <a:endParaRPr lang="en-US" sz="2000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7</xdr:col>
      <xdr:colOff>714375</xdr:colOff>
      <xdr:row>2</xdr:row>
      <xdr:rowOff>66675</xdr:rowOff>
    </xdr:from>
    <xdr:to>
      <xdr:col>11</xdr:col>
      <xdr:colOff>28575</xdr:colOff>
      <xdr:row>4</xdr:row>
      <xdr:rowOff>28575</xdr:rowOff>
    </xdr:to>
    <xdr:sp macro="" textlink="$J$4">
      <xdr:nvSpPr>
        <xdr:cNvPr id="3" name="Retângulo 2">
          <a:extLst>
            <a:ext uri="{FF2B5EF4-FFF2-40B4-BE49-F238E27FC236}">
              <a16:creationId xmlns:a16="http://schemas.microsoft.com/office/drawing/2014/main" id="{E7AC5CE5-A2CA-4703-B4BC-B34B1ABAC85E}"/>
            </a:ext>
          </a:extLst>
        </xdr:cNvPr>
        <xdr:cNvSpPr/>
      </xdr:nvSpPr>
      <xdr:spPr>
        <a:xfrm>
          <a:off x="10467975" y="457200"/>
          <a:ext cx="3248025" cy="3524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273BABBF-FC4C-40EC-8507-B05137E3707D}" type="TxLink">
            <a:rPr lang="en-US" sz="1400" b="1" i="0" u="none" strike="noStrike">
              <a:solidFill>
                <a:schemeClr val="bg1"/>
              </a:solidFill>
              <a:latin typeface="Arial Black" panose="020B0A04020102020204" pitchFamily="34" charset="0"/>
              <a:cs typeface="Calibri"/>
            </a:rPr>
            <a:pPr algn="ctr"/>
            <a:t>Estoque inicial</a:t>
          </a:fld>
          <a:endParaRPr lang="pt-BR" sz="1400" b="1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7</xdr:col>
      <xdr:colOff>733424</xdr:colOff>
      <xdr:row>11</xdr:row>
      <xdr:rowOff>76200</xdr:rowOff>
    </xdr:from>
    <xdr:to>
      <xdr:col>10</xdr:col>
      <xdr:colOff>9525</xdr:colOff>
      <xdr:row>13</xdr:row>
      <xdr:rowOff>57150</xdr:rowOff>
    </xdr:to>
    <xdr:sp macro="" textlink="$I$13">
      <xdr:nvSpPr>
        <xdr:cNvPr id="4" name="Retângulo 3">
          <a:extLst>
            <a:ext uri="{FF2B5EF4-FFF2-40B4-BE49-F238E27FC236}">
              <a16:creationId xmlns:a16="http://schemas.microsoft.com/office/drawing/2014/main" id="{0AC825F2-B8D3-4193-AE27-7599F84FB212}"/>
            </a:ext>
          </a:extLst>
        </xdr:cNvPr>
        <xdr:cNvSpPr/>
      </xdr:nvSpPr>
      <xdr:spPr>
        <a:xfrm>
          <a:off x="10487024" y="2190750"/>
          <a:ext cx="2390776" cy="36195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9D7E5BDE-5ADD-4655-B0F8-498629E2789E}" type="TxLink">
            <a:rPr lang="en-US" sz="1400" b="0" i="0" u="none" strike="noStrike">
              <a:solidFill>
                <a:schemeClr val="bg1"/>
              </a:solidFill>
              <a:latin typeface="Arial Black" panose="020B0A04020102020204" pitchFamily="34" charset="0"/>
              <a:cs typeface="Calibri"/>
            </a:rPr>
            <a:pPr algn="ctr"/>
            <a:t>Saida de caixa</a:t>
          </a:fld>
          <a:endParaRPr lang="pt-BR" sz="14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7</xdr:col>
      <xdr:colOff>695325</xdr:colOff>
      <xdr:row>38</xdr:row>
      <xdr:rowOff>19050</xdr:rowOff>
    </xdr:from>
    <xdr:to>
      <xdr:col>11</xdr:col>
      <xdr:colOff>9525</xdr:colOff>
      <xdr:row>39</xdr:row>
      <xdr:rowOff>171450</xdr:rowOff>
    </xdr:to>
    <xdr:sp macro="" textlink="$I$40">
      <xdr:nvSpPr>
        <xdr:cNvPr id="5" name="Retângulo 4">
          <a:extLst>
            <a:ext uri="{FF2B5EF4-FFF2-40B4-BE49-F238E27FC236}">
              <a16:creationId xmlns:a16="http://schemas.microsoft.com/office/drawing/2014/main" id="{AC77045E-8B33-4F5C-B1BB-57989CB0EAD7}"/>
            </a:ext>
          </a:extLst>
        </xdr:cNvPr>
        <xdr:cNvSpPr/>
      </xdr:nvSpPr>
      <xdr:spPr>
        <a:xfrm>
          <a:off x="10448925" y="7324725"/>
          <a:ext cx="3248025" cy="3429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4F6BA73-4BAA-4F17-812D-B7437725F7F1}" type="TxLink">
            <a:rPr lang="en-US" sz="1400" b="1" i="0" u="none" strike="noStrike">
              <a:solidFill>
                <a:schemeClr val="bg1"/>
              </a:solidFill>
              <a:latin typeface="Arial Black" panose="020B0A04020102020204" pitchFamily="34" charset="0"/>
              <a:cs typeface="Calibri"/>
            </a:rPr>
            <a:pPr algn="ctr"/>
            <a:t>Estoque Final</a:t>
          </a:fld>
          <a:endParaRPr lang="pt-BR" sz="1400" b="1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11</xdr:col>
      <xdr:colOff>685802</xdr:colOff>
      <xdr:row>2</xdr:row>
      <xdr:rowOff>161924</xdr:rowOff>
    </xdr:from>
    <xdr:to>
      <xdr:col>15</xdr:col>
      <xdr:colOff>66676</xdr:colOff>
      <xdr:row>4</xdr:row>
      <xdr:rowOff>47624</xdr:rowOff>
    </xdr:to>
    <xdr:sp macro="" textlink="$M$4">
      <xdr:nvSpPr>
        <xdr:cNvPr id="6" name="Retângulo 5">
          <a:extLst>
            <a:ext uri="{FF2B5EF4-FFF2-40B4-BE49-F238E27FC236}">
              <a16:creationId xmlns:a16="http://schemas.microsoft.com/office/drawing/2014/main" id="{FCEDA39B-26DA-4038-9094-49F1080C8D6E}"/>
            </a:ext>
          </a:extLst>
        </xdr:cNvPr>
        <xdr:cNvSpPr/>
      </xdr:nvSpPr>
      <xdr:spPr>
        <a:xfrm>
          <a:off x="14258927" y="552449"/>
          <a:ext cx="3286124" cy="2762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E7ABE673-AD27-4DBA-B4FE-B90381529BD6}" type="TxLink">
            <a:rPr lang="en-US" sz="1400" b="1" i="0" u="none" strike="noStrike">
              <a:solidFill>
                <a:schemeClr val="bg1"/>
              </a:solidFill>
              <a:latin typeface="Arial Black" panose="020B0A04020102020204" pitchFamily="34" charset="0"/>
              <a:cs typeface="Calibri"/>
            </a:rPr>
            <a:pPr algn="ctr"/>
            <a:t>Abastecimento</a:t>
          </a:fld>
          <a:endParaRPr lang="pt-BR" sz="1400" b="1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11</xdr:col>
      <xdr:colOff>676275</xdr:colOff>
      <xdr:row>39</xdr:row>
      <xdr:rowOff>47625</xdr:rowOff>
    </xdr:from>
    <xdr:to>
      <xdr:col>14</xdr:col>
      <xdr:colOff>209551</xdr:colOff>
      <xdr:row>43</xdr:row>
      <xdr:rowOff>114299</xdr:rowOff>
    </xdr:to>
    <xdr:sp macro="" textlink="">
      <xdr:nvSpPr>
        <xdr:cNvPr id="7" name="Retângulo: Cantos Arredondados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BEB6BB-1719-4D5A-A837-2DF813DC5590}"/>
            </a:ext>
          </a:extLst>
        </xdr:cNvPr>
        <xdr:cNvSpPr/>
      </xdr:nvSpPr>
      <xdr:spPr>
        <a:xfrm>
          <a:off x="14258925" y="7543800"/>
          <a:ext cx="2562226" cy="828674"/>
        </a:xfrm>
        <a:prstGeom prst="round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3200">
              <a:latin typeface="Arial Black" panose="020B0A04020102020204" pitchFamily="34" charset="0"/>
            </a:rPr>
            <a:t>Menu</a:t>
          </a:r>
        </a:p>
      </xdr:txBody>
    </xdr:sp>
    <xdr:clientData/>
  </xdr:twoCellAnchor>
  <xdr:twoCellAnchor>
    <xdr:from>
      <xdr:col>11</xdr:col>
      <xdr:colOff>561976</xdr:colOff>
      <xdr:row>11</xdr:row>
      <xdr:rowOff>85725</xdr:rowOff>
    </xdr:from>
    <xdr:to>
      <xdr:col>14</xdr:col>
      <xdr:colOff>19051</xdr:colOff>
      <xdr:row>13</xdr:row>
      <xdr:rowOff>66675</xdr:rowOff>
    </xdr:to>
    <xdr:sp macro="" textlink="$I$13">
      <xdr:nvSpPr>
        <xdr:cNvPr id="8" name="Retângulo 7">
          <a:extLst>
            <a:ext uri="{FF2B5EF4-FFF2-40B4-BE49-F238E27FC236}">
              <a16:creationId xmlns:a16="http://schemas.microsoft.com/office/drawing/2014/main" id="{437A1996-8289-40D7-95EA-D674626D91C8}"/>
            </a:ext>
          </a:extLst>
        </xdr:cNvPr>
        <xdr:cNvSpPr/>
      </xdr:nvSpPr>
      <xdr:spPr>
        <a:xfrm>
          <a:off x="14249401" y="2200275"/>
          <a:ext cx="2381250" cy="36195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solidFill>
                <a:schemeClr val="bg1"/>
              </a:solidFill>
              <a:latin typeface="Arial Black" panose="020B0A04020102020204" pitchFamily="34" charset="0"/>
            </a:rPr>
            <a:t>Entrada</a:t>
          </a:r>
          <a:r>
            <a:rPr lang="pt-BR" sz="1400" baseline="0">
              <a:solidFill>
                <a:schemeClr val="bg1"/>
              </a:solidFill>
              <a:latin typeface="Arial Black" panose="020B0A04020102020204" pitchFamily="34" charset="0"/>
            </a:rPr>
            <a:t> caixa</a:t>
          </a:r>
          <a:endParaRPr lang="pt-BR" sz="14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123825</xdr:rowOff>
    </xdr:from>
    <xdr:to>
      <xdr:col>3</xdr:col>
      <xdr:colOff>85725</xdr:colOff>
      <xdr:row>3</xdr:row>
      <xdr:rowOff>85725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A17AEE-9523-4EDB-B982-C2B957BD0D74}"/>
            </a:ext>
          </a:extLst>
        </xdr:cNvPr>
        <xdr:cNvSpPr/>
      </xdr:nvSpPr>
      <xdr:spPr>
        <a:xfrm>
          <a:off x="619125" y="123825"/>
          <a:ext cx="3600450" cy="55245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latin typeface="Arial Black" panose="020B0A04020102020204" pitchFamily="34" charset="0"/>
            </a:rPr>
            <a:t>Melhor</a:t>
          </a:r>
          <a:r>
            <a:rPr lang="en-US" sz="2000" baseline="0">
              <a:latin typeface="Arial Black" panose="020B0A04020102020204" pitchFamily="34" charset="0"/>
            </a:rPr>
            <a:t> gás</a:t>
          </a:r>
          <a:endParaRPr lang="en-US" sz="2000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7</xdr:col>
      <xdr:colOff>714375</xdr:colOff>
      <xdr:row>2</xdr:row>
      <xdr:rowOff>66675</xdr:rowOff>
    </xdr:from>
    <xdr:to>
      <xdr:col>11</xdr:col>
      <xdr:colOff>28575</xdr:colOff>
      <xdr:row>4</xdr:row>
      <xdr:rowOff>28575</xdr:rowOff>
    </xdr:to>
    <xdr:sp macro="" textlink="$J$4">
      <xdr:nvSpPr>
        <xdr:cNvPr id="3" name="Retângulo 2">
          <a:extLst>
            <a:ext uri="{FF2B5EF4-FFF2-40B4-BE49-F238E27FC236}">
              <a16:creationId xmlns:a16="http://schemas.microsoft.com/office/drawing/2014/main" id="{3C12E3D5-6542-4516-8803-85FFA41896DF}"/>
            </a:ext>
          </a:extLst>
        </xdr:cNvPr>
        <xdr:cNvSpPr/>
      </xdr:nvSpPr>
      <xdr:spPr>
        <a:xfrm>
          <a:off x="10467975" y="457200"/>
          <a:ext cx="3248025" cy="3524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273BABBF-FC4C-40EC-8507-B05137E3707D}" type="TxLink">
            <a:rPr lang="en-US" sz="1400" b="1" i="0" u="none" strike="noStrike">
              <a:solidFill>
                <a:schemeClr val="bg1"/>
              </a:solidFill>
              <a:latin typeface="Arial Black" panose="020B0A04020102020204" pitchFamily="34" charset="0"/>
              <a:cs typeface="Calibri"/>
            </a:rPr>
            <a:pPr algn="ctr"/>
            <a:t>Estoque inicial</a:t>
          </a:fld>
          <a:endParaRPr lang="pt-BR" sz="1400" b="1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7</xdr:col>
      <xdr:colOff>733424</xdr:colOff>
      <xdr:row>11</xdr:row>
      <xdr:rowOff>76200</xdr:rowOff>
    </xdr:from>
    <xdr:to>
      <xdr:col>10</xdr:col>
      <xdr:colOff>9525</xdr:colOff>
      <xdr:row>13</xdr:row>
      <xdr:rowOff>57150</xdr:rowOff>
    </xdr:to>
    <xdr:sp macro="" textlink="$I$13">
      <xdr:nvSpPr>
        <xdr:cNvPr id="4" name="Retângulo 3">
          <a:extLst>
            <a:ext uri="{FF2B5EF4-FFF2-40B4-BE49-F238E27FC236}">
              <a16:creationId xmlns:a16="http://schemas.microsoft.com/office/drawing/2014/main" id="{50AC7076-D672-48E0-A69F-4F2FD20E2697}"/>
            </a:ext>
          </a:extLst>
        </xdr:cNvPr>
        <xdr:cNvSpPr/>
      </xdr:nvSpPr>
      <xdr:spPr>
        <a:xfrm>
          <a:off x="10487024" y="2190750"/>
          <a:ext cx="2390776" cy="36195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9D7E5BDE-5ADD-4655-B0F8-498629E2789E}" type="TxLink">
            <a:rPr lang="en-US" sz="1400" b="0" i="0" u="none" strike="noStrike">
              <a:solidFill>
                <a:schemeClr val="bg1"/>
              </a:solidFill>
              <a:latin typeface="Arial Black" panose="020B0A04020102020204" pitchFamily="34" charset="0"/>
              <a:cs typeface="Calibri"/>
            </a:rPr>
            <a:pPr algn="ctr"/>
            <a:t>Saida de caixa</a:t>
          </a:fld>
          <a:endParaRPr lang="pt-BR" sz="14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7</xdr:col>
      <xdr:colOff>695325</xdr:colOff>
      <xdr:row>38</xdr:row>
      <xdr:rowOff>19050</xdr:rowOff>
    </xdr:from>
    <xdr:to>
      <xdr:col>11</xdr:col>
      <xdr:colOff>9525</xdr:colOff>
      <xdr:row>39</xdr:row>
      <xdr:rowOff>171450</xdr:rowOff>
    </xdr:to>
    <xdr:sp macro="" textlink="$I$40">
      <xdr:nvSpPr>
        <xdr:cNvPr id="5" name="Retângulo 4">
          <a:extLst>
            <a:ext uri="{FF2B5EF4-FFF2-40B4-BE49-F238E27FC236}">
              <a16:creationId xmlns:a16="http://schemas.microsoft.com/office/drawing/2014/main" id="{ED9387EB-B828-4E06-8C51-DEB8A91BFDB0}"/>
            </a:ext>
          </a:extLst>
        </xdr:cNvPr>
        <xdr:cNvSpPr/>
      </xdr:nvSpPr>
      <xdr:spPr>
        <a:xfrm>
          <a:off x="10448925" y="7324725"/>
          <a:ext cx="3248025" cy="3429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4F6BA73-4BAA-4F17-812D-B7437725F7F1}" type="TxLink">
            <a:rPr lang="en-US" sz="1400" b="1" i="0" u="none" strike="noStrike">
              <a:solidFill>
                <a:schemeClr val="bg1"/>
              </a:solidFill>
              <a:latin typeface="Arial Black" panose="020B0A04020102020204" pitchFamily="34" charset="0"/>
              <a:cs typeface="Calibri"/>
            </a:rPr>
            <a:pPr algn="ctr"/>
            <a:t>Estoque Final</a:t>
          </a:fld>
          <a:endParaRPr lang="pt-BR" sz="1400" b="1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11</xdr:col>
      <xdr:colOff>685802</xdr:colOff>
      <xdr:row>2</xdr:row>
      <xdr:rowOff>161924</xdr:rowOff>
    </xdr:from>
    <xdr:to>
      <xdr:col>15</xdr:col>
      <xdr:colOff>66676</xdr:colOff>
      <xdr:row>4</xdr:row>
      <xdr:rowOff>47624</xdr:rowOff>
    </xdr:to>
    <xdr:sp macro="" textlink="$M$4">
      <xdr:nvSpPr>
        <xdr:cNvPr id="6" name="Retângulo 5">
          <a:extLst>
            <a:ext uri="{FF2B5EF4-FFF2-40B4-BE49-F238E27FC236}">
              <a16:creationId xmlns:a16="http://schemas.microsoft.com/office/drawing/2014/main" id="{A8BA383A-176D-4DDF-A30F-636C3DBFF288}"/>
            </a:ext>
          </a:extLst>
        </xdr:cNvPr>
        <xdr:cNvSpPr/>
      </xdr:nvSpPr>
      <xdr:spPr>
        <a:xfrm>
          <a:off x="14258927" y="552449"/>
          <a:ext cx="3286124" cy="2762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E7ABE673-AD27-4DBA-B4FE-B90381529BD6}" type="TxLink">
            <a:rPr lang="en-US" sz="1400" b="1" i="0" u="none" strike="noStrike">
              <a:solidFill>
                <a:schemeClr val="bg1"/>
              </a:solidFill>
              <a:latin typeface="Arial Black" panose="020B0A04020102020204" pitchFamily="34" charset="0"/>
              <a:cs typeface="Calibri"/>
            </a:rPr>
            <a:pPr algn="ctr"/>
            <a:t>Abastecimento</a:t>
          </a:fld>
          <a:endParaRPr lang="pt-BR" sz="1400" b="1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11</xdr:col>
      <xdr:colOff>676275</xdr:colOff>
      <xdr:row>39</xdr:row>
      <xdr:rowOff>47625</xdr:rowOff>
    </xdr:from>
    <xdr:to>
      <xdr:col>14</xdr:col>
      <xdr:colOff>209551</xdr:colOff>
      <xdr:row>43</xdr:row>
      <xdr:rowOff>114299</xdr:rowOff>
    </xdr:to>
    <xdr:sp macro="" textlink="">
      <xdr:nvSpPr>
        <xdr:cNvPr id="7" name="Retângulo: Cantos Arredondados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A3E9F1-AE83-43A6-9408-5ACA486C06A2}"/>
            </a:ext>
          </a:extLst>
        </xdr:cNvPr>
        <xdr:cNvSpPr/>
      </xdr:nvSpPr>
      <xdr:spPr>
        <a:xfrm>
          <a:off x="14258925" y="7543800"/>
          <a:ext cx="2562226" cy="828674"/>
        </a:xfrm>
        <a:prstGeom prst="round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3200">
              <a:latin typeface="Arial Black" panose="020B0A04020102020204" pitchFamily="34" charset="0"/>
            </a:rPr>
            <a:t>Menu</a:t>
          </a:r>
        </a:p>
      </xdr:txBody>
    </xdr:sp>
    <xdr:clientData/>
  </xdr:twoCellAnchor>
  <xdr:twoCellAnchor>
    <xdr:from>
      <xdr:col>11</xdr:col>
      <xdr:colOff>561976</xdr:colOff>
      <xdr:row>11</xdr:row>
      <xdr:rowOff>85725</xdr:rowOff>
    </xdr:from>
    <xdr:to>
      <xdr:col>14</xdr:col>
      <xdr:colOff>19051</xdr:colOff>
      <xdr:row>13</xdr:row>
      <xdr:rowOff>66675</xdr:rowOff>
    </xdr:to>
    <xdr:sp macro="" textlink="$I$13">
      <xdr:nvSpPr>
        <xdr:cNvPr id="8" name="Retângulo 7">
          <a:extLst>
            <a:ext uri="{FF2B5EF4-FFF2-40B4-BE49-F238E27FC236}">
              <a16:creationId xmlns:a16="http://schemas.microsoft.com/office/drawing/2014/main" id="{641B7054-2333-4D50-BFD9-28767B57135B}"/>
            </a:ext>
          </a:extLst>
        </xdr:cNvPr>
        <xdr:cNvSpPr/>
      </xdr:nvSpPr>
      <xdr:spPr>
        <a:xfrm>
          <a:off x="14249401" y="2200275"/>
          <a:ext cx="2381250" cy="36195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solidFill>
                <a:schemeClr val="bg1"/>
              </a:solidFill>
              <a:latin typeface="Arial Black" panose="020B0A04020102020204" pitchFamily="34" charset="0"/>
            </a:rPr>
            <a:t>Entrada</a:t>
          </a:r>
          <a:r>
            <a:rPr lang="pt-BR" sz="1400" baseline="0">
              <a:solidFill>
                <a:schemeClr val="bg1"/>
              </a:solidFill>
              <a:latin typeface="Arial Black" panose="020B0A04020102020204" pitchFamily="34" charset="0"/>
            </a:rPr>
            <a:t> caixa</a:t>
          </a:r>
          <a:endParaRPr lang="pt-BR" sz="14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123825</xdr:rowOff>
    </xdr:from>
    <xdr:to>
      <xdr:col>3</xdr:col>
      <xdr:colOff>85725</xdr:colOff>
      <xdr:row>3</xdr:row>
      <xdr:rowOff>85725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7AD1A8-AACE-4217-84D5-7BC5E4B1DB93}"/>
            </a:ext>
          </a:extLst>
        </xdr:cNvPr>
        <xdr:cNvSpPr/>
      </xdr:nvSpPr>
      <xdr:spPr>
        <a:xfrm>
          <a:off x="619125" y="123825"/>
          <a:ext cx="3600450" cy="55245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latin typeface="Arial Black" panose="020B0A04020102020204" pitchFamily="34" charset="0"/>
            </a:rPr>
            <a:t>Melhor</a:t>
          </a:r>
          <a:r>
            <a:rPr lang="en-US" sz="2000" baseline="0">
              <a:latin typeface="Arial Black" panose="020B0A04020102020204" pitchFamily="34" charset="0"/>
            </a:rPr>
            <a:t> gás</a:t>
          </a:r>
          <a:endParaRPr lang="en-US" sz="2000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7</xdr:col>
      <xdr:colOff>714375</xdr:colOff>
      <xdr:row>2</xdr:row>
      <xdr:rowOff>66675</xdr:rowOff>
    </xdr:from>
    <xdr:to>
      <xdr:col>11</xdr:col>
      <xdr:colOff>28575</xdr:colOff>
      <xdr:row>4</xdr:row>
      <xdr:rowOff>28575</xdr:rowOff>
    </xdr:to>
    <xdr:sp macro="" textlink="$J$4">
      <xdr:nvSpPr>
        <xdr:cNvPr id="3" name="Retângulo 2">
          <a:extLst>
            <a:ext uri="{FF2B5EF4-FFF2-40B4-BE49-F238E27FC236}">
              <a16:creationId xmlns:a16="http://schemas.microsoft.com/office/drawing/2014/main" id="{BE010D16-941C-402F-A9E4-B73B409B5CDB}"/>
            </a:ext>
          </a:extLst>
        </xdr:cNvPr>
        <xdr:cNvSpPr/>
      </xdr:nvSpPr>
      <xdr:spPr>
        <a:xfrm>
          <a:off x="10467975" y="457200"/>
          <a:ext cx="3248025" cy="3524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273BABBF-FC4C-40EC-8507-B05137E3707D}" type="TxLink">
            <a:rPr lang="en-US" sz="1400" b="1" i="0" u="none" strike="noStrike">
              <a:solidFill>
                <a:schemeClr val="bg1"/>
              </a:solidFill>
              <a:latin typeface="Arial Black" panose="020B0A04020102020204" pitchFamily="34" charset="0"/>
              <a:cs typeface="Calibri"/>
            </a:rPr>
            <a:pPr algn="ctr"/>
            <a:t>Estoque inicial</a:t>
          </a:fld>
          <a:endParaRPr lang="pt-BR" sz="1400" b="1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7</xdr:col>
      <xdr:colOff>733424</xdr:colOff>
      <xdr:row>11</xdr:row>
      <xdr:rowOff>76200</xdr:rowOff>
    </xdr:from>
    <xdr:to>
      <xdr:col>10</xdr:col>
      <xdr:colOff>9525</xdr:colOff>
      <xdr:row>13</xdr:row>
      <xdr:rowOff>57150</xdr:rowOff>
    </xdr:to>
    <xdr:sp macro="" textlink="$I$13">
      <xdr:nvSpPr>
        <xdr:cNvPr id="4" name="Retângulo 3">
          <a:extLst>
            <a:ext uri="{FF2B5EF4-FFF2-40B4-BE49-F238E27FC236}">
              <a16:creationId xmlns:a16="http://schemas.microsoft.com/office/drawing/2014/main" id="{ACEE773E-1BE6-4AC1-BB49-61304F537F9B}"/>
            </a:ext>
          </a:extLst>
        </xdr:cNvPr>
        <xdr:cNvSpPr/>
      </xdr:nvSpPr>
      <xdr:spPr>
        <a:xfrm>
          <a:off x="10487024" y="2190750"/>
          <a:ext cx="2390776" cy="36195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9D7E5BDE-5ADD-4655-B0F8-498629E2789E}" type="TxLink">
            <a:rPr lang="en-US" sz="1400" b="0" i="0" u="none" strike="noStrike">
              <a:solidFill>
                <a:schemeClr val="bg1"/>
              </a:solidFill>
              <a:latin typeface="Arial Black" panose="020B0A04020102020204" pitchFamily="34" charset="0"/>
              <a:cs typeface="Calibri"/>
            </a:rPr>
            <a:pPr algn="ctr"/>
            <a:t>Saida de caixa</a:t>
          </a:fld>
          <a:endParaRPr lang="pt-BR" sz="14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7</xdr:col>
      <xdr:colOff>695325</xdr:colOff>
      <xdr:row>38</xdr:row>
      <xdr:rowOff>19050</xdr:rowOff>
    </xdr:from>
    <xdr:to>
      <xdr:col>11</xdr:col>
      <xdr:colOff>9525</xdr:colOff>
      <xdr:row>39</xdr:row>
      <xdr:rowOff>171450</xdr:rowOff>
    </xdr:to>
    <xdr:sp macro="" textlink="$I$40">
      <xdr:nvSpPr>
        <xdr:cNvPr id="5" name="Retângulo 4">
          <a:extLst>
            <a:ext uri="{FF2B5EF4-FFF2-40B4-BE49-F238E27FC236}">
              <a16:creationId xmlns:a16="http://schemas.microsoft.com/office/drawing/2014/main" id="{6DA82908-2E31-458E-A731-0BE5D8EB543E}"/>
            </a:ext>
          </a:extLst>
        </xdr:cNvPr>
        <xdr:cNvSpPr/>
      </xdr:nvSpPr>
      <xdr:spPr>
        <a:xfrm>
          <a:off x="10448925" y="7324725"/>
          <a:ext cx="3248025" cy="3429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4F6BA73-4BAA-4F17-812D-B7437725F7F1}" type="TxLink">
            <a:rPr lang="en-US" sz="1400" b="1" i="0" u="none" strike="noStrike">
              <a:solidFill>
                <a:schemeClr val="bg1"/>
              </a:solidFill>
              <a:latin typeface="Arial Black" panose="020B0A04020102020204" pitchFamily="34" charset="0"/>
              <a:cs typeface="Calibri"/>
            </a:rPr>
            <a:pPr algn="ctr"/>
            <a:t>Estoque Final</a:t>
          </a:fld>
          <a:endParaRPr lang="pt-BR" sz="1400" b="1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11</xdr:col>
      <xdr:colOff>685802</xdr:colOff>
      <xdr:row>2</xdr:row>
      <xdr:rowOff>161924</xdr:rowOff>
    </xdr:from>
    <xdr:to>
      <xdr:col>15</xdr:col>
      <xdr:colOff>66676</xdr:colOff>
      <xdr:row>4</xdr:row>
      <xdr:rowOff>47624</xdr:rowOff>
    </xdr:to>
    <xdr:sp macro="" textlink="$M$4">
      <xdr:nvSpPr>
        <xdr:cNvPr id="6" name="Retângulo 5">
          <a:extLst>
            <a:ext uri="{FF2B5EF4-FFF2-40B4-BE49-F238E27FC236}">
              <a16:creationId xmlns:a16="http://schemas.microsoft.com/office/drawing/2014/main" id="{AF6E71CA-7BB4-447D-BF2C-56F05EA4969F}"/>
            </a:ext>
          </a:extLst>
        </xdr:cNvPr>
        <xdr:cNvSpPr/>
      </xdr:nvSpPr>
      <xdr:spPr>
        <a:xfrm>
          <a:off x="14258927" y="552449"/>
          <a:ext cx="3286124" cy="2762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E7ABE673-AD27-4DBA-B4FE-B90381529BD6}" type="TxLink">
            <a:rPr lang="en-US" sz="1400" b="1" i="0" u="none" strike="noStrike">
              <a:solidFill>
                <a:schemeClr val="bg1"/>
              </a:solidFill>
              <a:latin typeface="Arial Black" panose="020B0A04020102020204" pitchFamily="34" charset="0"/>
              <a:cs typeface="Calibri"/>
            </a:rPr>
            <a:pPr algn="ctr"/>
            <a:t>Abastecimento</a:t>
          </a:fld>
          <a:endParaRPr lang="pt-BR" sz="1400" b="1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11</xdr:col>
      <xdr:colOff>676275</xdr:colOff>
      <xdr:row>39</xdr:row>
      <xdr:rowOff>47625</xdr:rowOff>
    </xdr:from>
    <xdr:to>
      <xdr:col>14</xdr:col>
      <xdr:colOff>209551</xdr:colOff>
      <xdr:row>43</xdr:row>
      <xdr:rowOff>114299</xdr:rowOff>
    </xdr:to>
    <xdr:sp macro="" textlink="">
      <xdr:nvSpPr>
        <xdr:cNvPr id="7" name="Retângulo: Cantos Arredondados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FE4FD7-96DF-4698-8DF9-23349DEA9EF0}"/>
            </a:ext>
          </a:extLst>
        </xdr:cNvPr>
        <xdr:cNvSpPr/>
      </xdr:nvSpPr>
      <xdr:spPr>
        <a:xfrm>
          <a:off x="14258925" y="7543800"/>
          <a:ext cx="2562226" cy="828674"/>
        </a:xfrm>
        <a:prstGeom prst="round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3200">
              <a:latin typeface="Arial Black" panose="020B0A04020102020204" pitchFamily="34" charset="0"/>
            </a:rPr>
            <a:t>Menu</a:t>
          </a:r>
        </a:p>
      </xdr:txBody>
    </xdr:sp>
    <xdr:clientData/>
  </xdr:twoCellAnchor>
  <xdr:twoCellAnchor>
    <xdr:from>
      <xdr:col>11</xdr:col>
      <xdr:colOff>561976</xdr:colOff>
      <xdr:row>11</xdr:row>
      <xdr:rowOff>85725</xdr:rowOff>
    </xdr:from>
    <xdr:to>
      <xdr:col>14</xdr:col>
      <xdr:colOff>19051</xdr:colOff>
      <xdr:row>13</xdr:row>
      <xdr:rowOff>66675</xdr:rowOff>
    </xdr:to>
    <xdr:sp macro="" textlink="$I$13">
      <xdr:nvSpPr>
        <xdr:cNvPr id="8" name="Retângulo 7">
          <a:extLst>
            <a:ext uri="{FF2B5EF4-FFF2-40B4-BE49-F238E27FC236}">
              <a16:creationId xmlns:a16="http://schemas.microsoft.com/office/drawing/2014/main" id="{3CE7960E-0A20-4382-B829-13FCA71A2131}"/>
            </a:ext>
          </a:extLst>
        </xdr:cNvPr>
        <xdr:cNvSpPr/>
      </xdr:nvSpPr>
      <xdr:spPr>
        <a:xfrm>
          <a:off x="14249401" y="2200275"/>
          <a:ext cx="2381250" cy="36195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solidFill>
                <a:schemeClr val="bg1"/>
              </a:solidFill>
              <a:latin typeface="Arial Black" panose="020B0A04020102020204" pitchFamily="34" charset="0"/>
            </a:rPr>
            <a:t>Entrada</a:t>
          </a:r>
          <a:r>
            <a:rPr lang="pt-BR" sz="1400" baseline="0">
              <a:solidFill>
                <a:schemeClr val="bg1"/>
              </a:solidFill>
              <a:latin typeface="Arial Black" panose="020B0A04020102020204" pitchFamily="34" charset="0"/>
            </a:rPr>
            <a:t> caixa</a:t>
          </a:r>
          <a:endParaRPr lang="pt-BR" sz="14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123825</xdr:rowOff>
    </xdr:from>
    <xdr:to>
      <xdr:col>3</xdr:col>
      <xdr:colOff>85725</xdr:colOff>
      <xdr:row>3</xdr:row>
      <xdr:rowOff>85725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BC5EED-F1BD-43F2-9530-28359C3510BA}"/>
            </a:ext>
          </a:extLst>
        </xdr:cNvPr>
        <xdr:cNvSpPr/>
      </xdr:nvSpPr>
      <xdr:spPr>
        <a:xfrm>
          <a:off x="619125" y="123825"/>
          <a:ext cx="3600450" cy="55245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latin typeface="Arial Black" panose="020B0A04020102020204" pitchFamily="34" charset="0"/>
            </a:rPr>
            <a:t>Melhor</a:t>
          </a:r>
          <a:r>
            <a:rPr lang="en-US" sz="2000" baseline="0">
              <a:latin typeface="Arial Black" panose="020B0A04020102020204" pitchFamily="34" charset="0"/>
            </a:rPr>
            <a:t> gás</a:t>
          </a:r>
          <a:endParaRPr lang="en-US" sz="2000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7</xdr:col>
      <xdr:colOff>714375</xdr:colOff>
      <xdr:row>2</xdr:row>
      <xdr:rowOff>66675</xdr:rowOff>
    </xdr:from>
    <xdr:to>
      <xdr:col>11</xdr:col>
      <xdr:colOff>28575</xdr:colOff>
      <xdr:row>4</xdr:row>
      <xdr:rowOff>28575</xdr:rowOff>
    </xdr:to>
    <xdr:sp macro="" textlink="$J$4">
      <xdr:nvSpPr>
        <xdr:cNvPr id="3" name="Retângulo 2">
          <a:extLst>
            <a:ext uri="{FF2B5EF4-FFF2-40B4-BE49-F238E27FC236}">
              <a16:creationId xmlns:a16="http://schemas.microsoft.com/office/drawing/2014/main" id="{3C279B74-D581-4418-A771-3F9176AE54F0}"/>
            </a:ext>
          </a:extLst>
        </xdr:cNvPr>
        <xdr:cNvSpPr/>
      </xdr:nvSpPr>
      <xdr:spPr>
        <a:xfrm>
          <a:off x="10467975" y="457200"/>
          <a:ext cx="3248025" cy="3524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273BABBF-FC4C-40EC-8507-B05137E3707D}" type="TxLink">
            <a:rPr lang="en-US" sz="1400" b="1" i="0" u="none" strike="noStrike">
              <a:solidFill>
                <a:schemeClr val="bg1"/>
              </a:solidFill>
              <a:latin typeface="Arial Black" panose="020B0A04020102020204" pitchFamily="34" charset="0"/>
              <a:cs typeface="Calibri"/>
            </a:rPr>
            <a:pPr algn="ctr"/>
            <a:t>Estoque inicial</a:t>
          </a:fld>
          <a:endParaRPr lang="pt-BR" sz="1400" b="1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7</xdr:col>
      <xdr:colOff>733424</xdr:colOff>
      <xdr:row>11</xdr:row>
      <xdr:rowOff>76200</xdr:rowOff>
    </xdr:from>
    <xdr:to>
      <xdr:col>10</xdr:col>
      <xdr:colOff>9525</xdr:colOff>
      <xdr:row>13</xdr:row>
      <xdr:rowOff>57150</xdr:rowOff>
    </xdr:to>
    <xdr:sp macro="" textlink="$I$13">
      <xdr:nvSpPr>
        <xdr:cNvPr id="4" name="Retângulo 3">
          <a:extLst>
            <a:ext uri="{FF2B5EF4-FFF2-40B4-BE49-F238E27FC236}">
              <a16:creationId xmlns:a16="http://schemas.microsoft.com/office/drawing/2014/main" id="{9B7CD6CD-FB79-4B06-98E4-A232994A809A}"/>
            </a:ext>
          </a:extLst>
        </xdr:cNvPr>
        <xdr:cNvSpPr/>
      </xdr:nvSpPr>
      <xdr:spPr>
        <a:xfrm>
          <a:off x="10487024" y="2190750"/>
          <a:ext cx="2390776" cy="36195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9D7E5BDE-5ADD-4655-B0F8-498629E2789E}" type="TxLink">
            <a:rPr lang="en-US" sz="1400" b="0" i="0" u="none" strike="noStrike">
              <a:solidFill>
                <a:schemeClr val="bg1"/>
              </a:solidFill>
              <a:latin typeface="Arial Black" panose="020B0A04020102020204" pitchFamily="34" charset="0"/>
              <a:cs typeface="Calibri"/>
            </a:rPr>
            <a:pPr algn="ctr"/>
            <a:t>Saida de caixa</a:t>
          </a:fld>
          <a:endParaRPr lang="pt-BR" sz="14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7</xdr:col>
      <xdr:colOff>695325</xdr:colOff>
      <xdr:row>38</xdr:row>
      <xdr:rowOff>19050</xdr:rowOff>
    </xdr:from>
    <xdr:to>
      <xdr:col>11</xdr:col>
      <xdr:colOff>9525</xdr:colOff>
      <xdr:row>39</xdr:row>
      <xdr:rowOff>171450</xdr:rowOff>
    </xdr:to>
    <xdr:sp macro="" textlink="$I$40">
      <xdr:nvSpPr>
        <xdr:cNvPr id="5" name="Retângulo 4">
          <a:extLst>
            <a:ext uri="{FF2B5EF4-FFF2-40B4-BE49-F238E27FC236}">
              <a16:creationId xmlns:a16="http://schemas.microsoft.com/office/drawing/2014/main" id="{8C5BCBF9-25C7-4AE9-85B6-6C1745853AAD}"/>
            </a:ext>
          </a:extLst>
        </xdr:cNvPr>
        <xdr:cNvSpPr/>
      </xdr:nvSpPr>
      <xdr:spPr>
        <a:xfrm>
          <a:off x="10448925" y="7324725"/>
          <a:ext cx="3248025" cy="3429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4F6BA73-4BAA-4F17-812D-B7437725F7F1}" type="TxLink">
            <a:rPr lang="en-US" sz="1400" b="1" i="0" u="none" strike="noStrike">
              <a:solidFill>
                <a:schemeClr val="bg1"/>
              </a:solidFill>
              <a:latin typeface="Arial Black" panose="020B0A04020102020204" pitchFamily="34" charset="0"/>
              <a:cs typeface="Calibri"/>
            </a:rPr>
            <a:pPr algn="ctr"/>
            <a:t>Estoque Final</a:t>
          </a:fld>
          <a:endParaRPr lang="pt-BR" sz="1400" b="1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11</xdr:col>
      <xdr:colOff>685802</xdr:colOff>
      <xdr:row>2</xdr:row>
      <xdr:rowOff>161924</xdr:rowOff>
    </xdr:from>
    <xdr:to>
      <xdr:col>15</xdr:col>
      <xdr:colOff>66676</xdr:colOff>
      <xdr:row>4</xdr:row>
      <xdr:rowOff>47624</xdr:rowOff>
    </xdr:to>
    <xdr:sp macro="" textlink="$M$4">
      <xdr:nvSpPr>
        <xdr:cNvPr id="6" name="Retângulo 5">
          <a:extLst>
            <a:ext uri="{FF2B5EF4-FFF2-40B4-BE49-F238E27FC236}">
              <a16:creationId xmlns:a16="http://schemas.microsoft.com/office/drawing/2014/main" id="{A8763B67-864C-4828-B6B7-9CED622F49DB}"/>
            </a:ext>
          </a:extLst>
        </xdr:cNvPr>
        <xdr:cNvSpPr/>
      </xdr:nvSpPr>
      <xdr:spPr>
        <a:xfrm>
          <a:off x="14258927" y="552449"/>
          <a:ext cx="3286124" cy="2762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E7ABE673-AD27-4DBA-B4FE-B90381529BD6}" type="TxLink">
            <a:rPr lang="en-US" sz="1400" b="1" i="0" u="none" strike="noStrike">
              <a:solidFill>
                <a:schemeClr val="bg1"/>
              </a:solidFill>
              <a:latin typeface="Arial Black" panose="020B0A04020102020204" pitchFamily="34" charset="0"/>
              <a:cs typeface="Calibri"/>
            </a:rPr>
            <a:pPr algn="ctr"/>
            <a:t>Abastecimento</a:t>
          </a:fld>
          <a:endParaRPr lang="pt-BR" sz="1400" b="1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11</xdr:col>
      <xdr:colOff>676275</xdr:colOff>
      <xdr:row>39</xdr:row>
      <xdr:rowOff>47625</xdr:rowOff>
    </xdr:from>
    <xdr:to>
      <xdr:col>14</xdr:col>
      <xdr:colOff>209551</xdr:colOff>
      <xdr:row>43</xdr:row>
      <xdr:rowOff>114299</xdr:rowOff>
    </xdr:to>
    <xdr:sp macro="" textlink="">
      <xdr:nvSpPr>
        <xdr:cNvPr id="7" name="Retângulo: Cantos Arredondados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56B34C-238E-407C-8818-078B21945734}"/>
            </a:ext>
          </a:extLst>
        </xdr:cNvPr>
        <xdr:cNvSpPr/>
      </xdr:nvSpPr>
      <xdr:spPr>
        <a:xfrm>
          <a:off x="14258925" y="7543800"/>
          <a:ext cx="2562226" cy="828674"/>
        </a:xfrm>
        <a:prstGeom prst="round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3200">
              <a:latin typeface="Arial Black" panose="020B0A04020102020204" pitchFamily="34" charset="0"/>
            </a:rPr>
            <a:t>Menu</a:t>
          </a:r>
        </a:p>
      </xdr:txBody>
    </xdr:sp>
    <xdr:clientData/>
  </xdr:twoCellAnchor>
  <xdr:twoCellAnchor>
    <xdr:from>
      <xdr:col>11</xdr:col>
      <xdr:colOff>561976</xdr:colOff>
      <xdr:row>11</xdr:row>
      <xdr:rowOff>85725</xdr:rowOff>
    </xdr:from>
    <xdr:to>
      <xdr:col>14</xdr:col>
      <xdr:colOff>19051</xdr:colOff>
      <xdr:row>13</xdr:row>
      <xdr:rowOff>66675</xdr:rowOff>
    </xdr:to>
    <xdr:sp macro="" textlink="$I$13">
      <xdr:nvSpPr>
        <xdr:cNvPr id="8" name="Retângulo 7">
          <a:extLst>
            <a:ext uri="{FF2B5EF4-FFF2-40B4-BE49-F238E27FC236}">
              <a16:creationId xmlns:a16="http://schemas.microsoft.com/office/drawing/2014/main" id="{B60E46C7-F19A-42FF-87A1-6E780E775D93}"/>
            </a:ext>
          </a:extLst>
        </xdr:cNvPr>
        <xdr:cNvSpPr/>
      </xdr:nvSpPr>
      <xdr:spPr>
        <a:xfrm>
          <a:off x="14249401" y="2200275"/>
          <a:ext cx="2381250" cy="36195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solidFill>
                <a:schemeClr val="bg1"/>
              </a:solidFill>
              <a:latin typeface="Arial Black" panose="020B0A04020102020204" pitchFamily="34" charset="0"/>
            </a:rPr>
            <a:t>Entrada</a:t>
          </a:r>
          <a:r>
            <a:rPr lang="pt-BR" sz="1400" baseline="0">
              <a:solidFill>
                <a:schemeClr val="bg1"/>
              </a:solidFill>
              <a:latin typeface="Arial Black" panose="020B0A04020102020204" pitchFamily="34" charset="0"/>
            </a:rPr>
            <a:t> caixa</a:t>
          </a:r>
          <a:endParaRPr lang="pt-BR" sz="14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123825</xdr:rowOff>
    </xdr:from>
    <xdr:to>
      <xdr:col>3</xdr:col>
      <xdr:colOff>85725</xdr:colOff>
      <xdr:row>3</xdr:row>
      <xdr:rowOff>85725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F653A7-8CD1-44ED-9CB9-172177B087F3}"/>
            </a:ext>
          </a:extLst>
        </xdr:cNvPr>
        <xdr:cNvSpPr/>
      </xdr:nvSpPr>
      <xdr:spPr>
        <a:xfrm>
          <a:off x="619125" y="123825"/>
          <a:ext cx="3600450" cy="55245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latin typeface="Arial Black" panose="020B0A04020102020204" pitchFamily="34" charset="0"/>
            </a:rPr>
            <a:t>Melhor</a:t>
          </a:r>
          <a:r>
            <a:rPr lang="en-US" sz="2000" baseline="0">
              <a:latin typeface="Arial Black" panose="020B0A04020102020204" pitchFamily="34" charset="0"/>
            </a:rPr>
            <a:t> gás</a:t>
          </a:r>
          <a:endParaRPr lang="en-US" sz="2000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7</xdr:col>
      <xdr:colOff>714375</xdr:colOff>
      <xdr:row>2</xdr:row>
      <xdr:rowOff>66675</xdr:rowOff>
    </xdr:from>
    <xdr:to>
      <xdr:col>11</xdr:col>
      <xdr:colOff>28575</xdr:colOff>
      <xdr:row>4</xdr:row>
      <xdr:rowOff>28575</xdr:rowOff>
    </xdr:to>
    <xdr:sp macro="" textlink="$J$4">
      <xdr:nvSpPr>
        <xdr:cNvPr id="3" name="Retângulo 2">
          <a:extLst>
            <a:ext uri="{FF2B5EF4-FFF2-40B4-BE49-F238E27FC236}">
              <a16:creationId xmlns:a16="http://schemas.microsoft.com/office/drawing/2014/main" id="{D9A99167-17F0-4217-8E6D-1091842D0B77}"/>
            </a:ext>
          </a:extLst>
        </xdr:cNvPr>
        <xdr:cNvSpPr/>
      </xdr:nvSpPr>
      <xdr:spPr>
        <a:xfrm>
          <a:off x="10467975" y="457200"/>
          <a:ext cx="3248025" cy="3524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273BABBF-FC4C-40EC-8507-B05137E3707D}" type="TxLink">
            <a:rPr lang="en-US" sz="1400" b="1" i="0" u="none" strike="noStrike">
              <a:solidFill>
                <a:schemeClr val="bg1"/>
              </a:solidFill>
              <a:latin typeface="Arial Black" panose="020B0A04020102020204" pitchFamily="34" charset="0"/>
              <a:cs typeface="Calibri"/>
            </a:rPr>
            <a:pPr algn="ctr"/>
            <a:t>Estoque inicial</a:t>
          </a:fld>
          <a:endParaRPr lang="pt-BR" sz="1400" b="1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7</xdr:col>
      <xdr:colOff>733424</xdr:colOff>
      <xdr:row>11</xdr:row>
      <xdr:rowOff>76200</xdr:rowOff>
    </xdr:from>
    <xdr:to>
      <xdr:col>10</xdr:col>
      <xdr:colOff>9525</xdr:colOff>
      <xdr:row>13</xdr:row>
      <xdr:rowOff>57150</xdr:rowOff>
    </xdr:to>
    <xdr:sp macro="" textlink="$I$13">
      <xdr:nvSpPr>
        <xdr:cNvPr id="4" name="Retângulo 3">
          <a:extLst>
            <a:ext uri="{FF2B5EF4-FFF2-40B4-BE49-F238E27FC236}">
              <a16:creationId xmlns:a16="http://schemas.microsoft.com/office/drawing/2014/main" id="{FAD2AFA5-EB8E-40BD-B9A9-BFEF3089A8E9}"/>
            </a:ext>
          </a:extLst>
        </xdr:cNvPr>
        <xdr:cNvSpPr/>
      </xdr:nvSpPr>
      <xdr:spPr>
        <a:xfrm>
          <a:off x="10487024" y="2190750"/>
          <a:ext cx="2390776" cy="36195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9D7E5BDE-5ADD-4655-B0F8-498629E2789E}" type="TxLink">
            <a:rPr lang="en-US" sz="1400" b="0" i="0" u="none" strike="noStrike">
              <a:solidFill>
                <a:schemeClr val="bg1"/>
              </a:solidFill>
              <a:latin typeface="Arial Black" panose="020B0A04020102020204" pitchFamily="34" charset="0"/>
              <a:cs typeface="Calibri"/>
            </a:rPr>
            <a:pPr algn="ctr"/>
            <a:t>Saida de caixa</a:t>
          </a:fld>
          <a:endParaRPr lang="pt-BR" sz="14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7</xdr:col>
      <xdr:colOff>695325</xdr:colOff>
      <xdr:row>38</xdr:row>
      <xdr:rowOff>19050</xdr:rowOff>
    </xdr:from>
    <xdr:to>
      <xdr:col>11</xdr:col>
      <xdr:colOff>9525</xdr:colOff>
      <xdr:row>39</xdr:row>
      <xdr:rowOff>171450</xdr:rowOff>
    </xdr:to>
    <xdr:sp macro="" textlink="$I$40">
      <xdr:nvSpPr>
        <xdr:cNvPr id="5" name="Retângulo 4">
          <a:extLst>
            <a:ext uri="{FF2B5EF4-FFF2-40B4-BE49-F238E27FC236}">
              <a16:creationId xmlns:a16="http://schemas.microsoft.com/office/drawing/2014/main" id="{C429140A-5B96-4391-B0F3-8312A16A06BF}"/>
            </a:ext>
          </a:extLst>
        </xdr:cNvPr>
        <xdr:cNvSpPr/>
      </xdr:nvSpPr>
      <xdr:spPr>
        <a:xfrm>
          <a:off x="10448925" y="7324725"/>
          <a:ext cx="3248025" cy="3429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4F6BA73-4BAA-4F17-812D-B7437725F7F1}" type="TxLink">
            <a:rPr lang="en-US" sz="1400" b="1" i="0" u="none" strike="noStrike">
              <a:solidFill>
                <a:schemeClr val="bg1"/>
              </a:solidFill>
              <a:latin typeface="Arial Black" panose="020B0A04020102020204" pitchFamily="34" charset="0"/>
              <a:cs typeface="Calibri"/>
            </a:rPr>
            <a:pPr algn="ctr"/>
            <a:t>Estoque Final</a:t>
          </a:fld>
          <a:endParaRPr lang="pt-BR" sz="1400" b="1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11</xdr:col>
      <xdr:colOff>685802</xdr:colOff>
      <xdr:row>2</xdr:row>
      <xdr:rowOff>161924</xdr:rowOff>
    </xdr:from>
    <xdr:to>
      <xdr:col>15</xdr:col>
      <xdr:colOff>66676</xdr:colOff>
      <xdr:row>4</xdr:row>
      <xdr:rowOff>47624</xdr:rowOff>
    </xdr:to>
    <xdr:sp macro="" textlink="$M$4">
      <xdr:nvSpPr>
        <xdr:cNvPr id="6" name="Retângulo 5">
          <a:extLst>
            <a:ext uri="{FF2B5EF4-FFF2-40B4-BE49-F238E27FC236}">
              <a16:creationId xmlns:a16="http://schemas.microsoft.com/office/drawing/2014/main" id="{8D7CBCF6-D4AE-412A-989B-3B074D6AA4BD}"/>
            </a:ext>
          </a:extLst>
        </xdr:cNvPr>
        <xdr:cNvSpPr/>
      </xdr:nvSpPr>
      <xdr:spPr>
        <a:xfrm>
          <a:off x="14258927" y="552449"/>
          <a:ext cx="3286124" cy="2762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E7ABE673-AD27-4DBA-B4FE-B90381529BD6}" type="TxLink">
            <a:rPr lang="en-US" sz="1400" b="1" i="0" u="none" strike="noStrike">
              <a:solidFill>
                <a:schemeClr val="bg1"/>
              </a:solidFill>
              <a:latin typeface="Arial Black" panose="020B0A04020102020204" pitchFamily="34" charset="0"/>
              <a:cs typeface="Calibri"/>
            </a:rPr>
            <a:pPr algn="ctr"/>
            <a:t>Abastecimento</a:t>
          </a:fld>
          <a:endParaRPr lang="pt-BR" sz="1400" b="1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11</xdr:col>
      <xdr:colOff>676275</xdr:colOff>
      <xdr:row>39</xdr:row>
      <xdr:rowOff>47625</xdr:rowOff>
    </xdr:from>
    <xdr:to>
      <xdr:col>14</xdr:col>
      <xdr:colOff>209551</xdr:colOff>
      <xdr:row>43</xdr:row>
      <xdr:rowOff>114299</xdr:rowOff>
    </xdr:to>
    <xdr:sp macro="" textlink="">
      <xdr:nvSpPr>
        <xdr:cNvPr id="7" name="Retângulo: Cantos Arredondados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CA8BE9-4AD6-47F0-9537-4603E40B3CDE}"/>
            </a:ext>
          </a:extLst>
        </xdr:cNvPr>
        <xdr:cNvSpPr/>
      </xdr:nvSpPr>
      <xdr:spPr>
        <a:xfrm>
          <a:off x="14258925" y="7543800"/>
          <a:ext cx="2562226" cy="828674"/>
        </a:xfrm>
        <a:prstGeom prst="round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3200">
              <a:latin typeface="Arial Black" panose="020B0A04020102020204" pitchFamily="34" charset="0"/>
            </a:rPr>
            <a:t>Menu</a:t>
          </a:r>
        </a:p>
      </xdr:txBody>
    </xdr:sp>
    <xdr:clientData/>
  </xdr:twoCellAnchor>
  <xdr:twoCellAnchor>
    <xdr:from>
      <xdr:col>11</xdr:col>
      <xdr:colOff>561976</xdr:colOff>
      <xdr:row>11</xdr:row>
      <xdr:rowOff>85725</xdr:rowOff>
    </xdr:from>
    <xdr:to>
      <xdr:col>14</xdr:col>
      <xdr:colOff>19051</xdr:colOff>
      <xdr:row>13</xdr:row>
      <xdr:rowOff>66675</xdr:rowOff>
    </xdr:to>
    <xdr:sp macro="" textlink="$I$13">
      <xdr:nvSpPr>
        <xdr:cNvPr id="8" name="Retângulo 7">
          <a:extLst>
            <a:ext uri="{FF2B5EF4-FFF2-40B4-BE49-F238E27FC236}">
              <a16:creationId xmlns:a16="http://schemas.microsoft.com/office/drawing/2014/main" id="{77ECE334-FB9E-4190-ADB4-6C7446859DEE}"/>
            </a:ext>
          </a:extLst>
        </xdr:cNvPr>
        <xdr:cNvSpPr/>
      </xdr:nvSpPr>
      <xdr:spPr>
        <a:xfrm>
          <a:off x="14249401" y="2200275"/>
          <a:ext cx="2381250" cy="36195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solidFill>
                <a:schemeClr val="bg1"/>
              </a:solidFill>
              <a:latin typeface="Arial Black" panose="020B0A04020102020204" pitchFamily="34" charset="0"/>
            </a:rPr>
            <a:t>Entrada</a:t>
          </a:r>
          <a:r>
            <a:rPr lang="pt-BR" sz="1400" baseline="0">
              <a:solidFill>
                <a:schemeClr val="bg1"/>
              </a:solidFill>
              <a:latin typeface="Arial Black" panose="020B0A04020102020204" pitchFamily="34" charset="0"/>
            </a:rPr>
            <a:t> caixa</a:t>
          </a:r>
          <a:endParaRPr lang="pt-BR" sz="14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123825</xdr:rowOff>
    </xdr:from>
    <xdr:to>
      <xdr:col>3</xdr:col>
      <xdr:colOff>85725</xdr:colOff>
      <xdr:row>3</xdr:row>
      <xdr:rowOff>85725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C3A53B-BD69-4B83-9CA0-69F5A15D7D4B}"/>
            </a:ext>
          </a:extLst>
        </xdr:cNvPr>
        <xdr:cNvSpPr/>
      </xdr:nvSpPr>
      <xdr:spPr>
        <a:xfrm>
          <a:off x="619125" y="123825"/>
          <a:ext cx="3600450" cy="55245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latin typeface="Arial Black" panose="020B0A04020102020204" pitchFamily="34" charset="0"/>
            </a:rPr>
            <a:t>Melhor</a:t>
          </a:r>
          <a:r>
            <a:rPr lang="en-US" sz="2000" baseline="0">
              <a:latin typeface="Arial Black" panose="020B0A04020102020204" pitchFamily="34" charset="0"/>
            </a:rPr>
            <a:t> gás</a:t>
          </a:r>
          <a:endParaRPr lang="en-US" sz="2000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7</xdr:col>
      <xdr:colOff>714375</xdr:colOff>
      <xdr:row>2</xdr:row>
      <xdr:rowOff>66675</xdr:rowOff>
    </xdr:from>
    <xdr:to>
      <xdr:col>11</xdr:col>
      <xdr:colOff>28575</xdr:colOff>
      <xdr:row>4</xdr:row>
      <xdr:rowOff>28575</xdr:rowOff>
    </xdr:to>
    <xdr:sp macro="" textlink="$J$4">
      <xdr:nvSpPr>
        <xdr:cNvPr id="3" name="Retângulo 2">
          <a:extLst>
            <a:ext uri="{FF2B5EF4-FFF2-40B4-BE49-F238E27FC236}">
              <a16:creationId xmlns:a16="http://schemas.microsoft.com/office/drawing/2014/main" id="{B7E7BDFB-ACDC-489A-9F88-13991135055B}"/>
            </a:ext>
          </a:extLst>
        </xdr:cNvPr>
        <xdr:cNvSpPr/>
      </xdr:nvSpPr>
      <xdr:spPr>
        <a:xfrm>
          <a:off x="10467975" y="457200"/>
          <a:ext cx="3248025" cy="3524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273BABBF-FC4C-40EC-8507-B05137E3707D}" type="TxLink">
            <a:rPr lang="en-US" sz="1400" b="1" i="0" u="none" strike="noStrike">
              <a:solidFill>
                <a:schemeClr val="bg1"/>
              </a:solidFill>
              <a:latin typeface="Arial Black" panose="020B0A04020102020204" pitchFamily="34" charset="0"/>
              <a:cs typeface="Calibri"/>
            </a:rPr>
            <a:pPr algn="ctr"/>
            <a:t>Estoque inicial</a:t>
          </a:fld>
          <a:endParaRPr lang="pt-BR" sz="1400" b="1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7</xdr:col>
      <xdr:colOff>733424</xdr:colOff>
      <xdr:row>11</xdr:row>
      <xdr:rowOff>76200</xdr:rowOff>
    </xdr:from>
    <xdr:to>
      <xdr:col>10</xdr:col>
      <xdr:colOff>9525</xdr:colOff>
      <xdr:row>13</xdr:row>
      <xdr:rowOff>57150</xdr:rowOff>
    </xdr:to>
    <xdr:sp macro="" textlink="$I$13">
      <xdr:nvSpPr>
        <xdr:cNvPr id="4" name="Retângulo 3">
          <a:extLst>
            <a:ext uri="{FF2B5EF4-FFF2-40B4-BE49-F238E27FC236}">
              <a16:creationId xmlns:a16="http://schemas.microsoft.com/office/drawing/2014/main" id="{C4F85582-F9B7-4116-93EA-465E80A6F4E3}"/>
            </a:ext>
          </a:extLst>
        </xdr:cNvPr>
        <xdr:cNvSpPr/>
      </xdr:nvSpPr>
      <xdr:spPr>
        <a:xfrm>
          <a:off x="10487024" y="2190750"/>
          <a:ext cx="2390776" cy="36195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9D7E5BDE-5ADD-4655-B0F8-498629E2789E}" type="TxLink">
            <a:rPr lang="en-US" sz="1400" b="0" i="0" u="none" strike="noStrike">
              <a:solidFill>
                <a:schemeClr val="bg1"/>
              </a:solidFill>
              <a:latin typeface="Arial Black" panose="020B0A04020102020204" pitchFamily="34" charset="0"/>
              <a:cs typeface="Calibri"/>
            </a:rPr>
            <a:pPr algn="ctr"/>
            <a:t>Saida de caixa</a:t>
          </a:fld>
          <a:endParaRPr lang="pt-BR" sz="14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7</xdr:col>
      <xdr:colOff>695325</xdr:colOff>
      <xdr:row>38</xdr:row>
      <xdr:rowOff>19050</xdr:rowOff>
    </xdr:from>
    <xdr:to>
      <xdr:col>11</xdr:col>
      <xdr:colOff>9525</xdr:colOff>
      <xdr:row>39</xdr:row>
      <xdr:rowOff>171450</xdr:rowOff>
    </xdr:to>
    <xdr:sp macro="" textlink="$I$40">
      <xdr:nvSpPr>
        <xdr:cNvPr id="5" name="Retângulo 4">
          <a:extLst>
            <a:ext uri="{FF2B5EF4-FFF2-40B4-BE49-F238E27FC236}">
              <a16:creationId xmlns:a16="http://schemas.microsoft.com/office/drawing/2014/main" id="{D717DAE4-6673-46B0-8AD8-A60F57BE72FB}"/>
            </a:ext>
          </a:extLst>
        </xdr:cNvPr>
        <xdr:cNvSpPr/>
      </xdr:nvSpPr>
      <xdr:spPr>
        <a:xfrm>
          <a:off x="10448925" y="7324725"/>
          <a:ext cx="3248025" cy="3429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4F6BA73-4BAA-4F17-812D-B7437725F7F1}" type="TxLink">
            <a:rPr lang="en-US" sz="1400" b="1" i="0" u="none" strike="noStrike">
              <a:solidFill>
                <a:schemeClr val="bg1"/>
              </a:solidFill>
              <a:latin typeface="Arial Black" panose="020B0A04020102020204" pitchFamily="34" charset="0"/>
              <a:cs typeface="Calibri"/>
            </a:rPr>
            <a:pPr algn="ctr"/>
            <a:t>Estoque Final</a:t>
          </a:fld>
          <a:endParaRPr lang="pt-BR" sz="1400" b="1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11</xdr:col>
      <xdr:colOff>685802</xdr:colOff>
      <xdr:row>2</xdr:row>
      <xdr:rowOff>161924</xdr:rowOff>
    </xdr:from>
    <xdr:to>
      <xdr:col>15</xdr:col>
      <xdr:colOff>66676</xdr:colOff>
      <xdr:row>4</xdr:row>
      <xdr:rowOff>47624</xdr:rowOff>
    </xdr:to>
    <xdr:sp macro="" textlink="$M$4">
      <xdr:nvSpPr>
        <xdr:cNvPr id="6" name="Retângulo 5">
          <a:extLst>
            <a:ext uri="{FF2B5EF4-FFF2-40B4-BE49-F238E27FC236}">
              <a16:creationId xmlns:a16="http://schemas.microsoft.com/office/drawing/2014/main" id="{03161B65-5841-429F-9B0D-44F5B56AF9F0}"/>
            </a:ext>
          </a:extLst>
        </xdr:cNvPr>
        <xdr:cNvSpPr/>
      </xdr:nvSpPr>
      <xdr:spPr>
        <a:xfrm>
          <a:off x="14258927" y="552449"/>
          <a:ext cx="3286124" cy="2762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E7ABE673-AD27-4DBA-B4FE-B90381529BD6}" type="TxLink">
            <a:rPr lang="en-US" sz="1400" b="1" i="0" u="none" strike="noStrike">
              <a:solidFill>
                <a:schemeClr val="bg1"/>
              </a:solidFill>
              <a:latin typeface="Arial Black" panose="020B0A04020102020204" pitchFamily="34" charset="0"/>
              <a:cs typeface="Calibri"/>
            </a:rPr>
            <a:pPr algn="ctr"/>
            <a:t>Abastecimento</a:t>
          </a:fld>
          <a:endParaRPr lang="pt-BR" sz="1400" b="1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11</xdr:col>
      <xdr:colOff>676275</xdr:colOff>
      <xdr:row>39</xdr:row>
      <xdr:rowOff>47625</xdr:rowOff>
    </xdr:from>
    <xdr:to>
      <xdr:col>14</xdr:col>
      <xdr:colOff>209551</xdr:colOff>
      <xdr:row>43</xdr:row>
      <xdr:rowOff>114299</xdr:rowOff>
    </xdr:to>
    <xdr:sp macro="" textlink="">
      <xdr:nvSpPr>
        <xdr:cNvPr id="7" name="Retângulo: Cantos Arredondados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7AA0BC-EE39-4862-A405-7709F2CAFC43}"/>
            </a:ext>
          </a:extLst>
        </xdr:cNvPr>
        <xdr:cNvSpPr/>
      </xdr:nvSpPr>
      <xdr:spPr>
        <a:xfrm>
          <a:off x="14258925" y="7543800"/>
          <a:ext cx="2562226" cy="828674"/>
        </a:xfrm>
        <a:prstGeom prst="round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3200">
              <a:latin typeface="Arial Black" panose="020B0A04020102020204" pitchFamily="34" charset="0"/>
            </a:rPr>
            <a:t>Menu</a:t>
          </a:r>
        </a:p>
      </xdr:txBody>
    </xdr:sp>
    <xdr:clientData/>
  </xdr:twoCellAnchor>
  <xdr:twoCellAnchor>
    <xdr:from>
      <xdr:col>11</xdr:col>
      <xdr:colOff>561976</xdr:colOff>
      <xdr:row>11</xdr:row>
      <xdr:rowOff>85725</xdr:rowOff>
    </xdr:from>
    <xdr:to>
      <xdr:col>14</xdr:col>
      <xdr:colOff>19051</xdr:colOff>
      <xdr:row>13</xdr:row>
      <xdr:rowOff>66675</xdr:rowOff>
    </xdr:to>
    <xdr:sp macro="" textlink="$I$13">
      <xdr:nvSpPr>
        <xdr:cNvPr id="8" name="Retângulo 7">
          <a:extLst>
            <a:ext uri="{FF2B5EF4-FFF2-40B4-BE49-F238E27FC236}">
              <a16:creationId xmlns:a16="http://schemas.microsoft.com/office/drawing/2014/main" id="{181BE4B7-0052-48CC-AB11-122A6BB79636}"/>
            </a:ext>
          </a:extLst>
        </xdr:cNvPr>
        <xdr:cNvSpPr/>
      </xdr:nvSpPr>
      <xdr:spPr>
        <a:xfrm>
          <a:off x="14249401" y="2200275"/>
          <a:ext cx="2381250" cy="36195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solidFill>
                <a:schemeClr val="bg1"/>
              </a:solidFill>
              <a:latin typeface="Arial Black" panose="020B0A04020102020204" pitchFamily="34" charset="0"/>
            </a:rPr>
            <a:t>Entrada</a:t>
          </a:r>
          <a:r>
            <a:rPr lang="pt-BR" sz="1400" baseline="0">
              <a:solidFill>
                <a:schemeClr val="bg1"/>
              </a:solidFill>
              <a:latin typeface="Arial Black" panose="020B0A04020102020204" pitchFamily="34" charset="0"/>
            </a:rPr>
            <a:t> caixa</a:t>
          </a:r>
          <a:endParaRPr lang="pt-BR" sz="14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123825</xdr:rowOff>
    </xdr:from>
    <xdr:to>
      <xdr:col>3</xdr:col>
      <xdr:colOff>85725</xdr:colOff>
      <xdr:row>3</xdr:row>
      <xdr:rowOff>85725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F31DEF-4594-4137-9867-C7B5CCC52E4C}"/>
            </a:ext>
          </a:extLst>
        </xdr:cNvPr>
        <xdr:cNvSpPr/>
      </xdr:nvSpPr>
      <xdr:spPr>
        <a:xfrm>
          <a:off x="619125" y="123825"/>
          <a:ext cx="3600450" cy="55245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latin typeface="Arial Black" panose="020B0A04020102020204" pitchFamily="34" charset="0"/>
            </a:rPr>
            <a:t>Melhor</a:t>
          </a:r>
          <a:r>
            <a:rPr lang="en-US" sz="2000" baseline="0">
              <a:latin typeface="Arial Black" panose="020B0A04020102020204" pitchFamily="34" charset="0"/>
            </a:rPr>
            <a:t> gás</a:t>
          </a:r>
          <a:endParaRPr lang="en-US" sz="2000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7</xdr:col>
      <xdr:colOff>714375</xdr:colOff>
      <xdr:row>2</xdr:row>
      <xdr:rowOff>66675</xdr:rowOff>
    </xdr:from>
    <xdr:to>
      <xdr:col>11</xdr:col>
      <xdr:colOff>28575</xdr:colOff>
      <xdr:row>4</xdr:row>
      <xdr:rowOff>28575</xdr:rowOff>
    </xdr:to>
    <xdr:sp macro="" textlink="$J$4">
      <xdr:nvSpPr>
        <xdr:cNvPr id="3" name="Retângulo 2">
          <a:extLst>
            <a:ext uri="{FF2B5EF4-FFF2-40B4-BE49-F238E27FC236}">
              <a16:creationId xmlns:a16="http://schemas.microsoft.com/office/drawing/2014/main" id="{AF4413AC-D284-478B-BD7A-E57944139A1A}"/>
            </a:ext>
          </a:extLst>
        </xdr:cNvPr>
        <xdr:cNvSpPr/>
      </xdr:nvSpPr>
      <xdr:spPr>
        <a:xfrm>
          <a:off x="10467975" y="457200"/>
          <a:ext cx="3248025" cy="3524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273BABBF-FC4C-40EC-8507-B05137E3707D}" type="TxLink">
            <a:rPr lang="en-US" sz="1400" b="1" i="0" u="none" strike="noStrike">
              <a:solidFill>
                <a:schemeClr val="bg1"/>
              </a:solidFill>
              <a:latin typeface="Arial Black" panose="020B0A04020102020204" pitchFamily="34" charset="0"/>
              <a:cs typeface="Calibri"/>
            </a:rPr>
            <a:pPr algn="ctr"/>
            <a:t>Estoque inicial</a:t>
          </a:fld>
          <a:endParaRPr lang="pt-BR" sz="1400" b="1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7</xdr:col>
      <xdr:colOff>733424</xdr:colOff>
      <xdr:row>11</xdr:row>
      <xdr:rowOff>76200</xdr:rowOff>
    </xdr:from>
    <xdr:to>
      <xdr:col>10</xdr:col>
      <xdr:colOff>9525</xdr:colOff>
      <xdr:row>13</xdr:row>
      <xdr:rowOff>57150</xdr:rowOff>
    </xdr:to>
    <xdr:sp macro="" textlink="$I$13">
      <xdr:nvSpPr>
        <xdr:cNvPr id="4" name="Retângulo 3">
          <a:extLst>
            <a:ext uri="{FF2B5EF4-FFF2-40B4-BE49-F238E27FC236}">
              <a16:creationId xmlns:a16="http://schemas.microsoft.com/office/drawing/2014/main" id="{449120FC-D6A8-417B-B84D-22C561420368}"/>
            </a:ext>
          </a:extLst>
        </xdr:cNvPr>
        <xdr:cNvSpPr/>
      </xdr:nvSpPr>
      <xdr:spPr>
        <a:xfrm>
          <a:off x="10487024" y="2190750"/>
          <a:ext cx="2390776" cy="36195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9D7E5BDE-5ADD-4655-B0F8-498629E2789E}" type="TxLink">
            <a:rPr lang="en-US" sz="1400" b="0" i="0" u="none" strike="noStrike">
              <a:solidFill>
                <a:schemeClr val="bg1"/>
              </a:solidFill>
              <a:latin typeface="Arial Black" panose="020B0A04020102020204" pitchFamily="34" charset="0"/>
              <a:cs typeface="Calibri"/>
            </a:rPr>
            <a:pPr algn="ctr"/>
            <a:t>Saida de caixa</a:t>
          </a:fld>
          <a:endParaRPr lang="pt-BR" sz="14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7</xdr:col>
      <xdr:colOff>695325</xdr:colOff>
      <xdr:row>38</xdr:row>
      <xdr:rowOff>19050</xdr:rowOff>
    </xdr:from>
    <xdr:to>
      <xdr:col>11</xdr:col>
      <xdr:colOff>9525</xdr:colOff>
      <xdr:row>39</xdr:row>
      <xdr:rowOff>171450</xdr:rowOff>
    </xdr:to>
    <xdr:sp macro="" textlink="$I$40">
      <xdr:nvSpPr>
        <xdr:cNvPr id="5" name="Retângulo 4">
          <a:extLst>
            <a:ext uri="{FF2B5EF4-FFF2-40B4-BE49-F238E27FC236}">
              <a16:creationId xmlns:a16="http://schemas.microsoft.com/office/drawing/2014/main" id="{01DD9420-43C1-41BC-B6AA-0B814E914971}"/>
            </a:ext>
          </a:extLst>
        </xdr:cNvPr>
        <xdr:cNvSpPr/>
      </xdr:nvSpPr>
      <xdr:spPr>
        <a:xfrm>
          <a:off x="10448925" y="7324725"/>
          <a:ext cx="3248025" cy="3429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4F6BA73-4BAA-4F17-812D-B7437725F7F1}" type="TxLink">
            <a:rPr lang="en-US" sz="1400" b="1" i="0" u="none" strike="noStrike">
              <a:solidFill>
                <a:schemeClr val="bg1"/>
              </a:solidFill>
              <a:latin typeface="Arial Black" panose="020B0A04020102020204" pitchFamily="34" charset="0"/>
              <a:cs typeface="Calibri"/>
            </a:rPr>
            <a:pPr algn="ctr"/>
            <a:t>Estoque Final</a:t>
          </a:fld>
          <a:endParaRPr lang="pt-BR" sz="1400" b="1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11</xdr:col>
      <xdr:colOff>685802</xdr:colOff>
      <xdr:row>2</xdr:row>
      <xdr:rowOff>161924</xdr:rowOff>
    </xdr:from>
    <xdr:to>
      <xdr:col>15</xdr:col>
      <xdr:colOff>66676</xdr:colOff>
      <xdr:row>4</xdr:row>
      <xdr:rowOff>47624</xdr:rowOff>
    </xdr:to>
    <xdr:sp macro="" textlink="$M$4">
      <xdr:nvSpPr>
        <xdr:cNvPr id="6" name="Retângulo 5">
          <a:extLst>
            <a:ext uri="{FF2B5EF4-FFF2-40B4-BE49-F238E27FC236}">
              <a16:creationId xmlns:a16="http://schemas.microsoft.com/office/drawing/2014/main" id="{DF226800-4FAD-4421-8220-BAEF158B9A9B}"/>
            </a:ext>
          </a:extLst>
        </xdr:cNvPr>
        <xdr:cNvSpPr/>
      </xdr:nvSpPr>
      <xdr:spPr>
        <a:xfrm>
          <a:off x="14258927" y="552449"/>
          <a:ext cx="3286124" cy="2762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E7ABE673-AD27-4DBA-B4FE-B90381529BD6}" type="TxLink">
            <a:rPr lang="en-US" sz="1400" b="1" i="0" u="none" strike="noStrike">
              <a:solidFill>
                <a:schemeClr val="bg1"/>
              </a:solidFill>
              <a:latin typeface="Arial Black" panose="020B0A04020102020204" pitchFamily="34" charset="0"/>
              <a:cs typeface="Calibri"/>
            </a:rPr>
            <a:pPr algn="ctr"/>
            <a:t>Abastecimento</a:t>
          </a:fld>
          <a:endParaRPr lang="pt-BR" sz="1400" b="1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11</xdr:col>
      <xdr:colOff>676275</xdr:colOff>
      <xdr:row>39</xdr:row>
      <xdr:rowOff>47625</xdr:rowOff>
    </xdr:from>
    <xdr:to>
      <xdr:col>14</xdr:col>
      <xdr:colOff>209551</xdr:colOff>
      <xdr:row>43</xdr:row>
      <xdr:rowOff>114299</xdr:rowOff>
    </xdr:to>
    <xdr:sp macro="" textlink="">
      <xdr:nvSpPr>
        <xdr:cNvPr id="7" name="Retângulo: Cantos Arredondados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AC8A91-CD07-4A2E-9582-E506B25A147D}"/>
            </a:ext>
          </a:extLst>
        </xdr:cNvPr>
        <xdr:cNvSpPr/>
      </xdr:nvSpPr>
      <xdr:spPr>
        <a:xfrm>
          <a:off x="14258925" y="7543800"/>
          <a:ext cx="2562226" cy="828674"/>
        </a:xfrm>
        <a:prstGeom prst="round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3200">
              <a:latin typeface="Arial Black" panose="020B0A04020102020204" pitchFamily="34" charset="0"/>
            </a:rPr>
            <a:t>Menu</a:t>
          </a:r>
        </a:p>
      </xdr:txBody>
    </xdr:sp>
    <xdr:clientData/>
  </xdr:twoCellAnchor>
  <xdr:twoCellAnchor>
    <xdr:from>
      <xdr:col>11</xdr:col>
      <xdr:colOff>561976</xdr:colOff>
      <xdr:row>11</xdr:row>
      <xdr:rowOff>85725</xdr:rowOff>
    </xdr:from>
    <xdr:to>
      <xdr:col>14</xdr:col>
      <xdr:colOff>19051</xdr:colOff>
      <xdr:row>13</xdr:row>
      <xdr:rowOff>66675</xdr:rowOff>
    </xdr:to>
    <xdr:sp macro="" textlink="$I$13">
      <xdr:nvSpPr>
        <xdr:cNvPr id="8" name="Retângulo 7">
          <a:extLst>
            <a:ext uri="{FF2B5EF4-FFF2-40B4-BE49-F238E27FC236}">
              <a16:creationId xmlns:a16="http://schemas.microsoft.com/office/drawing/2014/main" id="{6384608F-29DD-4968-A5EF-5606E56A7577}"/>
            </a:ext>
          </a:extLst>
        </xdr:cNvPr>
        <xdr:cNvSpPr/>
      </xdr:nvSpPr>
      <xdr:spPr>
        <a:xfrm>
          <a:off x="14249401" y="2200275"/>
          <a:ext cx="2381250" cy="36195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solidFill>
                <a:schemeClr val="bg1"/>
              </a:solidFill>
              <a:latin typeface="Arial Black" panose="020B0A04020102020204" pitchFamily="34" charset="0"/>
            </a:rPr>
            <a:t>Entrada</a:t>
          </a:r>
          <a:r>
            <a:rPr lang="pt-BR" sz="1400" baseline="0">
              <a:solidFill>
                <a:schemeClr val="bg1"/>
              </a:solidFill>
              <a:latin typeface="Arial Black" panose="020B0A04020102020204" pitchFamily="34" charset="0"/>
            </a:rPr>
            <a:t> caixa</a:t>
          </a:r>
          <a:endParaRPr lang="pt-BR" sz="14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123825</xdr:rowOff>
    </xdr:from>
    <xdr:to>
      <xdr:col>3</xdr:col>
      <xdr:colOff>85725</xdr:colOff>
      <xdr:row>3</xdr:row>
      <xdr:rowOff>85725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1C29D9-DACE-478A-B68D-89ED59C37485}"/>
            </a:ext>
          </a:extLst>
        </xdr:cNvPr>
        <xdr:cNvSpPr/>
      </xdr:nvSpPr>
      <xdr:spPr>
        <a:xfrm>
          <a:off x="619125" y="123825"/>
          <a:ext cx="3600450" cy="55245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latin typeface="Arial Black" panose="020B0A04020102020204" pitchFamily="34" charset="0"/>
            </a:rPr>
            <a:t>Melhor</a:t>
          </a:r>
          <a:r>
            <a:rPr lang="en-US" sz="2000" baseline="0">
              <a:latin typeface="Arial Black" panose="020B0A04020102020204" pitchFamily="34" charset="0"/>
            </a:rPr>
            <a:t> gás</a:t>
          </a:r>
          <a:endParaRPr lang="en-US" sz="2000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7</xdr:col>
      <xdr:colOff>714375</xdr:colOff>
      <xdr:row>2</xdr:row>
      <xdr:rowOff>66675</xdr:rowOff>
    </xdr:from>
    <xdr:to>
      <xdr:col>11</xdr:col>
      <xdr:colOff>28575</xdr:colOff>
      <xdr:row>4</xdr:row>
      <xdr:rowOff>28575</xdr:rowOff>
    </xdr:to>
    <xdr:sp macro="" textlink="$J$4">
      <xdr:nvSpPr>
        <xdr:cNvPr id="3" name="Retângulo 2">
          <a:extLst>
            <a:ext uri="{FF2B5EF4-FFF2-40B4-BE49-F238E27FC236}">
              <a16:creationId xmlns:a16="http://schemas.microsoft.com/office/drawing/2014/main" id="{A91887BF-CB27-474F-B11F-0447397B443A}"/>
            </a:ext>
          </a:extLst>
        </xdr:cNvPr>
        <xdr:cNvSpPr/>
      </xdr:nvSpPr>
      <xdr:spPr>
        <a:xfrm>
          <a:off x="10467975" y="457200"/>
          <a:ext cx="3248025" cy="3524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273BABBF-FC4C-40EC-8507-B05137E3707D}" type="TxLink">
            <a:rPr lang="en-US" sz="1400" b="1" i="0" u="none" strike="noStrike">
              <a:solidFill>
                <a:schemeClr val="bg1"/>
              </a:solidFill>
              <a:latin typeface="Arial Black" panose="020B0A04020102020204" pitchFamily="34" charset="0"/>
              <a:cs typeface="Calibri"/>
            </a:rPr>
            <a:pPr algn="ctr"/>
            <a:t>Estoque inicial</a:t>
          </a:fld>
          <a:endParaRPr lang="pt-BR" sz="1400" b="1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7</xdr:col>
      <xdr:colOff>733424</xdr:colOff>
      <xdr:row>11</xdr:row>
      <xdr:rowOff>76200</xdr:rowOff>
    </xdr:from>
    <xdr:to>
      <xdr:col>10</xdr:col>
      <xdr:colOff>9525</xdr:colOff>
      <xdr:row>13</xdr:row>
      <xdr:rowOff>57150</xdr:rowOff>
    </xdr:to>
    <xdr:sp macro="" textlink="$I$13">
      <xdr:nvSpPr>
        <xdr:cNvPr id="4" name="Retângulo 3">
          <a:extLst>
            <a:ext uri="{FF2B5EF4-FFF2-40B4-BE49-F238E27FC236}">
              <a16:creationId xmlns:a16="http://schemas.microsoft.com/office/drawing/2014/main" id="{A02A6799-6673-4BFA-823E-AAAD63E81F34}"/>
            </a:ext>
          </a:extLst>
        </xdr:cNvPr>
        <xdr:cNvSpPr/>
      </xdr:nvSpPr>
      <xdr:spPr>
        <a:xfrm>
          <a:off x="10487024" y="2190750"/>
          <a:ext cx="2390776" cy="36195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9D7E5BDE-5ADD-4655-B0F8-498629E2789E}" type="TxLink">
            <a:rPr lang="en-US" sz="1400" b="0" i="0" u="none" strike="noStrike">
              <a:solidFill>
                <a:schemeClr val="bg1"/>
              </a:solidFill>
              <a:latin typeface="Arial Black" panose="020B0A04020102020204" pitchFamily="34" charset="0"/>
              <a:cs typeface="Calibri"/>
            </a:rPr>
            <a:pPr algn="ctr"/>
            <a:t>Saida de caixa</a:t>
          </a:fld>
          <a:endParaRPr lang="pt-BR" sz="14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7</xdr:col>
      <xdr:colOff>695325</xdr:colOff>
      <xdr:row>38</xdr:row>
      <xdr:rowOff>19050</xdr:rowOff>
    </xdr:from>
    <xdr:to>
      <xdr:col>11</xdr:col>
      <xdr:colOff>9525</xdr:colOff>
      <xdr:row>39</xdr:row>
      <xdr:rowOff>171450</xdr:rowOff>
    </xdr:to>
    <xdr:sp macro="" textlink="$I$40">
      <xdr:nvSpPr>
        <xdr:cNvPr id="5" name="Retângulo 4">
          <a:extLst>
            <a:ext uri="{FF2B5EF4-FFF2-40B4-BE49-F238E27FC236}">
              <a16:creationId xmlns:a16="http://schemas.microsoft.com/office/drawing/2014/main" id="{52A3486F-E54B-4EFF-8C0A-0486E9730026}"/>
            </a:ext>
          </a:extLst>
        </xdr:cNvPr>
        <xdr:cNvSpPr/>
      </xdr:nvSpPr>
      <xdr:spPr>
        <a:xfrm>
          <a:off x="10448925" y="7324725"/>
          <a:ext cx="3248025" cy="3429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4F6BA73-4BAA-4F17-812D-B7437725F7F1}" type="TxLink">
            <a:rPr lang="en-US" sz="1400" b="1" i="0" u="none" strike="noStrike">
              <a:solidFill>
                <a:schemeClr val="bg1"/>
              </a:solidFill>
              <a:latin typeface="Arial Black" panose="020B0A04020102020204" pitchFamily="34" charset="0"/>
              <a:cs typeface="Calibri"/>
            </a:rPr>
            <a:pPr algn="ctr"/>
            <a:t>Estoque Final</a:t>
          </a:fld>
          <a:endParaRPr lang="pt-BR" sz="1400" b="1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11</xdr:col>
      <xdr:colOff>685802</xdr:colOff>
      <xdr:row>2</xdr:row>
      <xdr:rowOff>161924</xdr:rowOff>
    </xdr:from>
    <xdr:to>
      <xdr:col>15</xdr:col>
      <xdr:colOff>66676</xdr:colOff>
      <xdr:row>4</xdr:row>
      <xdr:rowOff>47624</xdr:rowOff>
    </xdr:to>
    <xdr:sp macro="" textlink="$M$4">
      <xdr:nvSpPr>
        <xdr:cNvPr id="6" name="Retângulo 5">
          <a:extLst>
            <a:ext uri="{FF2B5EF4-FFF2-40B4-BE49-F238E27FC236}">
              <a16:creationId xmlns:a16="http://schemas.microsoft.com/office/drawing/2014/main" id="{364E506D-6933-4496-8BAF-B9CF5AA48E15}"/>
            </a:ext>
          </a:extLst>
        </xdr:cNvPr>
        <xdr:cNvSpPr/>
      </xdr:nvSpPr>
      <xdr:spPr>
        <a:xfrm>
          <a:off x="14258927" y="552449"/>
          <a:ext cx="3286124" cy="2762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E7ABE673-AD27-4DBA-B4FE-B90381529BD6}" type="TxLink">
            <a:rPr lang="en-US" sz="1400" b="1" i="0" u="none" strike="noStrike">
              <a:solidFill>
                <a:schemeClr val="bg1"/>
              </a:solidFill>
              <a:latin typeface="Arial Black" panose="020B0A04020102020204" pitchFamily="34" charset="0"/>
              <a:cs typeface="Calibri"/>
            </a:rPr>
            <a:pPr algn="ctr"/>
            <a:t>Abastecimento</a:t>
          </a:fld>
          <a:endParaRPr lang="pt-BR" sz="1400" b="1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11</xdr:col>
      <xdr:colOff>676275</xdr:colOff>
      <xdr:row>39</xdr:row>
      <xdr:rowOff>47625</xdr:rowOff>
    </xdr:from>
    <xdr:to>
      <xdr:col>14</xdr:col>
      <xdr:colOff>209551</xdr:colOff>
      <xdr:row>43</xdr:row>
      <xdr:rowOff>114299</xdr:rowOff>
    </xdr:to>
    <xdr:sp macro="" textlink="">
      <xdr:nvSpPr>
        <xdr:cNvPr id="7" name="Retângulo: Cantos Arredondados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1705F5C-4105-40A5-9C90-11B13C635362}"/>
            </a:ext>
          </a:extLst>
        </xdr:cNvPr>
        <xdr:cNvSpPr/>
      </xdr:nvSpPr>
      <xdr:spPr>
        <a:xfrm>
          <a:off x="14258925" y="7543800"/>
          <a:ext cx="2562226" cy="828674"/>
        </a:xfrm>
        <a:prstGeom prst="round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3200">
              <a:latin typeface="Arial Black" panose="020B0A04020102020204" pitchFamily="34" charset="0"/>
            </a:rPr>
            <a:t>Menu</a:t>
          </a:r>
        </a:p>
      </xdr:txBody>
    </xdr:sp>
    <xdr:clientData/>
  </xdr:twoCellAnchor>
  <xdr:twoCellAnchor>
    <xdr:from>
      <xdr:col>11</xdr:col>
      <xdr:colOff>561976</xdr:colOff>
      <xdr:row>11</xdr:row>
      <xdr:rowOff>85725</xdr:rowOff>
    </xdr:from>
    <xdr:to>
      <xdr:col>14</xdr:col>
      <xdr:colOff>19051</xdr:colOff>
      <xdr:row>13</xdr:row>
      <xdr:rowOff>66675</xdr:rowOff>
    </xdr:to>
    <xdr:sp macro="" textlink="$I$13">
      <xdr:nvSpPr>
        <xdr:cNvPr id="8" name="Retângulo 7">
          <a:extLst>
            <a:ext uri="{FF2B5EF4-FFF2-40B4-BE49-F238E27FC236}">
              <a16:creationId xmlns:a16="http://schemas.microsoft.com/office/drawing/2014/main" id="{8745353A-A403-4B8F-8AE6-54C88A552898}"/>
            </a:ext>
          </a:extLst>
        </xdr:cNvPr>
        <xdr:cNvSpPr/>
      </xdr:nvSpPr>
      <xdr:spPr>
        <a:xfrm>
          <a:off x="14249401" y="2200275"/>
          <a:ext cx="2381250" cy="36195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solidFill>
                <a:schemeClr val="bg1"/>
              </a:solidFill>
              <a:latin typeface="Arial Black" panose="020B0A04020102020204" pitchFamily="34" charset="0"/>
            </a:rPr>
            <a:t>Entrada</a:t>
          </a:r>
          <a:r>
            <a:rPr lang="pt-BR" sz="1400" baseline="0">
              <a:solidFill>
                <a:schemeClr val="bg1"/>
              </a:solidFill>
              <a:latin typeface="Arial Black" panose="020B0A04020102020204" pitchFamily="34" charset="0"/>
            </a:rPr>
            <a:t> caixa</a:t>
          </a:r>
          <a:endParaRPr lang="pt-BR" sz="14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123825</xdr:rowOff>
    </xdr:from>
    <xdr:to>
      <xdr:col>3</xdr:col>
      <xdr:colOff>85725</xdr:colOff>
      <xdr:row>3</xdr:row>
      <xdr:rowOff>85725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022A77-5DD5-46AA-8CD5-34F7DAEB80FB}"/>
            </a:ext>
          </a:extLst>
        </xdr:cNvPr>
        <xdr:cNvSpPr/>
      </xdr:nvSpPr>
      <xdr:spPr>
        <a:xfrm>
          <a:off x="619125" y="123825"/>
          <a:ext cx="3600450" cy="55245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latin typeface="Arial Black" panose="020B0A04020102020204" pitchFamily="34" charset="0"/>
            </a:rPr>
            <a:t>Melhor</a:t>
          </a:r>
          <a:r>
            <a:rPr lang="en-US" sz="2000" baseline="0">
              <a:latin typeface="Arial Black" panose="020B0A04020102020204" pitchFamily="34" charset="0"/>
            </a:rPr>
            <a:t> gás</a:t>
          </a:r>
          <a:endParaRPr lang="en-US" sz="2000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7</xdr:col>
      <xdr:colOff>714375</xdr:colOff>
      <xdr:row>2</xdr:row>
      <xdr:rowOff>66675</xdr:rowOff>
    </xdr:from>
    <xdr:to>
      <xdr:col>11</xdr:col>
      <xdr:colOff>28575</xdr:colOff>
      <xdr:row>4</xdr:row>
      <xdr:rowOff>28575</xdr:rowOff>
    </xdr:to>
    <xdr:sp macro="" textlink="$J$4">
      <xdr:nvSpPr>
        <xdr:cNvPr id="3" name="Retângulo 2">
          <a:extLst>
            <a:ext uri="{FF2B5EF4-FFF2-40B4-BE49-F238E27FC236}">
              <a16:creationId xmlns:a16="http://schemas.microsoft.com/office/drawing/2014/main" id="{8FF394B4-182B-4B4C-A346-F9C57C32BE94}"/>
            </a:ext>
          </a:extLst>
        </xdr:cNvPr>
        <xdr:cNvSpPr/>
      </xdr:nvSpPr>
      <xdr:spPr>
        <a:xfrm>
          <a:off x="10467975" y="457200"/>
          <a:ext cx="3248025" cy="3524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273BABBF-FC4C-40EC-8507-B05137E3707D}" type="TxLink">
            <a:rPr lang="en-US" sz="1400" b="1" i="0" u="none" strike="noStrike">
              <a:solidFill>
                <a:schemeClr val="bg1"/>
              </a:solidFill>
              <a:latin typeface="Arial Black" panose="020B0A04020102020204" pitchFamily="34" charset="0"/>
              <a:cs typeface="Calibri"/>
            </a:rPr>
            <a:pPr algn="ctr"/>
            <a:t>Estoque inicial</a:t>
          </a:fld>
          <a:endParaRPr lang="pt-BR" sz="1400" b="1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7</xdr:col>
      <xdr:colOff>733424</xdr:colOff>
      <xdr:row>11</xdr:row>
      <xdr:rowOff>76200</xdr:rowOff>
    </xdr:from>
    <xdr:to>
      <xdr:col>10</xdr:col>
      <xdr:colOff>9525</xdr:colOff>
      <xdr:row>13</xdr:row>
      <xdr:rowOff>57150</xdr:rowOff>
    </xdr:to>
    <xdr:sp macro="" textlink="$I$13">
      <xdr:nvSpPr>
        <xdr:cNvPr id="4" name="Retângulo 3">
          <a:extLst>
            <a:ext uri="{FF2B5EF4-FFF2-40B4-BE49-F238E27FC236}">
              <a16:creationId xmlns:a16="http://schemas.microsoft.com/office/drawing/2014/main" id="{9E6E7700-956B-4829-8395-65C9C7DEB666}"/>
            </a:ext>
          </a:extLst>
        </xdr:cNvPr>
        <xdr:cNvSpPr/>
      </xdr:nvSpPr>
      <xdr:spPr>
        <a:xfrm>
          <a:off x="10487024" y="2190750"/>
          <a:ext cx="2390776" cy="36195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9D7E5BDE-5ADD-4655-B0F8-498629E2789E}" type="TxLink">
            <a:rPr lang="en-US" sz="1400" b="0" i="0" u="none" strike="noStrike">
              <a:solidFill>
                <a:schemeClr val="bg1"/>
              </a:solidFill>
              <a:latin typeface="Arial Black" panose="020B0A04020102020204" pitchFamily="34" charset="0"/>
              <a:cs typeface="Calibri"/>
            </a:rPr>
            <a:pPr algn="ctr"/>
            <a:t>Saida de caixa</a:t>
          </a:fld>
          <a:endParaRPr lang="pt-BR" sz="14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7</xdr:col>
      <xdr:colOff>695325</xdr:colOff>
      <xdr:row>38</xdr:row>
      <xdr:rowOff>19050</xdr:rowOff>
    </xdr:from>
    <xdr:to>
      <xdr:col>11</xdr:col>
      <xdr:colOff>9525</xdr:colOff>
      <xdr:row>39</xdr:row>
      <xdr:rowOff>171450</xdr:rowOff>
    </xdr:to>
    <xdr:sp macro="" textlink="$I$40">
      <xdr:nvSpPr>
        <xdr:cNvPr id="5" name="Retângulo 4">
          <a:extLst>
            <a:ext uri="{FF2B5EF4-FFF2-40B4-BE49-F238E27FC236}">
              <a16:creationId xmlns:a16="http://schemas.microsoft.com/office/drawing/2014/main" id="{CF5B976C-0FB7-4F9E-9DB3-F77221E98A33}"/>
            </a:ext>
          </a:extLst>
        </xdr:cNvPr>
        <xdr:cNvSpPr/>
      </xdr:nvSpPr>
      <xdr:spPr>
        <a:xfrm>
          <a:off x="10448925" y="7324725"/>
          <a:ext cx="3248025" cy="3429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4F6BA73-4BAA-4F17-812D-B7437725F7F1}" type="TxLink">
            <a:rPr lang="en-US" sz="1400" b="1" i="0" u="none" strike="noStrike">
              <a:solidFill>
                <a:schemeClr val="bg1"/>
              </a:solidFill>
              <a:latin typeface="Arial Black" panose="020B0A04020102020204" pitchFamily="34" charset="0"/>
              <a:cs typeface="Calibri"/>
            </a:rPr>
            <a:pPr algn="ctr"/>
            <a:t>Estoque Final</a:t>
          </a:fld>
          <a:endParaRPr lang="pt-BR" sz="1400" b="1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11</xdr:col>
      <xdr:colOff>685802</xdr:colOff>
      <xdr:row>2</xdr:row>
      <xdr:rowOff>161924</xdr:rowOff>
    </xdr:from>
    <xdr:to>
      <xdr:col>15</xdr:col>
      <xdr:colOff>66676</xdr:colOff>
      <xdr:row>4</xdr:row>
      <xdr:rowOff>47624</xdr:rowOff>
    </xdr:to>
    <xdr:sp macro="" textlink="$M$4">
      <xdr:nvSpPr>
        <xdr:cNvPr id="6" name="Retângulo 5">
          <a:extLst>
            <a:ext uri="{FF2B5EF4-FFF2-40B4-BE49-F238E27FC236}">
              <a16:creationId xmlns:a16="http://schemas.microsoft.com/office/drawing/2014/main" id="{D875CFCF-953B-4EA3-A0F3-EE367EE988A2}"/>
            </a:ext>
          </a:extLst>
        </xdr:cNvPr>
        <xdr:cNvSpPr/>
      </xdr:nvSpPr>
      <xdr:spPr>
        <a:xfrm>
          <a:off x="14258927" y="552449"/>
          <a:ext cx="3286124" cy="2762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E7ABE673-AD27-4DBA-B4FE-B90381529BD6}" type="TxLink">
            <a:rPr lang="en-US" sz="1400" b="1" i="0" u="none" strike="noStrike">
              <a:solidFill>
                <a:schemeClr val="bg1"/>
              </a:solidFill>
              <a:latin typeface="Arial Black" panose="020B0A04020102020204" pitchFamily="34" charset="0"/>
              <a:cs typeface="Calibri"/>
            </a:rPr>
            <a:pPr algn="ctr"/>
            <a:t>Abastecimento</a:t>
          </a:fld>
          <a:endParaRPr lang="pt-BR" sz="1400" b="1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11</xdr:col>
      <xdr:colOff>676275</xdr:colOff>
      <xdr:row>39</xdr:row>
      <xdr:rowOff>47625</xdr:rowOff>
    </xdr:from>
    <xdr:to>
      <xdr:col>14</xdr:col>
      <xdr:colOff>209551</xdr:colOff>
      <xdr:row>43</xdr:row>
      <xdr:rowOff>114299</xdr:rowOff>
    </xdr:to>
    <xdr:sp macro="" textlink="">
      <xdr:nvSpPr>
        <xdr:cNvPr id="7" name="Retângulo: Cantos Arredondados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35CF73-65F9-4E28-98D5-5CE3E1B122AA}"/>
            </a:ext>
          </a:extLst>
        </xdr:cNvPr>
        <xdr:cNvSpPr/>
      </xdr:nvSpPr>
      <xdr:spPr>
        <a:xfrm>
          <a:off x="14258925" y="7543800"/>
          <a:ext cx="2562226" cy="828674"/>
        </a:xfrm>
        <a:prstGeom prst="round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3200">
              <a:latin typeface="Arial Black" panose="020B0A04020102020204" pitchFamily="34" charset="0"/>
            </a:rPr>
            <a:t>Menu</a:t>
          </a:r>
        </a:p>
      </xdr:txBody>
    </xdr:sp>
    <xdr:clientData/>
  </xdr:twoCellAnchor>
  <xdr:twoCellAnchor>
    <xdr:from>
      <xdr:col>11</xdr:col>
      <xdr:colOff>561976</xdr:colOff>
      <xdr:row>11</xdr:row>
      <xdr:rowOff>85725</xdr:rowOff>
    </xdr:from>
    <xdr:to>
      <xdr:col>14</xdr:col>
      <xdr:colOff>19051</xdr:colOff>
      <xdr:row>13</xdr:row>
      <xdr:rowOff>66675</xdr:rowOff>
    </xdr:to>
    <xdr:sp macro="" textlink="$I$13">
      <xdr:nvSpPr>
        <xdr:cNvPr id="8" name="Retângulo 7">
          <a:extLst>
            <a:ext uri="{FF2B5EF4-FFF2-40B4-BE49-F238E27FC236}">
              <a16:creationId xmlns:a16="http://schemas.microsoft.com/office/drawing/2014/main" id="{4A1FAA5B-7CDC-465B-AEE6-1E5C3DDC1828}"/>
            </a:ext>
          </a:extLst>
        </xdr:cNvPr>
        <xdr:cNvSpPr/>
      </xdr:nvSpPr>
      <xdr:spPr>
        <a:xfrm>
          <a:off x="14249401" y="2200275"/>
          <a:ext cx="2381250" cy="36195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solidFill>
                <a:schemeClr val="bg1"/>
              </a:solidFill>
              <a:latin typeface="Arial Black" panose="020B0A04020102020204" pitchFamily="34" charset="0"/>
            </a:rPr>
            <a:t>Entrada</a:t>
          </a:r>
          <a:r>
            <a:rPr lang="pt-BR" sz="1400" baseline="0">
              <a:solidFill>
                <a:schemeClr val="bg1"/>
              </a:solidFill>
              <a:latin typeface="Arial Black" panose="020B0A04020102020204" pitchFamily="34" charset="0"/>
            </a:rPr>
            <a:t> caixa</a:t>
          </a:r>
          <a:endParaRPr lang="pt-BR" sz="14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123825</xdr:rowOff>
    </xdr:from>
    <xdr:to>
      <xdr:col>3</xdr:col>
      <xdr:colOff>85725</xdr:colOff>
      <xdr:row>3</xdr:row>
      <xdr:rowOff>85725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38D637-A495-4019-9BF1-552710A09A27}"/>
            </a:ext>
          </a:extLst>
        </xdr:cNvPr>
        <xdr:cNvSpPr/>
      </xdr:nvSpPr>
      <xdr:spPr>
        <a:xfrm>
          <a:off x="619125" y="123825"/>
          <a:ext cx="3600450" cy="55245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latin typeface="Arial Black" panose="020B0A04020102020204" pitchFamily="34" charset="0"/>
            </a:rPr>
            <a:t>Melhor</a:t>
          </a:r>
          <a:r>
            <a:rPr lang="en-US" sz="2000" baseline="0">
              <a:latin typeface="Arial Black" panose="020B0A04020102020204" pitchFamily="34" charset="0"/>
            </a:rPr>
            <a:t> gás</a:t>
          </a:r>
          <a:endParaRPr lang="en-US" sz="2000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7</xdr:col>
      <xdr:colOff>714375</xdr:colOff>
      <xdr:row>2</xdr:row>
      <xdr:rowOff>66675</xdr:rowOff>
    </xdr:from>
    <xdr:to>
      <xdr:col>11</xdr:col>
      <xdr:colOff>28575</xdr:colOff>
      <xdr:row>4</xdr:row>
      <xdr:rowOff>28575</xdr:rowOff>
    </xdr:to>
    <xdr:sp macro="" textlink="$J$4">
      <xdr:nvSpPr>
        <xdr:cNvPr id="3" name="Retângulo 2">
          <a:extLst>
            <a:ext uri="{FF2B5EF4-FFF2-40B4-BE49-F238E27FC236}">
              <a16:creationId xmlns:a16="http://schemas.microsoft.com/office/drawing/2014/main" id="{51BAB2A3-2897-4781-82FE-09B9C321F030}"/>
            </a:ext>
          </a:extLst>
        </xdr:cNvPr>
        <xdr:cNvSpPr/>
      </xdr:nvSpPr>
      <xdr:spPr>
        <a:xfrm>
          <a:off x="10467975" y="457200"/>
          <a:ext cx="3248025" cy="3524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273BABBF-FC4C-40EC-8507-B05137E3707D}" type="TxLink">
            <a:rPr lang="en-US" sz="1400" b="1" i="0" u="none" strike="noStrike">
              <a:solidFill>
                <a:schemeClr val="bg1"/>
              </a:solidFill>
              <a:latin typeface="Arial Black" panose="020B0A04020102020204" pitchFamily="34" charset="0"/>
              <a:cs typeface="Calibri"/>
            </a:rPr>
            <a:pPr algn="ctr"/>
            <a:t>Estoque inicial</a:t>
          </a:fld>
          <a:endParaRPr lang="pt-BR" sz="1400" b="1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8</xdr:col>
      <xdr:colOff>9524</xdr:colOff>
      <xdr:row>11</xdr:row>
      <xdr:rowOff>66675</xdr:rowOff>
    </xdr:from>
    <xdr:to>
      <xdr:col>10</xdr:col>
      <xdr:colOff>38100</xdr:colOff>
      <xdr:row>13</xdr:row>
      <xdr:rowOff>47625</xdr:rowOff>
    </xdr:to>
    <xdr:sp macro="" textlink="$I$13">
      <xdr:nvSpPr>
        <xdr:cNvPr id="4" name="Retângulo 3">
          <a:extLst>
            <a:ext uri="{FF2B5EF4-FFF2-40B4-BE49-F238E27FC236}">
              <a16:creationId xmlns:a16="http://schemas.microsoft.com/office/drawing/2014/main" id="{48F80EE9-7CB7-41B7-93CA-C54D4E9EF9AF}"/>
            </a:ext>
          </a:extLst>
        </xdr:cNvPr>
        <xdr:cNvSpPr/>
      </xdr:nvSpPr>
      <xdr:spPr>
        <a:xfrm>
          <a:off x="10515599" y="2181225"/>
          <a:ext cx="2390776" cy="36195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9D7E5BDE-5ADD-4655-B0F8-498629E2789E}" type="TxLink">
            <a:rPr lang="en-US" sz="1400" b="0" i="0" u="none" strike="noStrike">
              <a:solidFill>
                <a:schemeClr val="bg1"/>
              </a:solidFill>
              <a:latin typeface="Arial Black" panose="020B0A04020102020204" pitchFamily="34" charset="0"/>
              <a:cs typeface="Calibri"/>
            </a:rPr>
            <a:pPr algn="ctr"/>
            <a:t>Saida de caixa</a:t>
          </a:fld>
          <a:endParaRPr lang="pt-BR" sz="14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7</xdr:col>
      <xdr:colOff>695325</xdr:colOff>
      <xdr:row>38</xdr:row>
      <xdr:rowOff>19050</xdr:rowOff>
    </xdr:from>
    <xdr:to>
      <xdr:col>11</xdr:col>
      <xdr:colOff>9525</xdr:colOff>
      <xdr:row>39</xdr:row>
      <xdr:rowOff>171450</xdr:rowOff>
    </xdr:to>
    <xdr:sp macro="" textlink="$I$40">
      <xdr:nvSpPr>
        <xdr:cNvPr id="5" name="Retângulo 4">
          <a:extLst>
            <a:ext uri="{FF2B5EF4-FFF2-40B4-BE49-F238E27FC236}">
              <a16:creationId xmlns:a16="http://schemas.microsoft.com/office/drawing/2014/main" id="{5C852803-C785-4EB2-9F06-B4BA941DD48D}"/>
            </a:ext>
          </a:extLst>
        </xdr:cNvPr>
        <xdr:cNvSpPr/>
      </xdr:nvSpPr>
      <xdr:spPr>
        <a:xfrm>
          <a:off x="10448925" y="7324725"/>
          <a:ext cx="3248025" cy="3429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4F6BA73-4BAA-4F17-812D-B7437725F7F1}" type="TxLink">
            <a:rPr lang="en-US" sz="1400" b="1" i="0" u="none" strike="noStrike">
              <a:solidFill>
                <a:schemeClr val="bg1"/>
              </a:solidFill>
              <a:latin typeface="Arial Black" panose="020B0A04020102020204" pitchFamily="34" charset="0"/>
              <a:cs typeface="Calibri"/>
            </a:rPr>
            <a:pPr algn="ctr"/>
            <a:t>Estoque Final</a:t>
          </a:fld>
          <a:endParaRPr lang="pt-BR" sz="1400" b="1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11</xdr:col>
      <xdr:colOff>685802</xdr:colOff>
      <xdr:row>2</xdr:row>
      <xdr:rowOff>161924</xdr:rowOff>
    </xdr:from>
    <xdr:to>
      <xdr:col>15</xdr:col>
      <xdr:colOff>66676</xdr:colOff>
      <xdr:row>4</xdr:row>
      <xdr:rowOff>47624</xdr:rowOff>
    </xdr:to>
    <xdr:sp macro="" textlink="$M$4">
      <xdr:nvSpPr>
        <xdr:cNvPr id="6" name="Retângulo 5">
          <a:extLst>
            <a:ext uri="{FF2B5EF4-FFF2-40B4-BE49-F238E27FC236}">
              <a16:creationId xmlns:a16="http://schemas.microsoft.com/office/drawing/2014/main" id="{B52E0D5B-736C-4AA9-AA58-041B0E76C397}"/>
            </a:ext>
          </a:extLst>
        </xdr:cNvPr>
        <xdr:cNvSpPr/>
      </xdr:nvSpPr>
      <xdr:spPr>
        <a:xfrm>
          <a:off x="14258927" y="552449"/>
          <a:ext cx="3286124" cy="2762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E7ABE673-AD27-4DBA-B4FE-B90381529BD6}" type="TxLink">
            <a:rPr lang="en-US" sz="1400" b="1" i="0" u="none" strike="noStrike">
              <a:solidFill>
                <a:schemeClr val="bg1"/>
              </a:solidFill>
              <a:latin typeface="Arial Black" panose="020B0A04020102020204" pitchFamily="34" charset="0"/>
              <a:cs typeface="Calibri"/>
            </a:rPr>
            <a:pPr algn="ctr"/>
            <a:t>Abastecimento</a:t>
          </a:fld>
          <a:endParaRPr lang="pt-BR" sz="1400" b="1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11</xdr:col>
      <xdr:colOff>676275</xdr:colOff>
      <xdr:row>39</xdr:row>
      <xdr:rowOff>47625</xdr:rowOff>
    </xdr:from>
    <xdr:to>
      <xdr:col>14</xdr:col>
      <xdr:colOff>209551</xdr:colOff>
      <xdr:row>43</xdr:row>
      <xdr:rowOff>114299</xdr:rowOff>
    </xdr:to>
    <xdr:sp macro="" textlink="">
      <xdr:nvSpPr>
        <xdr:cNvPr id="7" name="Retângulo: Cantos Arredondados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208A6B-D513-4C49-A4A9-ECC33421A0D1}"/>
            </a:ext>
          </a:extLst>
        </xdr:cNvPr>
        <xdr:cNvSpPr/>
      </xdr:nvSpPr>
      <xdr:spPr>
        <a:xfrm>
          <a:off x="14258925" y="7543800"/>
          <a:ext cx="2562226" cy="828674"/>
        </a:xfrm>
        <a:prstGeom prst="round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3200">
              <a:latin typeface="Arial Black" panose="020B0A04020102020204" pitchFamily="34" charset="0"/>
            </a:rPr>
            <a:t>Menu</a:t>
          </a:r>
        </a:p>
      </xdr:txBody>
    </xdr:sp>
    <xdr:clientData/>
  </xdr:twoCellAnchor>
  <xdr:twoCellAnchor>
    <xdr:from>
      <xdr:col>11</xdr:col>
      <xdr:colOff>561976</xdr:colOff>
      <xdr:row>11</xdr:row>
      <xdr:rowOff>85725</xdr:rowOff>
    </xdr:from>
    <xdr:to>
      <xdr:col>14</xdr:col>
      <xdr:colOff>19051</xdr:colOff>
      <xdr:row>13</xdr:row>
      <xdr:rowOff>66675</xdr:rowOff>
    </xdr:to>
    <xdr:sp macro="" textlink="$I$13">
      <xdr:nvSpPr>
        <xdr:cNvPr id="8" name="Retângulo 7">
          <a:extLst>
            <a:ext uri="{FF2B5EF4-FFF2-40B4-BE49-F238E27FC236}">
              <a16:creationId xmlns:a16="http://schemas.microsoft.com/office/drawing/2014/main" id="{8896A9FF-373B-4DD2-9146-C1464B26B149}"/>
            </a:ext>
          </a:extLst>
        </xdr:cNvPr>
        <xdr:cNvSpPr/>
      </xdr:nvSpPr>
      <xdr:spPr>
        <a:xfrm>
          <a:off x="14249401" y="2200275"/>
          <a:ext cx="2381250" cy="36195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solidFill>
                <a:schemeClr val="bg1"/>
              </a:solidFill>
              <a:latin typeface="Arial Black" panose="020B0A04020102020204" pitchFamily="34" charset="0"/>
            </a:rPr>
            <a:t>Entrada</a:t>
          </a:r>
          <a:r>
            <a:rPr lang="pt-BR" sz="1400" baseline="0">
              <a:solidFill>
                <a:schemeClr val="bg1"/>
              </a:solidFill>
              <a:latin typeface="Arial Black" panose="020B0A04020102020204" pitchFamily="34" charset="0"/>
            </a:rPr>
            <a:t> caixa</a:t>
          </a:r>
          <a:endParaRPr lang="pt-BR" sz="14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123825</xdr:rowOff>
    </xdr:from>
    <xdr:to>
      <xdr:col>3</xdr:col>
      <xdr:colOff>85725</xdr:colOff>
      <xdr:row>3</xdr:row>
      <xdr:rowOff>85725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D041C2-C9C9-43B5-B4BD-50D506C2A976}"/>
            </a:ext>
          </a:extLst>
        </xdr:cNvPr>
        <xdr:cNvSpPr/>
      </xdr:nvSpPr>
      <xdr:spPr>
        <a:xfrm>
          <a:off x="619125" y="123825"/>
          <a:ext cx="3600450" cy="55245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latin typeface="Arial Black" panose="020B0A04020102020204" pitchFamily="34" charset="0"/>
            </a:rPr>
            <a:t>Melhor</a:t>
          </a:r>
          <a:r>
            <a:rPr lang="en-US" sz="2000" baseline="0">
              <a:latin typeface="Arial Black" panose="020B0A04020102020204" pitchFamily="34" charset="0"/>
            </a:rPr>
            <a:t> gás</a:t>
          </a:r>
          <a:endParaRPr lang="en-US" sz="2000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7</xdr:col>
      <xdr:colOff>714375</xdr:colOff>
      <xdr:row>2</xdr:row>
      <xdr:rowOff>66675</xdr:rowOff>
    </xdr:from>
    <xdr:to>
      <xdr:col>11</xdr:col>
      <xdr:colOff>28575</xdr:colOff>
      <xdr:row>4</xdr:row>
      <xdr:rowOff>28575</xdr:rowOff>
    </xdr:to>
    <xdr:sp macro="" textlink="$J$4">
      <xdr:nvSpPr>
        <xdr:cNvPr id="3" name="Retângulo 2">
          <a:extLst>
            <a:ext uri="{FF2B5EF4-FFF2-40B4-BE49-F238E27FC236}">
              <a16:creationId xmlns:a16="http://schemas.microsoft.com/office/drawing/2014/main" id="{E90F45F1-BCA5-471D-A742-C146EFE351AC}"/>
            </a:ext>
          </a:extLst>
        </xdr:cNvPr>
        <xdr:cNvSpPr/>
      </xdr:nvSpPr>
      <xdr:spPr>
        <a:xfrm>
          <a:off x="10467975" y="457200"/>
          <a:ext cx="3248025" cy="3524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273BABBF-FC4C-40EC-8507-B05137E3707D}" type="TxLink">
            <a:rPr lang="en-US" sz="1400" b="1" i="0" u="none" strike="noStrike">
              <a:solidFill>
                <a:schemeClr val="bg1"/>
              </a:solidFill>
              <a:latin typeface="Arial Black" panose="020B0A04020102020204" pitchFamily="34" charset="0"/>
              <a:cs typeface="Calibri"/>
            </a:rPr>
            <a:pPr algn="ctr"/>
            <a:t>Estoque inicial</a:t>
          </a:fld>
          <a:endParaRPr lang="pt-BR" sz="1400" b="1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7</xdr:col>
      <xdr:colOff>733424</xdr:colOff>
      <xdr:row>11</xdr:row>
      <xdr:rowOff>76200</xdr:rowOff>
    </xdr:from>
    <xdr:to>
      <xdr:col>10</xdr:col>
      <xdr:colOff>9525</xdr:colOff>
      <xdr:row>13</xdr:row>
      <xdr:rowOff>57150</xdr:rowOff>
    </xdr:to>
    <xdr:sp macro="" textlink="$I$13">
      <xdr:nvSpPr>
        <xdr:cNvPr id="4" name="Retângulo 3">
          <a:extLst>
            <a:ext uri="{FF2B5EF4-FFF2-40B4-BE49-F238E27FC236}">
              <a16:creationId xmlns:a16="http://schemas.microsoft.com/office/drawing/2014/main" id="{B48E4173-6A60-426B-85E1-7FCD0FC8EB96}"/>
            </a:ext>
          </a:extLst>
        </xdr:cNvPr>
        <xdr:cNvSpPr/>
      </xdr:nvSpPr>
      <xdr:spPr>
        <a:xfrm>
          <a:off x="10487024" y="2190750"/>
          <a:ext cx="2390776" cy="36195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9D7E5BDE-5ADD-4655-B0F8-498629E2789E}" type="TxLink">
            <a:rPr lang="en-US" sz="1400" b="0" i="0" u="none" strike="noStrike">
              <a:solidFill>
                <a:schemeClr val="bg1"/>
              </a:solidFill>
              <a:latin typeface="Arial Black" panose="020B0A04020102020204" pitchFamily="34" charset="0"/>
              <a:cs typeface="Calibri"/>
            </a:rPr>
            <a:pPr algn="ctr"/>
            <a:t>Saida de caixa</a:t>
          </a:fld>
          <a:endParaRPr lang="pt-BR" sz="14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7</xdr:col>
      <xdr:colOff>695325</xdr:colOff>
      <xdr:row>38</xdr:row>
      <xdr:rowOff>19050</xdr:rowOff>
    </xdr:from>
    <xdr:to>
      <xdr:col>11</xdr:col>
      <xdr:colOff>9525</xdr:colOff>
      <xdr:row>39</xdr:row>
      <xdr:rowOff>171450</xdr:rowOff>
    </xdr:to>
    <xdr:sp macro="" textlink="$I$40">
      <xdr:nvSpPr>
        <xdr:cNvPr id="5" name="Retângulo 4">
          <a:extLst>
            <a:ext uri="{FF2B5EF4-FFF2-40B4-BE49-F238E27FC236}">
              <a16:creationId xmlns:a16="http://schemas.microsoft.com/office/drawing/2014/main" id="{14E0D390-A62D-436A-AAD8-33C50DA0C439}"/>
            </a:ext>
          </a:extLst>
        </xdr:cNvPr>
        <xdr:cNvSpPr/>
      </xdr:nvSpPr>
      <xdr:spPr>
        <a:xfrm>
          <a:off x="10448925" y="7324725"/>
          <a:ext cx="3248025" cy="3429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4F6BA73-4BAA-4F17-812D-B7437725F7F1}" type="TxLink">
            <a:rPr lang="en-US" sz="1400" b="1" i="0" u="none" strike="noStrike">
              <a:solidFill>
                <a:schemeClr val="bg1"/>
              </a:solidFill>
              <a:latin typeface="Arial Black" panose="020B0A04020102020204" pitchFamily="34" charset="0"/>
              <a:cs typeface="Calibri"/>
            </a:rPr>
            <a:pPr algn="ctr"/>
            <a:t>Estoque Final</a:t>
          </a:fld>
          <a:endParaRPr lang="pt-BR" sz="1400" b="1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11</xdr:col>
      <xdr:colOff>685802</xdr:colOff>
      <xdr:row>2</xdr:row>
      <xdr:rowOff>161924</xdr:rowOff>
    </xdr:from>
    <xdr:to>
      <xdr:col>15</xdr:col>
      <xdr:colOff>66676</xdr:colOff>
      <xdr:row>4</xdr:row>
      <xdr:rowOff>47624</xdr:rowOff>
    </xdr:to>
    <xdr:sp macro="" textlink="$M$4">
      <xdr:nvSpPr>
        <xdr:cNvPr id="6" name="Retângulo 5">
          <a:extLst>
            <a:ext uri="{FF2B5EF4-FFF2-40B4-BE49-F238E27FC236}">
              <a16:creationId xmlns:a16="http://schemas.microsoft.com/office/drawing/2014/main" id="{0FB1EB73-A4E1-434E-993F-1F3705B93805}"/>
            </a:ext>
          </a:extLst>
        </xdr:cNvPr>
        <xdr:cNvSpPr/>
      </xdr:nvSpPr>
      <xdr:spPr>
        <a:xfrm>
          <a:off x="14258927" y="552449"/>
          <a:ext cx="3286124" cy="2762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E7ABE673-AD27-4DBA-B4FE-B90381529BD6}" type="TxLink">
            <a:rPr lang="en-US" sz="1400" b="1" i="0" u="none" strike="noStrike">
              <a:solidFill>
                <a:schemeClr val="bg1"/>
              </a:solidFill>
              <a:latin typeface="Arial Black" panose="020B0A04020102020204" pitchFamily="34" charset="0"/>
              <a:cs typeface="Calibri"/>
            </a:rPr>
            <a:pPr algn="ctr"/>
            <a:t>Abastecimento</a:t>
          </a:fld>
          <a:endParaRPr lang="pt-BR" sz="1400" b="1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11</xdr:col>
      <xdr:colOff>676275</xdr:colOff>
      <xdr:row>39</xdr:row>
      <xdr:rowOff>47625</xdr:rowOff>
    </xdr:from>
    <xdr:to>
      <xdr:col>14</xdr:col>
      <xdr:colOff>209551</xdr:colOff>
      <xdr:row>43</xdr:row>
      <xdr:rowOff>114299</xdr:rowOff>
    </xdr:to>
    <xdr:sp macro="" textlink="">
      <xdr:nvSpPr>
        <xdr:cNvPr id="7" name="Retângulo: Cantos Arredondados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C49E22-7063-4232-A482-B5D36F57BC32}"/>
            </a:ext>
          </a:extLst>
        </xdr:cNvPr>
        <xdr:cNvSpPr/>
      </xdr:nvSpPr>
      <xdr:spPr>
        <a:xfrm>
          <a:off x="14258925" y="7543800"/>
          <a:ext cx="2562226" cy="828674"/>
        </a:xfrm>
        <a:prstGeom prst="round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3200">
              <a:latin typeface="Arial Black" panose="020B0A04020102020204" pitchFamily="34" charset="0"/>
            </a:rPr>
            <a:t>Menu</a:t>
          </a:r>
        </a:p>
      </xdr:txBody>
    </xdr:sp>
    <xdr:clientData/>
  </xdr:twoCellAnchor>
  <xdr:twoCellAnchor>
    <xdr:from>
      <xdr:col>11</xdr:col>
      <xdr:colOff>561976</xdr:colOff>
      <xdr:row>11</xdr:row>
      <xdr:rowOff>85725</xdr:rowOff>
    </xdr:from>
    <xdr:to>
      <xdr:col>14</xdr:col>
      <xdr:colOff>19051</xdr:colOff>
      <xdr:row>13</xdr:row>
      <xdr:rowOff>66675</xdr:rowOff>
    </xdr:to>
    <xdr:sp macro="" textlink="$I$13">
      <xdr:nvSpPr>
        <xdr:cNvPr id="8" name="Retângulo 7">
          <a:extLst>
            <a:ext uri="{FF2B5EF4-FFF2-40B4-BE49-F238E27FC236}">
              <a16:creationId xmlns:a16="http://schemas.microsoft.com/office/drawing/2014/main" id="{BB5E6594-7AE9-47C0-9E32-A0C09004C007}"/>
            </a:ext>
          </a:extLst>
        </xdr:cNvPr>
        <xdr:cNvSpPr/>
      </xdr:nvSpPr>
      <xdr:spPr>
        <a:xfrm>
          <a:off x="14249401" y="2200275"/>
          <a:ext cx="2381250" cy="36195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solidFill>
                <a:schemeClr val="bg1"/>
              </a:solidFill>
              <a:latin typeface="Arial Black" panose="020B0A04020102020204" pitchFamily="34" charset="0"/>
            </a:rPr>
            <a:t>Entrada</a:t>
          </a:r>
          <a:r>
            <a:rPr lang="pt-BR" sz="1400" baseline="0">
              <a:solidFill>
                <a:schemeClr val="bg1"/>
              </a:solidFill>
              <a:latin typeface="Arial Black" panose="020B0A04020102020204" pitchFamily="34" charset="0"/>
            </a:rPr>
            <a:t> caixa</a:t>
          </a:r>
          <a:endParaRPr lang="pt-BR" sz="14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85725</xdr:rowOff>
    </xdr:from>
    <xdr:to>
      <xdr:col>5</xdr:col>
      <xdr:colOff>38100</xdr:colOff>
      <xdr:row>1</xdr:row>
      <xdr:rowOff>542925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623C0AE6-8D48-4AF8-88C5-D6374FEFB87B}"/>
            </a:ext>
          </a:extLst>
        </xdr:cNvPr>
        <xdr:cNvSpPr/>
      </xdr:nvSpPr>
      <xdr:spPr>
        <a:xfrm>
          <a:off x="600075" y="85725"/>
          <a:ext cx="5029200" cy="647700"/>
        </a:xfrm>
        <a:prstGeom prst="rect">
          <a:avLst/>
        </a:prstGeom>
        <a:solidFill>
          <a:schemeClr val="tx1">
            <a:lumMod val="95000"/>
            <a:lumOff val="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800" b="0" cap="none" spc="0">
              <a:ln>
                <a:noFill/>
              </a:ln>
              <a:solidFill>
                <a:schemeClr val="bg1"/>
              </a:solidFill>
              <a:effectLst/>
              <a:latin typeface="Arial Black" panose="020B0A04020102020204" pitchFamily="34" charset="0"/>
            </a:rPr>
            <a:t>FIADO</a:t>
          </a:r>
          <a:r>
            <a:rPr lang="pt-BR" sz="2800" b="0" cap="none" spc="0" baseline="0">
              <a:ln>
                <a:noFill/>
              </a:ln>
              <a:solidFill>
                <a:schemeClr val="bg1"/>
              </a:solidFill>
              <a:effectLst/>
              <a:latin typeface="Arial Black" panose="020B0A04020102020204" pitchFamily="34" charset="0"/>
            </a:rPr>
            <a:t> - MAIO</a:t>
          </a:r>
          <a:endParaRPr lang="pt-BR" sz="2800" b="0" cap="none" spc="0">
            <a:ln>
              <a:noFill/>
            </a:ln>
            <a:solidFill>
              <a:schemeClr val="bg1"/>
            </a:solidFill>
            <a:effectLst/>
            <a:latin typeface="Arial Black" panose="020B0A04020102020204" pitchFamily="34" charset="0"/>
          </a:endParaRPr>
        </a:p>
      </xdr:txBody>
    </xdr:sp>
    <xdr:clientData/>
  </xdr:twoCellAnchor>
  <xdr:twoCellAnchor>
    <xdr:from>
      <xdr:col>5</xdr:col>
      <xdr:colOff>514349</xdr:colOff>
      <xdr:row>2</xdr:row>
      <xdr:rowOff>171449</xdr:rowOff>
    </xdr:from>
    <xdr:to>
      <xdr:col>8</xdr:col>
      <xdr:colOff>219075</xdr:colOff>
      <xdr:row>8</xdr:row>
      <xdr:rowOff>76200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04C8D321-39E2-4811-99E5-2F9E60BEA18A}"/>
            </a:ext>
          </a:extLst>
        </xdr:cNvPr>
        <xdr:cNvGrpSpPr/>
      </xdr:nvGrpSpPr>
      <xdr:grpSpPr>
        <a:xfrm>
          <a:off x="6105524" y="1219199"/>
          <a:ext cx="1733551" cy="1047751"/>
          <a:chOff x="5972174" y="1104899"/>
          <a:chExt cx="1733551" cy="1047751"/>
        </a:xfrm>
      </xdr:grpSpPr>
      <xdr:sp macro="" textlink="$H$8">
        <xdr:nvSpPr>
          <xdr:cNvPr id="4" name="Retângulo 3">
            <a:extLst>
              <a:ext uri="{FF2B5EF4-FFF2-40B4-BE49-F238E27FC236}">
                <a16:creationId xmlns:a16="http://schemas.microsoft.com/office/drawing/2014/main" id="{5DD364F8-1709-DE28-8607-38DAE042B406}"/>
              </a:ext>
            </a:extLst>
          </xdr:cNvPr>
          <xdr:cNvSpPr/>
        </xdr:nvSpPr>
        <xdr:spPr>
          <a:xfrm>
            <a:off x="5972174" y="1104899"/>
            <a:ext cx="1733551" cy="1047751"/>
          </a:xfrm>
          <a:prstGeom prst="rect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rtlCol="0" anchor="b"/>
          <a:lstStyle/>
          <a:p>
            <a:pPr lvl="0" algn="ctr"/>
            <a:fld id="{4AF0A2C1-10BB-44D5-BE72-148AD06E4FAA}" type="TxLink">
              <a:rPr lang="en-US" sz="2000" b="0" i="0" u="none" strike="noStrike">
                <a:solidFill>
                  <a:schemeClr val="bg1"/>
                </a:solidFill>
                <a:latin typeface="Arial Black" panose="020B0A04020102020204" pitchFamily="34" charset="0"/>
                <a:cs typeface="Calibri"/>
              </a:rPr>
              <a:pPr lvl="0" algn="ctr"/>
              <a:t>0</a:t>
            </a:fld>
            <a:endParaRPr lang="pt-BR" sz="2000">
              <a:solidFill>
                <a:schemeClr val="bg1"/>
              </a:solidFill>
              <a:latin typeface="Arial Black" panose="020B0A04020102020204" pitchFamily="34" charset="0"/>
            </a:endParaRPr>
          </a:p>
        </xdr:txBody>
      </xdr:sp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AC8D726E-46CC-E26D-89FD-BD89FF792F4B}"/>
              </a:ext>
            </a:extLst>
          </xdr:cNvPr>
          <xdr:cNvSpPr txBox="1"/>
        </xdr:nvSpPr>
        <xdr:spPr>
          <a:xfrm>
            <a:off x="5981700" y="1295400"/>
            <a:ext cx="1724025" cy="438149"/>
          </a:xfrm>
          <a:prstGeom prst="rect">
            <a:avLst/>
          </a:prstGeom>
          <a:solidFill>
            <a:schemeClr val="tx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b"/>
          <a:lstStyle/>
          <a:p>
            <a:pPr algn="ctr"/>
            <a:r>
              <a:rPr lang="pt-BR" sz="2400">
                <a:solidFill>
                  <a:schemeClr val="bg1"/>
                </a:solidFill>
                <a:latin typeface="Arial Black" panose="020B0A04020102020204" pitchFamily="34" charset="0"/>
              </a:rPr>
              <a:t>Total</a:t>
            </a:r>
          </a:p>
        </xdr:txBody>
      </xdr:sp>
    </xdr:grpSp>
    <xdr:clientData/>
  </xdr:twoCellAnchor>
  <xdr:twoCellAnchor>
    <xdr:from>
      <xdr:col>5</xdr:col>
      <xdr:colOff>561975</xdr:colOff>
      <xdr:row>0</xdr:row>
      <xdr:rowOff>123825</xdr:rowOff>
    </xdr:from>
    <xdr:to>
      <xdr:col>8</xdr:col>
      <xdr:colOff>104776</xdr:colOff>
      <xdr:row>1</xdr:row>
      <xdr:rowOff>761999</xdr:rowOff>
    </xdr:to>
    <xdr:sp macro="" textlink="">
      <xdr:nvSpPr>
        <xdr:cNvPr id="7" name="Retângulo: Cantos Arredondados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98D6A3-D73F-8D4C-5F5F-6076BA3449CE}"/>
            </a:ext>
          </a:extLst>
        </xdr:cNvPr>
        <xdr:cNvSpPr/>
      </xdr:nvSpPr>
      <xdr:spPr>
        <a:xfrm>
          <a:off x="6153150" y="123825"/>
          <a:ext cx="1571626" cy="828674"/>
        </a:xfrm>
        <a:prstGeom prst="round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3200">
              <a:latin typeface="Arial Black" panose="020B0A04020102020204" pitchFamily="34" charset="0"/>
            </a:rPr>
            <a:t>Menu</a:t>
          </a:r>
        </a:p>
      </xdr:txBody>
    </xdr:sp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0</xdr:row>
      <xdr:rowOff>609600</xdr:rowOff>
    </xdr:from>
    <xdr:to>
      <xdr:col>12</xdr:col>
      <xdr:colOff>847726</xdr:colOff>
      <xdr:row>1</xdr:row>
      <xdr:rowOff>571499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A27108-93F5-49C5-85E5-2F97C6D988DE}"/>
            </a:ext>
          </a:extLst>
        </xdr:cNvPr>
        <xdr:cNvSpPr/>
      </xdr:nvSpPr>
      <xdr:spPr>
        <a:xfrm>
          <a:off x="11039475" y="609600"/>
          <a:ext cx="1809751" cy="828674"/>
        </a:xfrm>
        <a:prstGeom prst="round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3200">
              <a:latin typeface="Arial Black" panose="020B0A04020102020204" pitchFamily="34" charset="0"/>
            </a:rPr>
            <a:t>Menu</a:t>
          </a:r>
        </a:p>
      </xdr:txBody>
    </xdr:sp>
    <xdr:clientData/>
  </xdr:twoCellAnchor>
  <xdr:twoCellAnchor>
    <xdr:from>
      <xdr:col>0</xdr:col>
      <xdr:colOff>400050</xdr:colOff>
      <xdr:row>0</xdr:row>
      <xdr:rowOff>647700</xdr:rowOff>
    </xdr:from>
    <xdr:to>
      <xdr:col>8</xdr:col>
      <xdr:colOff>1314449</xdr:colOff>
      <xdr:row>1</xdr:row>
      <xdr:rowOff>342900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EF31DC3F-16B8-F6B4-CA57-29758F9A0084}"/>
            </a:ext>
          </a:extLst>
        </xdr:cNvPr>
        <xdr:cNvSpPr/>
      </xdr:nvSpPr>
      <xdr:spPr>
        <a:xfrm>
          <a:off x="400050" y="647700"/>
          <a:ext cx="9410699" cy="56197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 b="0" cap="none" spc="0">
              <a:ln>
                <a:noFill/>
              </a:ln>
              <a:solidFill>
                <a:schemeClr val="bg1"/>
              </a:solidFill>
              <a:effectLst/>
              <a:latin typeface="Arial Black" panose="020B0A04020102020204" pitchFamily="34" charset="0"/>
            </a:rPr>
            <a:t>Abastecimentos</a:t>
          </a:r>
        </a:p>
      </xdr:txBody>
    </xdr:sp>
    <xdr:clientData/>
  </xdr:twoCellAnchor>
  <xdr:twoCellAnchor>
    <xdr:from>
      <xdr:col>1</xdr:col>
      <xdr:colOff>9525</xdr:colOff>
      <xdr:row>1</xdr:row>
      <xdr:rowOff>600074</xdr:rowOff>
    </xdr:from>
    <xdr:to>
      <xdr:col>4</xdr:col>
      <xdr:colOff>9525</xdr:colOff>
      <xdr:row>1</xdr:row>
      <xdr:rowOff>990599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7D2934C5-2AC5-CD82-2AC6-F7B5DC3F15F2}"/>
            </a:ext>
          </a:extLst>
        </xdr:cNvPr>
        <xdr:cNvSpPr/>
      </xdr:nvSpPr>
      <xdr:spPr>
        <a:xfrm>
          <a:off x="628650" y="1466849"/>
          <a:ext cx="3990975" cy="3905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Arial Black" panose="020B0A04020102020204" pitchFamily="34" charset="0"/>
            </a:rPr>
            <a:t>Gás</a:t>
          </a:r>
        </a:p>
      </xdr:txBody>
    </xdr:sp>
    <xdr:clientData/>
  </xdr:twoCellAnchor>
  <xdr:twoCellAnchor>
    <xdr:from>
      <xdr:col>6</xdr:col>
      <xdr:colOff>19051</xdr:colOff>
      <xdr:row>1</xdr:row>
      <xdr:rowOff>600075</xdr:rowOff>
    </xdr:from>
    <xdr:to>
      <xdr:col>9</xdr:col>
      <xdr:colOff>0</xdr:colOff>
      <xdr:row>1</xdr:row>
      <xdr:rowOff>990600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A881DF27-3F04-4159-9A7C-B3C722E341F9}"/>
            </a:ext>
          </a:extLst>
        </xdr:cNvPr>
        <xdr:cNvSpPr/>
      </xdr:nvSpPr>
      <xdr:spPr>
        <a:xfrm>
          <a:off x="5848351" y="1466850"/>
          <a:ext cx="4086224" cy="3905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Arial Black" panose="020B0A04020102020204" pitchFamily="34" charset="0"/>
            </a:rPr>
            <a:t>Água</a:t>
          </a:r>
        </a:p>
      </xdr:txBody>
    </xdr:sp>
    <xdr:clientData/>
  </xdr:twoCellAnchor>
  <xdr:twoCellAnchor>
    <xdr:from>
      <xdr:col>10</xdr:col>
      <xdr:colOff>466724</xdr:colOff>
      <xdr:row>1</xdr:row>
      <xdr:rowOff>1209674</xdr:rowOff>
    </xdr:from>
    <xdr:to>
      <xdr:col>13</xdr:col>
      <xdr:colOff>38099</xdr:colOff>
      <xdr:row>4</xdr:row>
      <xdr:rowOff>19049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E5C6C88C-972B-873C-5CC4-F4389BB60696}"/>
            </a:ext>
          </a:extLst>
        </xdr:cNvPr>
        <xdr:cNvSpPr/>
      </xdr:nvSpPr>
      <xdr:spPr>
        <a:xfrm>
          <a:off x="11010899" y="2076449"/>
          <a:ext cx="2009775" cy="48577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Arial Black" panose="020B0A04020102020204" pitchFamily="34" charset="0"/>
            </a:rPr>
            <a:t>Total</a:t>
          </a:r>
        </a:p>
      </xdr:txBody>
    </xdr:sp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1</xdr:row>
      <xdr:rowOff>19050</xdr:rowOff>
    </xdr:from>
    <xdr:to>
      <xdr:col>23</xdr:col>
      <xdr:colOff>104775</xdr:colOff>
      <xdr:row>4</xdr:row>
      <xdr:rowOff>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F73875FB-75CB-4CC9-A720-A957AB25499F}"/>
            </a:ext>
          </a:extLst>
        </xdr:cNvPr>
        <xdr:cNvSpPr/>
      </xdr:nvSpPr>
      <xdr:spPr>
        <a:xfrm>
          <a:off x="3609975" y="209550"/>
          <a:ext cx="10515600" cy="552450"/>
        </a:xfrm>
        <a:prstGeom prst="rect">
          <a:avLst/>
        </a:prstGeom>
        <a:solidFill>
          <a:schemeClr val="bg2">
            <a:lumMod val="25000"/>
          </a:schemeClr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400" b="0" i="1" cap="none" spc="0">
              <a:ln>
                <a:noFill/>
              </a:ln>
              <a:solidFill>
                <a:schemeClr val="bg1"/>
              </a:solidFill>
              <a:effectLst/>
              <a:latin typeface="Arial Black" panose="020B0A04020102020204" pitchFamily="34" charset="0"/>
            </a:rPr>
            <a:t>Fluxo de caixa</a:t>
          </a:r>
          <a:r>
            <a:rPr lang="en-US" sz="4400" b="0" i="1" cap="none" spc="0" baseline="0">
              <a:ln>
                <a:noFill/>
              </a:ln>
              <a:solidFill>
                <a:schemeClr val="bg1"/>
              </a:solidFill>
              <a:effectLst/>
              <a:latin typeface="Arial Black" panose="020B0A04020102020204" pitchFamily="34" charset="0"/>
            </a:rPr>
            <a:t> - Maio</a:t>
          </a:r>
          <a:endParaRPr lang="en-US" sz="4400" b="0" i="1" cap="none" spc="0">
            <a:ln>
              <a:noFill/>
            </a:ln>
            <a:solidFill>
              <a:schemeClr val="bg1"/>
            </a:solidFill>
            <a:effectLst/>
            <a:latin typeface="Arial Black" panose="020B0A04020102020204" pitchFamily="34" charset="0"/>
          </a:endParaRPr>
        </a:p>
      </xdr:txBody>
    </xdr:sp>
    <xdr:clientData/>
  </xdr:twoCellAnchor>
  <xdr:twoCellAnchor>
    <xdr:from>
      <xdr:col>7</xdr:col>
      <xdr:colOff>47626</xdr:colOff>
      <xdr:row>27</xdr:row>
      <xdr:rowOff>152400</xdr:rowOff>
    </xdr:from>
    <xdr:to>
      <xdr:col>11</xdr:col>
      <xdr:colOff>495300</xdr:colOff>
      <xdr:row>32</xdr:row>
      <xdr:rowOff>114300</xdr:rowOff>
    </xdr:to>
    <xdr:sp macro="" textlink="">
      <xdr:nvSpPr>
        <xdr:cNvPr id="45" name="Retângulo: Cantos Arredondados 4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D4D3DD-B849-B7E3-97F7-D65BAF83D623}"/>
            </a:ext>
          </a:extLst>
        </xdr:cNvPr>
        <xdr:cNvSpPr/>
      </xdr:nvSpPr>
      <xdr:spPr>
        <a:xfrm>
          <a:off x="4314826" y="5295900"/>
          <a:ext cx="2886074" cy="914400"/>
        </a:xfrm>
        <a:prstGeom prst="roundRect">
          <a:avLst/>
        </a:prstGeom>
        <a:solidFill>
          <a:schemeClr val="bg2">
            <a:lumMod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0" cap="none" spc="0">
              <a:ln>
                <a:noFill/>
              </a:ln>
              <a:solidFill>
                <a:schemeClr val="bg1"/>
              </a:solidFill>
              <a:effectLst/>
              <a:latin typeface="Arial Black" panose="020B0A04020102020204" pitchFamily="34" charset="0"/>
            </a:rPr>
            <a:t>Historico de abastecimento                                                                                                                                                                  </a:t>
          </a:r>
        </a:p>
      </xdr:txBody>
    </xdr:sp>
    <xdr:clientData/>
  </xdr:twoCellAnchor>
  <xdr:twoCellAnchor>
    <xdr:from>
      <xdr:col>22</xdr:col>
      <xdr:colOff>247650</xdr:colOff>
      <xdr:row>3</xdr:row>
      <xdr:rowOff>76200</xdr:rowOff>
    </xdr:from>
    <xdr:to>
      <xdr:col>23</xdr:col>
      <xdr:colOff>114300</xdr:colOff>
      <xdr:row>35</xdr:row>
      <xdr:rowOff>142875</xdr:rowOff>
    </xdr:to>
    <xdr:sp macro="" textlink="">
      <xdr:nvSpPr>
        <xdr:cNvPr id="46" name="Retângulo 45">
          <a:extLst>
            <a:ext uri="{FF2B5EF4-FFF2-40B4-BE49-F238E27FC236}">
              <a16:creationId xmlns:a16="http://schemas.microsoft.com/office/drawing/2014/main" id="{348BBA65-26EE-488E-BA22-AEC7BBBF3F2D}"/>
            </a:ext>
          </a:extLst>
        </xdr:cNvPr>
        <xdr:cNvSpPr/>
      </xdr:nvSpPr>
      <xdr:spPr>
        <a:xfrm>
          <a:off x="13658850" y="647700"/>
          <a:ext cx="476250" cy="6162675"/>
        </a:xfrm>
        <a:prstGeom prst="rect">
          <a:avLst/>
        </a:prstGeom>
        <a:solidFill>
          <a:schemeClr val="bg2">
            <a:lumMod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552450</xdr:colOff>
      <xdr:row>1</xdr:row>
      <xdr:rowOff>19049</xdr:rowOff>
    </xdr:from>
    <xdr:to>
      <xdr:col>6</xdr:col>
      <xdr:colOff>419100</xdr:colOff>
      <xdr:row>35</xdr:row>
      <xdr:rowOff>123824</xdr:rowOff>
    </xdr:to>
    <xdr:sp macro="" textlink="">
      <xdr:nvSpPr>
        <xdr:cNvPr id="47" name="Retângulo 46">
          <a:extLst>
            <a:ext uri="{FF2B5EF4-FFF2-40B4-BE49-F238E27FC236}">
              <a16:creationId xmlns:a16="http://schemas.microsoft.com/office/drawing/2014/main" id="{4CD76835-2795-4449-B675-9C1BE721756A}"/>
            </a:ext>
          </a:extLst>
        </xdr:cNvPr>
        <xdr:cNvSpPr/>
      </xdr:nvSpPr>
      <xdr:spPr>
        <a:xfrm>
          <a:off x="3600450" y="209549"/>
          <a:ext cx="476250" cy="6581775"/>
        </a:xfrm>
        <a:prstGeom prst="rect">
          <a:avLst/>
        </a:prstGeom>
        <a:solidFill>
          <a:schemeClr val="bg2">
            <a:lumMod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547687</xdr:colOff>
      <xdr:row>33</xdr:row>
      <xdr:rowOff>23814</xdr:rowOff>
    </xdr:from>
    <xdr:to>
      <xdr:col>23</xdr:col>
      <xdr:colOff>85725</xdr:colOff>
      <xdr:row>35</xdr:row>
      <xdr:rowOff>119064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id="{6D878389-FD84-4288-A7E9-ED06F33929A7}"/>
            </a:ext>
          </a:extLst>
        </xdr:cNvPr>
        <xdr:cNvSpPr/>
      </xdr:nvSpPr>
      <xdr:spPr>
        <a:xfrm rot="5400000">
          <a:off x="8612981" y="1293020"/>
          <a:ext cx="476250" cy="10510838"/>
        </a:xfrm>
        <a:prstGeom prst="rect">
          <a:avLst/>
        </a:prstGeom>
        <a:solidFill>
          <a:schemeClr val="bg2">
            <a:lumMod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17</xdr:col>
      <xdr:colOff>142875</xdr:colOff>
      <xdr:row>28</xdr:row>
      <xdr:rowOff>19051</xdr:rowOff>
    </xdr:from>
    <xdr:to>
      <xdr:col>21</xdr:col>
      <xdr:colOff>561975</xdr:colOff>
      <xdr:row>32</xdr:row>
      <xdr:rowOff>66675</xdr:rowOff>
    </xdr:to>
    <xdr:sp macro="" textlink="">
      <xdr:nvSpPr>
        <xdr:cNvPr id="66" name="Retângulo: Cantos Arredondados 6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BCEC158-8D9F-04F9-FC25-1BDF2A3AB80F}"/>
            </a:ext>
          </a:extLst>
        </xdr:cNvPr>
        <xdr:cNvSpPr/>
      </xdr:nvSpPr>
      <xdr:spPr>
        <a:xfrm>
          <a:off x="10506075" y="5353051"/>
          <a:ext cx="2857500" cy="809624"/>
        </a:xfrm>
        <a:prstGeom prst="roundRect">
          <a:avLst/>
        </a:prstGeom>
        <a:solidFill>
          <a:schemeClr val="bg2">
            <a:lumMod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0" i="0" u="none" cap="none" spc="0">
              <a:ln>
                <a:noFill/>
              </a:ln>
              <a:solidFill>
                <a:schemeClr val="bg1"/>
              </a:solidFill>
              <a:effectLst/>
              <a:latin typeface="Arial Black" panose="020B0A04020102020204" pitchFamily="34" charset="0"/>
            </a:rPr>
            <a:t>Fiados</a:t>
          </a:r>
        </a:p>
      </xdr:txBody>
    </xdr:sp>
    <xdr:clientData/>
  </xdr:twoCellAnchor>
  <xdr:twoCellAnchor>
    <xdr:from>
      <xdr:col>7</xdr:col>
      <xdr:colOff>9525</xdr:colOff>
      <xdr:row>9</xdr:row>
      <xdr:rowOff>9525</xdr:rowOff>
    </xdr:from>
    <xdr:to>
      <xdr:col>8</xdr:col>
      <xdr:colOff>323850</xdr:colOff>
      <xdr:row>12</xdr:row>
      <xdr:rowOff>66676</xdr:rowOff>
    </xdr:to>
    <xdr:sp macro="" textlink="">
      <xdr:nvSpPr>
        <xdr:cNvPr id="77" name="Retângulo 7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A991450-9BE3-4C75-93F6-45A14C4EDF4E}"/>
            </a:ext>
          </a:extLst>
        </xdr:cNvPr>
        <xdr:cNvSpPr/>
      </xdr:nvSpPr>
      <xdr:spPr>
        <a:xfrm>
          <a:off x="4276725" y="1724025"/>
          <a:ext cx="923925" cy="628651"/>
        </a:xfrm>
        <a:prstGeom prst="rect">
          <a:avLst/>
        </a:prstGeom>
        <a:solidFill>
          <a:schemeClr val="bg2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Bahnschrift" panose="020B0502040204020203" pitchFamily="34" charset="0"/>
            </a:rPr>
            <a:t>DIA 01</a:t>
          </a:r>
        </a:p>
      </xdr:txBody>
    </xdr:sp>
    <xdr:clientData/>
  </xdr:twoCellAnchor>
  <xdr:twoCellAnchor>
    <xdr:from>
      <xdr:col>8</xdr:col>
      <xdr:colOff>409575</xdr:colOff>
      <xdr:row>9</xdr:row>
      <xdr:rowOff>9525</xdr:rowOff>
    </xdr:from>
    <xdr:to>
      <xdr:col>10</xdr:col>
      <xdr:colOff>114300</xdr:colOff>
      <xdr:row>12</xdr:row>
      <xdr:rowOff>66676</xdr:rowOff>
    </xdr:to>
    <xdr:sp macro="" textlink="">
      <xdr:nvSpPr>
        <xdr:cNvPr id="115" name="Retângulo 11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BFD2901-7A81-4044-B0EA-BF2D87FE4304}"/>
            </a:ext>
          </a:extLst>
        </xdr:cNvPr>
        <xdr:cNvSpPr/>
      </xdr:nvSpPr>
      <xdr:spPr>
        <a:xfrm>
          <a:off x="5286375" y="1724025"/>
          <a:ext cx="923925" cy="628651"/>
        </a:xfrm>
        <a:prstGeom prst="rect">
          <a:avLst/>
        </a:prstGeom>
        <a:solidFill>
          <a:schemeClr val="bg2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Bahnschrift" panose="020B0502040204020203" pitchFamily="34" charset="0"/>
            </a:rPr>
            <a:t>DIA 02</a:t>
          </a:r>
        </a:p>
      </xdr:txBody>
    </xdr:sp>
    <xdr:clientData/>
  </xdr:twoCellAnchor>
  <xdr:twoCellAnchor>
    <xdr:from>
      <xdr:col>10</xdr:col>
      <xdr:colOff>219075</xdr:colOff>
      <xdr:row>9</xdr:row>
      <xdr:rowOff>9525</xdr:rowOff>
    </xdr:from>
    <xdr:to>
      <xdr:col>11</xdr:col>
      <xdr:colOff>533400</xdr:colOff>
      <xdr:row>12</xdr:row>
      <xdr:rowOff>66676</xdr:rowOff>
    </xdr:to>
    <xdr:sp macro="" textlink="">
      <xdr:nvSpPr>
        <xdr:cNvPr id="116" name="Retângulo 11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26B38C0-5913-49D5-BC62-EE0586887145}"/>
            </a:ext>
          </a:extLst>
        </xdr:cNvPr>
        <xdr:cNvSpPr/>
      </xdr:nvSpPr>
      <xdr:spPr>
        <a:xfrm>
          <a:off x="6315075" y="1724025"/>
          <a:ext cx="923925" cy="628651"/>
        </a:xfrm>
        <a:prstGeom prst="rect">
          <a:avLst/>
        </a:prstGeom>
        <a:solidFill>
          <a:schemeClr val="bg2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Bahnschrift" panose="020B0502040204020203" pitchFamily="34" charset="0"/>
            </a:rPr>
            <a:t>DIA 03</a:t>
          </a:r>
        </a:p>
      </xdr:txBody>
    </xdr:sp>
    <xdr:clientData/>
  </xdr:twoCellAnchor>
  <xdr:twoCellAnchor>
    <xdr:from>
      <xdr:col>12</xdr:col>
      <xdr:colOff>57150</xdr:colOff>
      <xdr:row>9</xdr:row>
      <xdr:rowOff>9525</xdr:rowOff>
    </xdr:from>
    <xdr:to>
      <xdr:col>13</xdr:col>
      <xdr:colOff>371475</xdr:colOff>
      <xdr:row>12</xdr:row>
      <xdr:rowOff>66676</xdr:rowOff>
    </xdr:to>
    <xdr:sp macro="" textlink="">
      <xdr:nvSpPr>
        <xdr:cNvPr id="117" name="Retângulo 11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5E45E9EB-77E7-48BF-A646-4B45E234DA4F}"/>
            </a:ext>
          </a:extLst>
        </xdr:cNvPr>
        <xdr:cNvSpPr/>
      </xdr:nvSpPr>
      <xdr:spPr>
        <a:xfrm>
          <a:off x="7372350" y="1724025"/>
          <a:ext cx="923925" cy="628651"/>
        </a:xfrm>
        <a:prstGeom prst="rect">
          <a:avLst/>
        </a:prstGeom>
        <a:solidFill>
          <a:schemeClr val="bg2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Bahnschrift" panose="020B0502040204020203" pitchFamily="34" charset="0"/>
            </a:rPr>
            <a:t>DIA 04</a:t>
          </a:r>
        </a:p>
      </xdr:txBody>
    </xdr:sp>
    <xdr:clientData/>
  </xdr:twoCellAnchor>
  <xdr:twoCellAnchor>
    <xdr:from>
      <xdr:col>13</xdr:col>
      <xdr:colOff>466725</xdr:colOff>
      <xdr:row>9</xdr:row>
      <xdr:rowOff>9525</xdr:rowOff>
    </xdr:from>
    <xdr:to>
      <xdr:col>15</xdr:col>
      <xdr:colOff>171450</xdr:colOff>
      <xdr:row>12</xdr:row>
      <xdr:rowOff>66676</xdr:rowOff>
    </xdr:to>
    <xdr:sp macro="" textlink="">
      <xdr:nvSpPr>
        <xdr:cNvPr id="118" name="Retângulo 11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39C8151-62B6-4E7C-9BEA-B165DB478DC4}"/>
            </a:ext>
          </a:extLst>
        </xdr:cNvPr>
        <xdr:cNvSpPr/>
      </xdr:nvSpPr>
      <xdr:spPr>
        <a:xfrm>
          <a:off x="8391525" y="1724025"/>
          <a:ext cx="923925" cy="628651"/>
        </a:xfrm>
        <a:prstGeom prst="rect">
          <a:avLst/>
        </a:prstGeom>
        <a:solidFill>
          <a:schemeClr val="bg2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Bahnschrift" panose="020B0502040204020203" pitchFamily="34" charset="0"/>
            </a:rPr>
            <a:t>DIA 05</a:t>
          </a:r>
        </a:p>
      </xdr:txBody>
    </xdr:sp>
    <xdr:clientData/>
  </xdr:twoCellAnchor>
  <xdr:twoCellAnchor>
    <xdr:from>
      <xdr:col>15</xdr:col>
      <xdr:colOff>257175</xdr:colOff>
      <xdr:row>9</xdr:row>
      <xdr:rowOff>9525</xdr:rowOff>
    </xdr:from>
    <xdr:to>
      <xdr:col>16</xdr:col>
      <xdr:colOff>571500</xdr:colOff>
      <xdr:row>12</xdr:row>
      <xdr:rowOff>66676</xdr:rowOff>
    </xdr:to>
    <xdr:sp macro="" textlink="">
      <xdr:nvSpPr>
        <xdr:cNvPr id="119" name="Retângulo 11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601B97B-C3DB-4393-966D-DDCACDA503C0}"/>
            </a:ext>
          </a:extLst>
        </xdr:cNvPr>
        <xdr:cNvSpPr/>
      </xdr:nvSpPr>
      <xdr:spPr>
        <a:xfrm>
          <a:off x="9401175" y="1724025"/>
          <a:ext cx="923925" cy="628651"/>
        </a:xfrm>
        <a:prstGeom prst="rect">
          <a:avLst/>
        </a:prstGeom>
        <a:solidFill>
          <a:schemeClr val="bg2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Bahnschrift" panose="020B0502040204020203" pitchFamily="34" charset="0"/>
            </a:rPr>
            <a:t>DIA 06</a:t>
          </a:r>
        </a:p>
      </xdr:txBody>
    </xdr:sp>
    <xdr:clientData/>
  </xdr:twoCellAnchor>
  <xdr:twoCellAnchor>
    <xdr:from>
      <xdr:col>17</xdr:col>
      <xdr:colOff>57150</xdr:colOff>
      <xdr:row>9</xdr:row>
      <xdr:rowOff>9525</xdr:rowOff>
    </xdr:from>
    <xdr:to>
      <xdr:col>18</xdr:col>
      <xdr:colOff>371475</xdr:colOff>
      <xdr:row>12</xdr:row>
      <xdr:rowOff>66676</xdr:rowOff>
    </xdr:to>
    <xdr:sp macro="" textlink="">
      <xdr:nvSpPr>
        <xdr:cNvPr id="120" name="Retângulo 119">
          <a:extLst>
            <a:ext uri="{FF2B5EF4-FFF2-40B4-BE49-F238E27FC236}">
              <a16:creationId xmlns:a16="http://schemas.microsoft.com/office/drawing/2014/main" id="{53B18E38-3130-4921-B9EA-8CAD88BDD987}"/>
            </a:ext>
          </a:extLst>
        </xdr:cNvPr>
        <xdr:cNvSpPr/>
      </xdr:nvSpPr>
      <xdr:spPr>
        <a:xfrm>
          <a:off x="10420350" y="1724025"/>
          <a:ext cx="923925" cy="628651"/>
        </a:xfrm>
        <a:prstGeom prst="rect">
          <a:avLst/>
        </a:prstGeom>
        <a:solidFill>
          <a:schemeClr val="bg2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Bahnschrift" panose="020B0502040204020203" pitchFamily="34" charset="0"/>
            </a:rPr>
            <a:t>DIA 07</a:t>
          </a:r>
        </a:p>
      </xdr:txBody>
    </xdr:sp>
    <xdr:clientData/>
  </xdr:twoCellAnchor>
  <xdr:twoCellAnchor>
    <xdr:from>
      <xdr:col>18</xdr:col>
      <xdr:colOff>466725</xdr:colOff>
      <xdr:row>9</xdr:row>
      <xdr:rowOff>9525</xdr:rowOff>
    </xdr:from>
    <xdr:to>
      <xdr:col>20</xdr:col>
      <xdr:colOff>171450</xdr:colOff>
      <xdr:row>12</xdr:row>
      <xdr:rowOff>66676</xdr:rowOff>
    </xdr:to>
    <xdr:sp macro="" textlink="">
      <xdr:nvSpPr>
        <xdr:cNvPr id="121" name="Retângulo 120">
          <a:extLst>
            <a:ext uri="{FF2B5EF4-FFF2-40B4-BE49-F238E27FC236}">
              <a16:creationId xmlns:a16="http://schemas.microsoft.com/office/drawing/2014/main" id="{EE2E7970-8614-4F12-995C-4A48483CF4AB}"/>
            </a:ext>
          </a:extLst>
        </xdr:cNvPr>
        <xdr:cNvSpPr/>
      </xdr:nvSpPr>
      <xdr:spPr>
        <a:xfrm>
          <a:off x="11439525" y="1724025"/>
          <a:ext cx="923925" cy="628651"/>
        </a:xfrm>
        <a:prstGeom prst="rect">
          <a:avLst/>
        </a:prstGeom>
        <a:solidFill>
          <a:schemeClr val="bg2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Bahnschrift" panose="020B0502040204020203" pitchFamily="34" charset="0"/>
            </a:rPr>
            <a:t>DIA 08</a:t>
          </a:r>
        </a:p>
      </xdr:txBody>
    </xdr:sp>
    <xdr:clientData/>
  </xdr:twoCellAnchor>
  <xdr:twoCellAnchor>
    <xdr:from>
      <xdr:col>20</xdr:col>
      <xdr:colOff>276225</xdr:colOff>
      <xdr:row>9</xdr:row>
      <xdr:rowOff>19050</xdr:rowOff>
    </xdr:from>
    <xdr:to>
      <xdr:col>21</xdr:col>
      <xdr:colOff>590550</xdr:colOff>
      <xdr:row>12</xdr:row>
      <xdr:rowOff>76201</xdr:rowOff>
    </xdr:to>
    <xdr:sp macro="" textlink="">
      <xdr:nvSpPr>
        <xdr:cNvPr id="122" name="Retângulo 121">
          <a:extLst>
            <a:ext uri="{FF2B5EF4-FFF2-40B4-BE49-F238E27FC236}">
              <a16:creationId xmlns:a16="http://schemas.microsoft.com/office/drawing/2014/main" id="{57EC8DC9-5B64-43BE-A2DD-AA71099178D2}"/>
            </a:ext>
          </a:extLst>
        </xdr:cNvPr>
        <xdr:cNvSpPr/>
      </xdr:nvSpPr>
      <xdr:spPr>
        <a:xfrm>
          <a:off x="12468225" y="1733550"/>
          <a:ext cx="923925" cy="628651"/>
        </a:xfrm>
        <a:prstGeom prst="rect">
          <a:avLst/>
        </a:prstGeom>
        <a:solidFill>
          <a:schemeClr val="bg2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Bahnschrift" panose="020B0502040204020203" pitchFamily="34" charset="0"/>
            </a:rPr>
            <a:t>DIA 09</a:t>
          </a:r>
        </a:p>
      </xdr:txBody>
    </xdr:sp>
    <xdr:clientData/>
  </xdr:twoCellAnchor>
  <xdr:twoCellAnchor>
    <xdr:from>
      <xdr:col>7</xdr:col>
      <xdr:colOff>9525</xdr:colOff>
      <xdr:row>13</xdr:row>
      <xdr:rowOff>114300</xdr:rowOff>
    </xdr:from>
    <xdr:to>
      <xdr:col>8</xdr:col>
      <xdr:colOff>323850</xdr:colOff>
      <xdr:row>16</xdr:row>
      <xdr:rowOff>171451</xdr:rowOff>
    </xdr:to>
    <xdr:sp macro="" textlink="">
      <xdr:nvSpPr>
        <xdr:cNvPr id="126" name="Retângulo 125">
          <a:extLst>
            <a:ext uri="{FF2B5EF4-FFF2-40B4-BE49-F238E27FC236}">
              <a16:creationId xmlns:a16="http://schemas.microsoft.com/office/drawing/2014/main" id="{5234478E-F829-9767-DC02-3FE02BA5D0E6}"/>
            </a:ext>
          </a:extLst>
        </xdr:cNvPr>
        <xdr:cNvSpPr/>
      </xdr:nvSpPr>
      <xdr:spPr>
        <a:xfrm>
          <a:off x="4276725" y="2590800"/>
          <a:ext cx="923925" cy="628651"/>
        </a:xfrm>
        <a:prstGeom prst="rect">
          <a:avLst/>
        </a:prstGeom>
        <a:solidFill>
          <a:schemeClr val="bg2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Bahnschrift" panose="020B0502040204020203" pitchFamily="34" charset="0"/>
            </a:rPr>
            <a:t>DIA 10</a:t>
          </a:r>
        </a:p>
      </xdr:txBody>
    </xdr:sp>
    <xdr:clientData/>
  </xdr:twoCellAnchor>
  <xdr:twoCellAnchor>
    <xdr:from>
      <xdr:col>8</xdr:col>
      <xdr:colOff>409575</xdr:colOff>
      <xdr:row>13</xdr:row>
      <xdr:rowOff>114300</xdr:rowOff>
    </xdr:from>
    <xdr:to>
      <xdr:col>10</xdr:col>
      <xdr:colOff>114300</xdr:colOff>
      <xdr:row>16</xdr:row>
      <xdr:rowOff>171451</xdr:rowOff>
    </xdr:to>
    <xdr:sp macro="" textlink="">
      <xdr:nvSpPr>
        <xdr:cNvPr id="127" name="Retângulo 126">
          <a:extLst>
            <a:ext uri="{FF2B5EF4-FFF2-40B4-BE49-F238E27FC236}">
              <a16:creationId xmlns:a16="http://schemas.microsoft.com/office/drawing/2014/main" id="{1C859BE9-8679-0A10-DCFB-520586CA5AC6}"/>
            </a:ext>
          </a:extLst>
        </xdr:cNvPr>
        <xdr:cNvSpPr/>
      </xdr:nvSpPr>
      <xdr:spPr>
        <a:xfrm>
          <a:off x="5286375" y="2590800"/>
          <a:ext cx="923925" cy="628651"/>
        </a:xfrm>
        <a:prstGeom prst="rect">
          <a:avLst/>
        </a:prstGeom>
        <a:solidFill>
          <a:schemeClr val="bg2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Bahnschrift" panose="020B0502040204020203" pitchFamily="34" charset="0"/>
            </a:rPr>
            <a:t>DIA 11</a:t>
          </a:r>
        </a:p>
      </xdr:txBody>
    </xdr:sp>
    <xdr:clientData/>
  </xdr:twoCellAnchor>
  <xdr:twoCellAnchor>
    <xdr:from>
      <xdr:col>10</xdr:col>
      <xdr:colOff>219075</xdr:colOff>
      <xdr:row>13</xdr:row>
      <xdr:rowOff>114300</xdr:rowOff>
    </xdr:from>
    <xdr:to>
      <xdr:col>11</xdr:col>
      <xdr:colOff>533400</xdr:colOff>
      <xdr:row>16</xdr:row>
      <xdr:rowOff>171451</xdr:rowOff>
    </xdr:to>
    <xdr:sp macro="" textlink="">
      <xdr:nvSpPr>
        <xdr:cNvPr id="128" name="Retângulo 127">
          <a:extLst>
            <a:ext uri="{FF2B5EF4-FFF2-40B4-BE49-F238E27FC236}">
              <a16:creationId xmlns:a16="http://schemas.microsoft.com/office/drawing/2014/main" id="{EDCCB5A1-4D55-E891-4D55-9F5EC3C4DB38}"/>
            </a:ext>
          </a:extLst>
        </xdr:cNvPr>
        <xdr:cNvSpPr/>
      </xdr:nvSpPr>
      <xdr:spPr>
        <a:xfrm>
          <a:off x="6315075" y="2590800"/>
          <a:ext cx="923925" cy="628651"/>
        </a:xfrm>
        <a:prstGeom prst="rect">
          <a:avLst/>
        </a:prstGeom>
        <a:solidFill>
          <a:schemeClr val="bg2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Bahnschrift" panose="020B0502040204020203" pitchFamily="34" charset="0"/>
            </a:rPr>
            <a:t>DIA 12</a:t>
          </a:r>
        </a:p>
      </xdr:txBody>
    </xdr:sp>
    <xdr:clientData/>
  </xdr:twoCellAnchor>
  <xdr:twoCellAnchor>
    <xdr:from>
      <xdr:col>12</xdr:col>
      <xdr:colOff>57150</xdr:colOff>
      <xdr:row>13</xdr:row>
      <xdr:rowOff>114300</xdr:rowOff>
    </xdr:from>
    <xdr:to>
      <xdr:col>13</xdr:col>
      <xdr:colOff>371475</xdr:colOff>
      <xdr:row>16</xdr:row>
      <xdr:rowOff>171451</xdr:rowOff>
    </xdr:to>
    <xdr:sp macro="" textlink="">
      <xdr:nvSpPr>
        <xdr:cNvPr id="129" name="Retângulo 128">
          <a:extLst>
            <a:ext uri="{FF2B5EF4-FFF2-40B4-BE49-F238E27FC236}">
              <a16:creationId xmlns:a16="http://schemas.microsoft.com/office/drawing/2014/main" id="{BEEA8C8C-4F10-8393-942A-B9D3F9A74D0D}"/>
            </a:ext>
          </a:extLst>
        </xdr:cNvPr>
        <xdr:cNvSpPr/>
      </xdr:nvSpPr>
      <xdr:spPr>
        <a:xfrm>
          <a:off x="7372350" y="2590800"/>
          <a:ext cx="923925" cy="628651"/>
        </a:xfrm>
        <a:prstGeom prst="rect">
          <a:avLst/>
        </a:prstGeom>
        <a:solidFill>
          <a:schemeClr val="bg2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Bahnschrift" panose="020B0502040204020203" pitchFamily="34" charset="0"/>
            </a:rPr>
            <a:t>DIA 13</a:t>
          </a:r>
        </a:p>
      </xdr:txBody>
    </xdr:sp>
    <xdr:clientData/>
  </xdr:twoCellAnchor>
  <xdr:twoCellAnchor>
    <xdr:from>
      <xdr:col>13</xdr:col>
      <xdr:colOff>466725</xdr:colOff>
      <xdr:row>13</xdr:row>
      <xdr:rowOff>114300</xdr:rowOff>
    </xdr:from>
    <xdr:to>
      <xdr:col>15</xdr:col>
      <xdr:colOff>171450</xdr:colOff>
      <xdr:row>16</xdr:row>
      <xdr:rowOff>171451</xdr:rowOff>
    </xdr:to>
    <xdr:sp macro="" textlink="">
      <xdr:nvSpPr>
        <xdr:cNvPr id="130" name="Retângulo 129">
          <a:extLst>
            <a:ext uri="{FF2B5EF4-FFF2-40B4-BE49-F238E27FC236}">
              <a16:creationId xmlns:a16="http://schemas.microsoft.com/office/drawing/2014/main" id="{24E20960-9BDB-5470-FB33-97BD421D39C3}"/>
            </a:ext>
          </a:extLst>
        </xdr:cNvPr>
        <xdr:cNvSpPr/>
      </xdr:nvSpPr>
      <xdr:spPr>
        <a:xfrm>
          <a:off x="8391525" y="2590800"/>
          <a:ext cx="923925" cy="628651"/>
        </a:xfrm>
        <a:prstGeom prst="rect">
          <a:avLst/>
        </a:prstGeom>
        <a:solidFill>
          <a:schemeClr val="bg2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Bahnschrift" panose="020B0502040204020203" pitchFamily="34" charset="0"/>
            </a:rPr>
            <a:t>DIA 14</a:t>
          </a:r>
        </a:p>
      </xdr:txBody>
    </xdr:sp>
    <xdr:clientData/>
  </xdr:twoCellAnchor>
  <xdr:twoCellAnchor>
    <xdr:from>
      <xdr:col>15</xdr:col>
      <xdr:colOff>257175</xdr:colOff>
      <xdr:row>13</xdr:row>
      <xdr:rowOff>114300</xdr:rowOff>
    </xdr:from>
    <xdr:to>
      <xdr:col>16</xdr:col>
      <xdr:colOff>571500</xdr:colOff>
      <xdr:row>16</xdr:row>
      <xdr:rowOff>171451</xdr:rowOff>
    </xdr:to>
    <xdr:sp macro="" textlink="">
      <xdr:nvSpPr>
        <xdr:cNvPr id="131" name="Retângulo 130">
          <a:extLst>
            <a:ext uri="{FF2B5EF4-FFF2-40B4-BE49-F238E27FC236}">
              <a16:creationId xmlns:a16="http://schemas.microsoft.com/office/drawing/2014/main" id="{6ECC1067-6F3C-FDB8-C26D-D933D0A39671}"/>
            </a:ext>
          </a:extLst>
        </xdr:cNvPr>
        <xdr:cNvSpPr/>
      </xdr:nvSpPr>
      <xdr:spPr>
        <a:xfrm>
          <a:off x="9401175" y="2590800"/>
          <a:ext cx="923925" cy="628651"/>
        </a:xfrm>
        <a:prstGeom prst="rect">
          <a:avLst/>
        </a:prstGeom>
        <a:solidFill>
          <a:schemeClr val="bg2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Bahnschrift" panose="020B0502040204020203" pitchFamily="34" charset="0"/>
            </a:rPr>
            <a:t>DIA 15</a:t>
          </a:r>
        </a:p>
      </xdr:txBody>
    </xdr:sp>
    <xdr:clientData/>
  </xdr:twoCellAnchor>
  <xdr:twoCellAnchor>
    <xdr:from>
      <xdr:col>17</xdr:col>
      <xdr:colOff>57150</xdr:colOff>
      <xdr:row>13</xdr:row>
      <xdr:rowOff>114300</xdr:rowOff>
    </xdr:from>
    <xdr:to>
      <xdr:col>18</xdr:col>
      <xdr:colOff>371475</xdr:colOff>
      <xdr:row>16</xdr:row>
      <xdr:rowOff>171451</xdr:rowOff>
    </xdr:to>
    <xdr:sp macro="" textlink="">
      <xdr:nvSpPr>
        <xdr:cNvPr id="132" name="Retângulo 131">
          <a:extLst>
            <a:ext uri="{FF2B5EF4-FFF2-40B4-BE49-F238E27FC236}">
              <a16:creationId xmlns:a16="http://schemas.microsoft.com/office/drawing/2014/main" id="{91096E43-1D69-695F-B303-948BAD7E87E7}"/>
            </a:ext>
          </a:extLst>
        </xdr:cNvPr>
        <xdr:cNvSpPr/>
      </xdr:nvSpPr>
      <xdr:spPr>
        <a:xfrm>
          <a:off x="10420350" y="2590800"/>
          <a:ext cx="923925" cy="628651"/>
        </a:xfrm>
        <a:prstGeom prst="rect">
          <a:avLst/>
        </a:prstGeom>
        <a:solidFill>
          <a:schemeClr val="bg2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Bahnschrift" panose="020B0502040204020203" pitchFamily="34" charset="0"/>
            </a:rPr>
            <a:t>DIA 16</a:t>
          </a:r>
        </a:p>
      </xdr:txBody>
    </xdr:sp>
    <xdr:clientData/>
  </xdr:twoCellAnchor>
  <xdr:twoCellAnchor>
    <xdr:from>
      <xdr:col>18</xdr:col>
      <xdr:colOff>466725</xdr:colOff>
      <xdr:row>13</xdr:row>
      <xdr:rowOff>114300</xdr:rowOff>
    </xdr:from>
    <xdr:to>
      <xdr:col>20</xdr:col>
      <xdr:colOff>171450</xdr:colOff>
      <xdr:row>16</xdr:row>
      <xdr:rowOff>171451</xdr:rowOff>
    </xdr:to>
    <xdr:sp macro="" textlink="">
      <xdr:nvSpPr>
        <xdr:cNvPr id="133" name="Retângulo 132">
          <a:extLst>
            <a:ext uri="{FF2B5EF4-FFF2-40B4-BE49-F238E27FC236}">
              <a16:creationId xmlns:a16="http://schemas.microsoft.com/office/drawing/2014/main" id="{F28188D3-52C5-83E2-4FCA-B797EE57F446}"/>
            </a:ext>
          </a:extLst>
        </xdr:cNvPr>
        <xdr:cNvSpPr/>
      </xdr:nvSpPr>
      <xdr:spPr>
        <a:xfrm>
          <a:off x="11439525" y="2590800"/>
          <a:ext cx="923925" cy="628651"/>
        </a:xfrm>
        <a:prstGeom prst="rect">
          <a:avLst/>
        </a:prstGeom>
        <a:solidFill>
          <a:schemeClr val="bg2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Bahnschrift" panose="020B0502040204020203" pitchFamily="34" charset="0"/>
            </a:rPr>
            <a:t>DIA 17</a:t>
          </a:r>
        </a:p>
      </xdr:txBody>
    </xdr:sp>
    <xdr:clientData/>
  </xdr:twoCellAnchor>
  <xdr:twoCellAnchor>
    <xdr:from>
      <xdr:col>20</xdr:col>
      <xdr:colOff>276225</xdr:colOff>
      <xdr:row>13</xdr:row>
      <xdr:rowOff>123825</xdr:rowOff>
    </xdr:from>
    <xdr:to>
      <xdr:col>21</xdr:col>
      <xdr:colOff>590550</xdr:colOff>
      <xdr:row>16</xdr:row>
      <xdr:rowOff>180976</xdr:rowOff>
    </xdr:to>
    <xdr:sp macro="" textlink="">
      <xdr:nvSpPr>
        <xdr:cNvPr id="134" name="Retângulo 133">
          <a:extLst>
            <a:ext uri="{FF2B5EF4-FFF2-40B4-BE49-F238E27FC236}">
              <a16:creationId xmlns:a16="http://schemas.microsoft.com/office/drawing/2014/main" id="{B86143D0-935E-88B8-01A1-2176E11960DA}"/>
            </a:ext>
          </a:extLst>
        </xdr:cNvPr>
        <xdr:cNvSpPr/>
      </xdr:nvSpPr>
      <xdr:spPr>
        <a:xfrm>
          <a:off x="12468225" y="2600325"/>
          <a:ext cx="923925" cy="628651"/>
        </a:xfrm>
        <a:prstGeom prst="rect">
          <a:avLst/>
        </a:prstGeom>
        <a:solidFill>
          <a:schemeClr val="bg2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Bahnschrift" panose="020B0502040204020203" pitchFamily="34" charset="0"/>
            </a:rPr>
            <a:t>DIA 18</a:t>
          </a:r>
        </a:p>
      </xdr:txBody>
    </xdr:sp>
    <xdr:clientData/>
  </xdr:twoCellAnchor>
  <xdr:twoCellAnchor>
    <xdr:from>
      <xdr:col>7</xdr:col>
      <xdr:colOff>19050</xdr:colOff>
      <xdr:row>17</xdr:row>
      <xdr:rowOff>142875</xdr:rowOff>
    </xdr:from>
    <xdr:to>
      <xdr:col>8</xdr:col>
      <xdr:colOff>333375</xdr:colOff>
      <xdr:row>21</xdr:row>
      <xdr:rowOff>9526</xdr:rowOff>
    </xdr:to>
    <xdr:sp macro="" textlink="">
      <xdr:nvSpPr>
        <xdr:cNvPr id="135" name="Retângulo 134">
          <a:extLst>
            <a:ext uri="{FF2B5EF4-FFF2-40B4-BE49-F238E27FC236}">
              <a16:creationId xmlns:a16="http://schemas.microsoft.com/office/drawing/2014/main" id="{F7892338-0BED-CFAF-E2D1-008B1E63E78D}"/>
            </a:ext>
          </a:extLst>
        </xdr:cNvPr>
        <xdr:cNvSpPr/>
      </xdr:nvSpPr>
      <xdr:spPr>
        <a:xfrm>
          <a:off x="4286250" y="3381375"/>
          <a:ext cx="923925" cy="628651"/>
        </a:xfrm>
        <a:prstGeom prst="rect">
          <a:avLst/>
        </a:prstGeom>
        <a:solidFill>
          <a:schemeClr val="bg2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Bahnschrift" panose="020B0502040204020203" pitchFamily="34" charset="0"/>
            </a:rPr>
            <a:t>DIA 19</a:t>
          </a:r>
        </a:p>
      </xdr:txBody>
    </xdr:sp>
    <xdr:clientData/>
  </xdr:twoCellAnchor>
  <xdr:twoCellAnchor>
    <xdr:from>
      <xdr:col>8</xdr:col>
      <xdr:colOff>419100</xdr:colOff>
      <xdr:row>17</xdr:row>
      <xdr:rowOff>142875</xdr:rowOff>
    </xdr:from>
    <xdr:to>
      <xdr:col>10</xdr:col>
      <xdr:colOff>123825</xdr:colOff>
      <xdr:row>21</xdr:row>
      <xdr:rowOff>9526</xdr:rowOff>
    </xdr:to>
    <xdr:sp macro="" textlink="">
      <xdr:nvSpPr>
        <xdr:cNvPr id="136" name="Retângulo 135">
          <a:extLst>
            <a:ext uri="{FF2B5EF4-FFF2-40B4-BE49-F238E27FC236}">
              <a16:creationId xmlns:a16="http://schemas.microsoft.com/office/drawing/2014/main" id="{87286C59-DE10-CE51-5A65-9D520103F717}"/>
            </a:ext>
          </a:extLst>
        </xdr:cNvPr>
        <xdr:cNvSpPr/>
      </xdr:nvSpPr>
      <xdr:spPr>
        <a:xfrm>
          <a:off x="5295900" y="3381375"/>
          <a:ext cx="923925" cy="628651"/>
        </a:xfrm>
        <a:prstGeom prst="rect">
          <a:avLst/>
        </a:prstGeom>
        <a:solidFill>
          <a:schemeClr val="bg2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Bahnschrift" panose="020B0502040204020203" pitchFamily="34" charset="0"/>
            </a:rPr>
            <a:t>DIA 20</a:t>
          </a:r>
        </a:p>
      </xdr:txBody>
    </xdr:sp>
    <xdr:clientData/>
  </xdr:twoCellAnchor>
  <xdr:twoCellAnchor>
    <xdr:from>
      <xdr:col>10</xdr:col>
      <xdr:colOff>228600</xdr:colOff>
      <xdr:row>17</xdr:row>
      <xdr:rowOff>142875</xdr:rowOff>
    </xdr:from>
    <xdr:to>
      <xdr:col>11</xdr:col>
      <xdr:colOff>542925</xdr:colOff>
      <xdr:row>21</xdr:row>
      <xdr:rowOff>9526</xdr:rowOff>
    </xdr:to>
    <xdr:sp macro="" textlink="">
      <xdr:nvSpPr>
        <xdr:cNvPr id="137" name="Retângulo 136">
          <a:extLst>
            <a:ext uri="{FF2B5EF4-FFF2-40B4-BE49-F238E27FC236}">
              <a16:creationId xmlns:a16="http://schemas.microsoft.com/office/drawing/2014/main" id="{094322EE-D519-0E7F-F681-AF6C827BF524}"/>
            </a:ext>
          </a:extLst>
        </xdr:cNvPr>
        <xdr:cNvSpPr/>
      </xdr:nvSpPr>
      <xdr:spPr>
        <a:xfrm>
          <a:off x="6324600" y="3381375"/>
          <a:ext cx="923925" cy="628651"/>
        </a:xfrm>
        <a:prstGeom prst="rect">
          <a:avLst/>
        </a:prstGeom>
        <a:solidFill>
          <a:schemeClr val="bg2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Bahnschrift" panose="020B0502040204020203" pitchFamily="34" charset="0"/>
            </a:rPr>
            <a:t>DIA 21</a:t>
          </a:r>
        </a:p>
      </xdr:txBody>
    </xdr:sp>
    <xdr:clientData/>
  </xdr:twoCellAnchor>
  <xdr:twoCellAnchor>
    <xdr:from>
      <xdr:col>12</xdr:col>
      <xdr:colOff>66675</xdr:colOff>
      <xdr:row>17</xdr:row>
      <xdr:rowOff>142875</xdr:rowOff>
    </xdr:from>
    <xdr:to>
      <xdr:col>13</xdr:col>
      <xdr:colOff>381000</xdr:colOff>
      <xdr:row>21</xdr:row>
      <xdr:rowOff>9526</xdr:rowOff>
    </xdr:to>
    <xdr:sp macro="" textlink="">
      <xdr:nvSpPr>
        <xdr:cNvPr id="138" name="Retângulo 137">
          <a:extLst>
            <a:ext uri="{FF2B5EF4-FFF2-40B4-BE49-F238E27FC236}">
              <a16:creationId xmlns:a16="http://schemas.microsoft.com/office/drawing/2014/main" id="{0261C4E8-1AEC-926D-9A27-8644AF11D9EC}"/>
            </a:ext>
          </a:extLst>
        </xdr:cNvPr>
        <xdr:cNvSpPr/>
      </xdr:nvSpPr>
      <xdr:spPr>
        <a:xfrm>
          <a:off x="7381875" y="3381375"/>
          <a:ext cx="923925" cy="628651"/>
        </a:xfrm>
        <a:prstGeom prst="rect">
          <a:avLst/>
        </a:prstGeom>
        <a:solidFill>
          <a:schemeClr val="bg2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Bahnschrift" panose="020B0502040204020203" pitchFamily="34" charset="0"/>
            </a:rPr>
            <a:t>DIA 22</a:t>
          </a:r>
        </a:p>
      </xdr:txBody>
    </xdr:sp>
    <xdr:clientData/>
  </xdr:twoCellAnchor>
  <xdr:twoCellAnchor>
    <xdr:from>
      <xdr:col>13</xdr:col>
      <xdr:colOff>476250</xdr:colOff>
      <xdr:row>17</xdr:row>
      <xdr:rowOff>142875</xdr:rowOff>
    </xdr:from>
    <xdr:to>
      <xdr:col>15</xdr:col>
      <xdr:colOff>180975</xdr:colOff>
      <xdr:row>21</xdr:row>
      <xdr:rowOff>9526</xdr:rowOff>
    </xdr:to>
    <xdr:sp macro="" textlink="">
      <xdr:nvSpPr>
        <xdr:cNvPr id="139" name="Retângulo 138">
          <a:extLst>
            <a:ext uri="{FF2B5EF4-FFF2-40B4-BE49-F238E27FC236}">
              <a16:creationId xmlns:a16="http://schemas.microsoft.com/office/drawing/2014/main" id="{F1A14F50-AC4E-246D-ABC0-9D4DED834C7D}"/>
            </a:ext>
          </a:extLst>
        </xdr:cNvPr>
        <xdr:cNvSpPr/>
      </xdr:nvSpPr>
      <xdr:spPr>
        <a:xfrm>
          <a:off x="8401050" y="3381375"/>
          <a:ext cx="923925" cy="628651"/>
        </a:xfrm>
        <a:prstGeom prst="rect">
          <a:avLst/>
        </a:prstGeom>
        <a:solidFill>
          <a:schemeClr val="bg2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Bahnschrift" panose="020B0502040204020203" pitchFamily="34" charset="0"/>
            </a:rPr>
            <a:t>DIA 23</a:t>
          </a:r>
        </a:p>
      </xdr:txBody>
    </xdr:sp>
    <xdr:clientData/>
  </xdr:twoCellAnchor>
  <xdr:twoCellAnchor>
    <xdr:from>
      <xdr:col>15</xdr:col>
      <xdr:colOff>266700</xdr:colOff>
      <xdr:row>17</xdr:row>
      <xdr:rowOff>142875</xdr:rowOff>
    </xdr:from>
    <xdr:to>
      <xdr:col>16</xdr:col>
      <xdr:colOff>581025</xdr:colOff>
      <xdr:row>21</xdr:row>
      <xdr:rowOff>9526</xdr:rowOff>
    </xdr:to>
    <xdr:sp macro="" textlink="">
      <xdr:nvSpPr>
        <xdr:cNvPr id="140" name="Retângulo 139">
          <a:extLst>
            <a:ext uri="{FF2B5EF4-FFF2-40B4-BE49-F238E27FC236}">
              <a16:creationId xmlns:a16="http://schemas.microsoft.com/office/drawing/2014/main" id="{9C502AA0-E0F8-6216-88FD-1AD57A5A3617}"/>
            </a:ext>
          </a:extLst>
        </xdr:cNvPr>
        <xdr:cNvSpPr/>
      </xdr:nvSpPr>
      <xdr:spPr>
        <a:xfrm>
          <a:off x="9410700" y="3381375"/>
          <a:ext cx="923925" cy="628651"/>
        </a:xfrm>
        <a:prstGeom prst="rect">
          <a:avLst/>
        </a:prstGeom>
        <a:solidFill>
          <a:schemeClr val="bg2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Bahnschrift" panose="020B0502040204020203" pitchFamily="34" charset="0"/>
            </a:rPr>
            <a:t>DIA 24</a:t>
          </a:r>
        </a:p>
      </xdr:txBody>
    </xdr:sp>
    <xdr:clientData/>
  </xdr:twoCellAnchor>
  <xdr:twoCellAnchor>
    <xdr:from>
      <xdr:col>17</xdr:col>
      <xdr:colOff>66675</xdr:colOff>
      <xdr:row>17</xdr:row>
      <xdr:rowOff>142875</xdr:rowOff>
    </xdr:from>
    <xdr:to>
      <xdr:col>18</xdr:col>
      <xdr:colOff>381000</xdr:colOff>
      <xdr:row>21</xdr:row>
      <xdr:rowOff>9526</xdr:rowOff>
    </xdr:to>
    <xdr:sp macro="" textlink="">
      <xdr:nvSpPr>
        <xdr:cNvPr id="141" name="Retângulo 140">
          <a:extLst>
            <a:ext uri="{FF2B5EF4-FFF2-40B4-BE49-F238E27FC236}">
              <a16:creationId xmlns:a16="http://schemas.microsoft.com/office/drawing/2014/main" id="{F58F4561-A1FD-D043-2767-3C8F4B5D3664}"/>
            </a:ext>
          </a:extLst>
        </xdr:cNvPr>
        <xdr:cNvSpPr/>
      </xdr:nvSpPr>
      <xdr:spPr>
        <a:xfrm>
          <a:off x="10429875" y="3381375"/>
          <a:ext cx="923925" cy="628651"/>
        </a:xfrm>
        <a:prstGeom prst="rect">
          <a:avLst/>
        </a:prstGeom>
        <a:solidFill>
          <a:schemeClr val="bg2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Bahnschrift" panose="020B0502040204020203" pitchFamily="34" charset="0"/>
            </a:rPr>
            <a:t>DIA 25</a:t>
          </a:r>
        </a:p>
      </xdr:txBody>
    </xdr:sp>
    <xdr:clientData/>
  </xdr:twoCellAnchor>
  <xdr:twoCellAnchor>
    <xdr:from>
      <xdr:col>18</xdr:col>
      <xdr:colOff>476250</xdr:colOff>
      <xdr:row>17</xdr:row>
      <xdr:rowOff>142875</xdr:rowOff>
    </xdr:from>
    <xdr:to>
      <xdr:col>20</xdr:col>
      <xdr:colOff>180975</xdr:colOff>
      <xdr:row>21</xdr:row>
      <xdr:rowOff>9526</xdr:rowOff>
    </xdr:to>
    <xdr:sp macro="" textlink="">
      <xdr:nvSpPr>
        <xdr:cNvPr id="142" name="Retângulo 141">
          <a:extLst>
            <a:ext uri="{FF2B5EF4-FFF2-40B4-BE49-F238E27FC236}">
              <a16:creationId xmlns:a16="http://schemas.microsoft.com/office/drawing/2014/main" id="{D9B79C35-4984-0108-4FA2-151519B14061}"/>
            </a:ext>
          </a:extLst>
        </xdr:cNvPr>
        <xdr:cNvSpPr/>
      </xdr:nvSpPr>
      <xdr:spPr>
        <a:xfrm>
          <a:off x="11449050" y="3381375"/>
          <a:ext cx="923925" cy="628651"/>
        </a:xfrm>
        <a:prstGeom prst="rect">
          <a:avLst/>
        </a:prstGeom>
        <a:solidFill>
          <a:schemeClr val="bg2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 cap="none" spc="0">
              <a:ln w="12700">
                <a:solidFill>
                  <a:schemeClr val="accent1"/>
                </a:solidFill>
                <a:prstDash val="solid"/>
              </a:ln>
              <a:pattFill prst="pct50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accent1"/>
                </a:outerShdw>
              </a:effectLst>
              <a:latin typeface="Bahnschrift" panose="020B0502040204020203" pitchFamily="34" charset="0"/>
            </a:rPr>
            <a:t>DIA 01</a:t>
          </a:r>
        </a:p>
      </xdr:txBody>
    </xdr:sp>
    <xdr:clientData/>
  </xdr:twoCellAnchor>
  <xdr:twoCellAnchor>
    <xdr:from>
      <xdr:col>20</xdr:col>
      <xdr:colOff>285750</xdr:colOff>
      <xdr:row>17</xdr:row>
      <xdr:rowOff>152400</xdr:rowOff>
    </xdr:from>
    <xdr:to>
      <xdr:col>21</xdr:col>
      <xdr:colOff>600075</xdr:colOff>
      <xdr:row>21</xdr:row>
      <xdr:rowOff>19051</xdr:rowOff>
    </xdr:to>
    <xdr:sp macro="" textlink="">
      <xdr:nvSpPr>
        <xdr:cNvPr id="143" name="Retângulo 142">
          <a:extLst>
            <a:ext uri="{FF2B5EF4-FFF2-40B4-BE49-F238E27FC236}">
              <a16:creationId xmlns:a16="http://schemas.microsoft.com/office/drawing/2014/main" id="{73B00635-FB64-0093-A6F3-435301B5F0CB}"/>
            </a:ext>
          </a:extLst>
        </xdr:cNvPr>
        <xdr:cNvSpPr/>
      </xdr:nvSpPr>
      <xdr:spPr>
        <a:xfrm>
          <a:off x="12477750" y="3390900"/>
          <a:ext cx="923925" cy="628651"/>
        </a:xfrm>
        <a:prstGeom prst="rect">
          <a:avLst/>
        </a:prstGeom>
        <a:solidFill>
          <a:schemeClr val="bg2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 cap="none" spc="0">
              <a:ln w="12700">
                <a:solidFill>
                  <a:schemeClr val="accent1"/>
                </a:solidFill>
                <a:prstDash val="solid"/>
              </a:ln>
              <a:pattFill prst="pct50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accent1"/>
                </a:outerShdw>
              </a:effectLst>
              <a:latin typeface="Bahnschrift" panose="020B0502040204020203" pitchFamily="34" charset="0"/>
            </a:rPr>
            <a:t>DIA 01</a:t>
          </a:r>
        </a:p>
      </xdr:txBody>
    </xdr:sp>
    <xdr:clientData/>
  </xdr:twoCellAnchor>
  <xdr:twoCellAnchor>
    <xdr:from>
      <xdr:col>18</xdr:col>
      <xdr:colOff>447675</xdr:colOff>
      <xdr:row>17</xdr:row>
      <xdr:rowOff>142875</xdr:rowOff>
    </xdr:from>
    <xdr:to>
      <xdr:col>20</xdr:col>
      <xdr:colOff>152400</xdr:colOff>
      <xdr:row>21</xdr:row>
      <xdr:rowOff>9526</xdr:rowOff>
    </xdr:to>
    <xdr:sp macro="" textlink="">
      <xdr:nvSpPr>
        <xdr:cNvPr id="144" name="Retângulo 143">
          <a:extLst>
            <a:ext uri="{FF2B5EF4-FFF2-40B4-BE49-F238E27FC236}">
              <a16:creationId xmlns:a16="http://schemas.microsoft.com/office/drawing/2014/main" id="{BC552E70-F342-4AA8-FB28-EB078371DC59}"/>
            </a:ext>
          </a:extLst>
        </xdr:cNvPr>
        <xdr:cNvSpPr/>
      </xdr:nvSpPr>
      <xdr:spPr>
        <a:xfrm>
          <a:off x="11420475" y="3381375"/>
          <a:ext cx="923925" cy="628651"/>
        </a:xfrm>
        <a:prstGeom prst="rect">
          <a:avLst/>
        </a:prstGeom>
        <a:solidFill>
          <a:schemeClr val="bg2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Bahnschrift" panose="020B0502040204020203" pitchFamily="34" charset="0"/>
            </a:rPr>
            <a:t>DIA 26</a:t>
          </a:r>
        </a:p>
      </xdr:txBody>
    </xdr:sp>
    <xdr:clientData/>
  </xdr:twoCellAnchor>
  <xdr:twoCellAnchor>
    <xdr:from>
      <xdr:col>20</xdr:col>
      <xdr:colOff>257175</xdr:colOff>
      <xdr:row>17</xdr:row>
      <xdr:rowOff>152400</xdr:rowOff>
    </xdr:from>
    <xdr:to>
      <xdr:col>21</xdr:col>
      <xdr:colOff>571500</xdr:colOff>
      <xdr:row>21</xdr:row>
      <xdr:rowOff>19051</xdr:rowOff>
    </xdr:to>
    <xdr:sp macro="" textlink="">
      <xdr:nvSpPr>
        <xdr:cNvPr id="145" name="Retângulo 144">
          <a:extLst>
            <a:ext uri="{FF2B5EF4-FFF2-40B4-BE49-F238E27FC236}">
              <a16:creationId xmlns:a16="http://schemas.microsoft.com/office/drawing/2014/main" id="{9FA1854C-FB38-7353-1467-860287ABE5AD}"/>
            </a:ext>
          </a:extLst>
        </xdr:cNvPr>
        <xdr:cNvSpPr/>
      </xdr:nvSpPr>
      <xdr:spPr>
        <a:xfrm>
          <a:off x="12449175" y="3390900"/>
          <a:ext cx="923925" cy="628651"/>
        </a:xfrm>
        <a:prstGeom prst="rect">
          <a:avLst/>
        </a:prstGeom>
        <a:solidFill>
          <a:schemeClr val="bg2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Bahnschrift" panose="020B0502040204020203" pitchFamily="34" charset="0"/>
            </a:rPr>
            <a:t>DIA 27</a:t>
          </a:r>
        </a:p>
      </xdr:txBody>
    </xdr:sp>
    <xdr:clientData/>
  </xdr:twoCellAnchor>
  <xdr:twoCellAnchor>
    <xdr:from>
      <xdr:col>11</xdr:col>
      <xdr:colOff>142875</xdr:colOff>
      <xdr:row>22</xdr:row>
      <xdr:rowOff>9525</xdr:rowOff>
    </xdr:from>
    <xdr:to>
      <xdr:col>12</xdr:col>
      <xdr:colOff>457200</xdr:colOff>
      <xdr:row>25</xdr:row>
      <xdr:rowOff>66676</xdr:rowOff>
    </xdr:to>
    <xdr:sp macro="" textlink="">
      <xdr:nvSpPr>
        <xdr:cNvPr id="146" name="Retângulo 145">
          <a:extLst>
            <a:ext uri="{FF2B5EF4-FFF2-40B4-BE49-F238E27FC236}">
              <a16:creationId xmlns:a16="http://schemas.microsoft.com/office/drawing/2014/main" id="{B33F2565-F24D-0B0E-6794-31DC97259737}"/>
            </a:ext>
          </a:extLst>
        </xdr:cNvPr>
        <xdr:cNvSpPr/>
      </xdr:nvSpPr>
      <xdr:spPr>
        <a:xfrm>
          <a:off x="6848475" y="4200525"/>
          <a:ext cx="923925" cy="628651"/>
        </a:xfrm>
        <a:prstGeom prst="rect">
          <a:avLst/>
        </a:prstGeom>
        <a:solidFill>
          <a:schemeClr val="bg2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Bahnschrift" panose="020B0502040204020203" pitchFamily="34" charset="0"/>
            </a:rPr>
            <a:t>DIA 28</a:t>
          </a:r>
        </a:p>
      </xdr:txBody>
    </xdr:sp>
    <xdr:clientData/>
  </xdr:twoCellAnchor>
  <xdr:twoCellAnchor>
    <xdr:from>
      <xdr:col>12</xdr:col>
      <xdr:colOff>552450</xdr:colOff>
      <xdr:row>22</xdr:row>
      <xdr:rowOff>9525</xdr:rowOff>
    </xdr:from>
    <xdr:to>
      <xdr:col>14</xdr:col>
      <xdr:colOff>257175</xdr:colOff>
      <xdr:row>25</xdr:row>
      <xdr:rowOff>66676</xdr:rowOff>
    </xdr:to>
    <xdr:sp macro="" textlink="">
      <xdr:nvSpPr>
        <xdr:cNvPr id="147" name="Retângulo 146">
          <a:extLst>
            <a:ext uri="{FF2B5EF4-FFF2-40B4-BE49-F238E27FC236}">
              <a16:creationId xmlns:a16="http://schemas.microsoft.com/office/drawing/2014/main" id="{84D6FA7B-DD44-116E-F8FB-4569E8CFE3D4}"/>
            </a:ext>
          </a:extLst>
        </xdr:cNvPr>
        <xdr:cNvSpPr/>
      </xdr:nvSpPr>
      <xdr:spPr>
        <a:xfrm>
          <a:off x="7867650" y="4200525"/>
          <a:ext cx="923925" cy="628651"/>
        </a:xfrm>
        <a:prstGeom prst="rect">
          <a:avLst/>
        </a:prstGeom>
        <a:solidFill>
          <a:schemeClr val="bg2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Bahnschrift" panose="020B0502040204020203" pitchFamily="34" charset="0"/>
            </a:rPr>
            <a:t>DIA 29</a:t>
          </a:r>
        </a:p>
      </xdr:txBody>
    </xdr:sp>
    <xdr:clientData/>
  </xdr:twoCellAnchor>
  <xdr:twoCellAnchor>
    <xdr:from>
      <xdr:col>14</xdr:col>
      <xdr:colOff>323850</xdr:colOff>
      <xdr:row>22</xdr:row>
      <xdr:rowOff>9525</xdr:rowOff>
    </xdr:from>
    <xdr:to>
      <xdr:col>16</xdr:col>
      <xdr:colOff>28575</xdr:colOff>
      <xdr:row>25</xdr:row>
      <xdr:rowOff>66676</xdr:rowOff>
    </xdr:to>
    <xdr:sp macro="" textlink="">
      <xdr:nvSpPr>
        <xdr:cNvPr id="148" name="Retângulo 147">
          <a:extLst>
            <a:ext uri="{FF2B5EF4-FFF2-40B4-BE49-F238E27FC236}">
              <a16:creationId xmlns:a16="http://schemas.microsoft.com/office/drawing/2014/main" id="{33E07D14-4D52-7157-43A7-BC6E670D6307}"/>
            </a:ext>
          </a:extLst>
        </xdr:cNvPr>
        <xdr:cNvSpPr/>
      </xdr:nvSpPr>
      <xdr:spPr>
        <a:xfrm>
          <a:off x="8858250" y="4200525"/>
          <a:ext cx="923925" cy="628651"/>
        </a:xfrm>
        <a:prstGeom prst="rect">
          <a:avLst/>
        </a:prstGeom>
        <a:solidFill>
          <a:schemeClr val="bg2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Bahnschrift" panose="020B0502040204020203" pitchFamily="34" charset="0"/>
            </a:rPr>
            <a:t>DIA 30</a:t>
          </a:r>
        </a:p>
      </xdr:txBody>
    </xdr:sp>
    <xdr:clientData/>
  </xdr:twoCellAnchor>
  <xdr:twoCellAnchor>
    <xdr:from>
      <xdr:col>16</xdr:col>
      <xdr:colOff>133350</xdr:colOff>
      <xdr:row>22</xdr:row>
      <xdr:rowOff>19050</xdr:rowOff>
    </xdr:from>
    <xdr:to>
      <xdr:col>17</xdr:col>
      <xdr:colOff>447675</xdr:colOff>
      <xdr:row>25</xdr:row>
      <xdr:rowOff>76201</xdr:rowOff>
    </xdr:to>
    <xdr:sp macro="" textlink="">
      <xdr:nvSpPr>
        <xdr:cNvPr id="149" name="Retângulo 148">
          <a:extLst>
            <a:ext uri="{FF2B5EF4-FFF2-40B4-BE49-F238E27FC236}">
              <a16:creationId xmlns:a16="http://schemas.microsoft.com/office/drawing/2014/main" id="{6A3D6076-B5AB-99AB-4D67-E9A145224A7B}"/>
            </a:ext>
          </a:extLst>
        </xdr:cNvPr>
        <xdr:cNvSpPr/>
      </xdr:nvSpPr>
      <xdr:spPr>
        <a:xfrm>
          <a:off x="9886950" y="4210050"/>
          <a:ext cx="923925" cy="628651"/>
        </a:xfrm>
        <a:prstGeom prst="rect">
          <a:avLst/>
        </a:prstGeom>
        <a:solidFill>
          <a:schemeClr val="bg2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Bahnschrift" panose="020B0502040204020203" pitchFamily="34" charset="0"/>
            </a:rPr>
            <a:t>DIA 31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123825</xdr:rowOff>
    </xdr:from>
    <xdr:to>
      <xdr:col>3</xdr:col>
      <xdr:colOff>85725</xdr:colOff>
      <xdr:row>3</xdr:row>
      <xdr:rowOff>85725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387D29-740F-4AB3-AAB5-9AF548E9CD5E}"/>
            </a:ext>
          </a:extLst>
        </xdr:cNvPr>
        <xdr:cNvSpPr/>
      </xdr:nvSpPr>
      <xdr:spPr>
        <a:xfrm>
          <a:off x="619125" y="123825"/>
          <a:ext cx="3600450" cy="55245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latin typeface="Arial Black" panose="020B0A04020102020204" pitchFamily="34" charset="0"/>
            </a:rPr>
            <a:t>Melhor</a:t>
          </a:r>
          <a:r>
            <a:rPr lang="en-US" sz="2000" baseline="0">
              <a:latin typeface="Arial Black" panose="020B0A04020102020204" pitchFamily="34" charset="0"/>
            </a:rPr>
            <a:t> gás</a:t>
          </a:r>
          <a:endParaRPr lang="en-US" sz="2000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7</xdr:col>
      <xdr:colOff>714375</xdr:colOff>
      <xdr:row>2</xdr:row>
      <xdr:rowOff>66675</xdr:rowOff>
    </xdr:from>
    <xdr:to>
      <xdr:col>11</xdr:col>
      <xdr:colOff>28575</xdr:colOff>
      <xdr:row>4</xdr:row>
      <xdr:rowOff>28575</xdr:rowOff>
    </xdr:to>
    <xdr:sp macro="" textlink="$J$4">
      <xdr:nvSpPr>
        <xdr:cNvPr id="3" name="Retângulo 2">
          <a:extLst>
            <a:ext uri="{FF2B5EF4-FFF2-40B4-BE49-F238E27FC236}">
              <a16:creationId xmlns:a16="http://schemas.microsoft.com/office/drawing/2014/main" id="{08FF06A3-6CF6-4AC5-A749-DD33BA3C2A87}"/>
            </a:ext>
          </a:extLst>
        </xdr:cNvPr>
        <xdr:cNvSpPr/>
      </xdr:nvSpPr>
      <xdr:spPr>
        <a:xfrm>
          <a:off x="10467975" y="457200"/>
          <a:ext cx="3248025" cy="3524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273BABBF-FC4C-40EC-8507-B05137E3707D}" type="TxLink">
            <a:rPr lang="en-US" sz="1400" b="1" i="0" u="none" strike="noStrike">
              <a:solidFill>
                <a:schemeClr val="bg1"/>
              </a:solidFill>
              <a:latin typeface="Arial Black" panose="020B0A04020102020204" pitchFamily="34" charset="0"/>
              <a:cs typeface="Calibri"/>
            </a:rPr>
            <a:pPr algn="ctr"/>
            <a:t>Estoque inicial</a:t>
          </a:fld>
          <a:endParaRPr lang="pt-BR" sz="1400" b="1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8</xdr:col>
      <xdr:colOff>9524</xdr:colOff>
      <xdr:row>11</xdr:row>
      <xdr:rowOff>66675</xdr:rowOff>
    </xdr:from>
    <xdr:to>
      <xdr:col>10</xdr:col>
      <xdr:colOff>38100</xdr:colOff>
      <xdr:row>13</xdr:row>
      <xdr:rowOff>47625</xdr:rowOff>
    </xdr:to>
    <xdr:sp macro="" textlink="$I$13">
      <xdr:nvSpPr>
        <xdr:cNvPr id="4" name="Retângulo 3">
          <a:extLst>
            <a:ext uri="{FF2B5EF4-FFF2-40B4-BE49-F238E27FC236}">
              <a16:creationId xmlns:a16="http://schemas.microsoft.com/office/drawing/2014/main" id="{37CF7AA1-6E9B-4ED2-9864-78458E0C3024}"/>
            </a:ext>
          </a:extLst>
        </xdr:cNvPr>
        <xdr:cNvSpPr/>
      </xdr:nvSpPr>
      <xdr:spPr>
        <a:xfrm>
          <a:off x="10515599" y="2181225"/>
          <a:ext cx="2390776" cy="36195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9D7E5BDE-5ADD-4655-B0F8-498629E2789E}" type="TxLink">
            <a:rPr lang="en-US" sz="1400" b="0" i="0" u="none" strike="noStrike">
              <a:solidFill>
                <a:schemeClr val="bg1"/>
              </a:solidFill>
              <a:latin typeface="Arial Black" panose="020B0A04020102020204" pitchFamily="34" charset="0"/>
              <a:cs typeface="Calibri"/>
            </a:rPr>
            <a:pPr algn="ctr"/>
            <a:t>Saida de caixa</a:t>
          </a:fld>
          <a:endParaRPr lang="pt-BR" sz="14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7</xdr:col>
      <xdr:colOff>695325</xdr:colOff>
      <xdr:row>38</xdr:row>
      <xdr:rowOff>19050</xdr:rowOff>
    </xdr:from>
    <xdr:to>
      <xdr:col>11</xdr:col>
      <xdr:colOff>9525</xdr:colOff>
      <xdr:row>39</xdr:row>
      <xdr:rowOff>171450</xdr:rowOff>
    </xdr:to>
    <xdr:sp macro="" textlink="$I$40">
      <xdr:nvSpPr>
        <xdr:cNvPr id="5" name="Retângulo 4">
          <a:extLst>
            <a:ext uri="{FF2B5EF4-FFF2-40B4-BE49-F238E27FC236}">
              <a16:creationId xmlns:a16="http://schemas.microsoft.com/office/drawing/2014/main" id="{274AFABF-D702-41A1-BBA7-B4C1537B40BB}"/>
            </a:ext>
          </a:extLst>
        </xdr:cNvPr>
        <xdr:cNvSpPr/>
      </xdr:nvSpPr>
      <xdr:spPr>
        <a:xfrm>
          <a:off x="10448925" y="7324725"/>
          <a:ext cx="3248025" cy="3429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4F6BA73-4BAA-4F17-812D-B7437725F7F1}" type="TxLink">
            <a:rPr lang="en-US" sz="1400" b="1" i="0" u="none" strike="noStrike">
              <a:solidFill>
                <a:schemeClr val="bg1"/>
              </a:solidFill>
              <a:latin typeface="Arial Black" panose="020B0A04020102020204" pitchFamily="34" charset="0"/>
              <a:cs typeface="Calibri"/>
            </a:rPr>
            <a:pPr algn="ctr"/>
            <a:t>Estoque Final</a:t>
          </a:fld>
          <a:endParaRPr lang="pt-BR" sz="1400" b="1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11</xdr:col>
      <xdr:colOff>685802</xdr:colOff>
      <xdr:row>2</xdr:row>
      <xdr:rowOff>161924</xdr:rowOff>
    </xdr:from>
    <xdr:to>
      <xdr:col>15</xdr:col>
      <xdr:colOff>66676</xdr:colOff>
      <xdr:row>4</xdr:row>
      <xdr:rowOff>47624</xdr:rowOff>
    </xdr:to>
    <xdr:sp macro="" textlink="$M$4">
      <xdr:nvSpPr>
        <xdr:cNvPr id="6" name="Retângulo 5">
          <a:extLst>
            <a:ext uri="{FF2B5EF4-FFF2-40B4-BE49-F238E27FC236}">
              <a16:creationId xmlns:a16="http://schemas.microsoft.com/office/drawing/2014/main" id="{1C7F413A-76C0-4984-9EEC-A9BACF8F98A8}"/>
            </a:ext>
          </a:extLst>
        </xdr:cNvPr>
        <xdr:cNvSpPr/>
      </xdr:nvSpPr>
      <xdr:spPr>
        <a:xfrm>
          <a:off x="14258927" y="552449"/>
          <a:ext cx="3286124" cy="2762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E7ABE673-AD27-4DBA-B4FE-B90381529BD6}" type="TxLink">
            <a:rPr lang="en-US" sz="1400" b="1" i="0" u="none" strike="noStrike">
              <a:solidFill>
                <a:schemeClr val="bg1"/>
              </a:solidFill>
              <a:latin typeface="Arial Black" panose="020B0A04020102020204" pitchFamily="34" charset="0"/>
              <a:cs typeface="Calibri"/>
            </a:rPr>
            <a:pPr algn="ctr"/>
            <a:t>Abastecimento</a:t>
          </a:fld>
          <a:endParaRPr lang="pt-BR" sz="1400" b="1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11</xdr:col>
      <xdr:colOff>676275</xdr:colOff>
      <xdr:row>39</xdr:row>
      <xdr:rowOff>47625</xdr:rowOff>
    </xdr:from>
    <xdr:to>
      <xdr:col>14</xdr:col>
      <xdr:colOff>209551</xdr:colOff>
      <xdr:row>43</xdr:row>
      <xdr:rowOff>114299</xdr:rowOff>
    </xdr:to>
    <xdr:sp macro="" textlink="">
      <xdr:nvSpPr>
        <xdr:cNvPr id="7" name="Retângulo: Cantos Arredondados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BA4A1F-C0A2-45F6-9E7E-C63319E5F1A0}"/>
            </a:ext>
          </a:extLst>
        </xdr:cNvPr>
        <xdr:cNvSpPr/>
      </xdr:nvSpPr>
      <xdr:spPr>
        <a:xfrm>
          <a:off x="14258925" y="7543800"/>
          <a:ext cx="2562226" cy="828674"/>
        </a:xfrm>
        <a:prstGeom prst="round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3200">
              <a:latin typeface="Arial Black" panose="020B0A04020102020204" pitchFamily="34" charset="0"/>
            </a:rPr>
            <a:t>Menu</a:t>
          </a:r>
        </a:p>
      </xdr:txBody>
    </xdr:sp>
    <xdr:clientData/>
  </xdr:twoCellAnchor>
  <xdr:twoCellAnchor>
    <xdr:from>
      <xdr:col>11</xdr:col>
      <xdr:colOff>561976</xdr:colOff>
      <xdr:row>11</xdr:row>
      <xdr:rowOff>85725</xdr:rowOff>
    </xdr:from>
    <xdr:to>
      <xdr:col>14</xdr:col>
      <xdr:colOff>19051</xdr:colOff>
      <xdr:row>13</xdr:row>
      <xdr:rowOff>66675</xdr:rowOff>
    </xdr:to>
    <xdr:sp macro="" textlink="$I$13">
      <xdr:nvSpPr>
        <xdr:cNvPr id="8" name="Retângulo 7">
          <a:extLst>
            <a:ext uri="{FF2B5EF4-FFF2-40B4-BE49-F238E27FC236}">
              <a16:creationId xmlns:a16="http://schemas.microsoft.com/office/drawing/2014/main" id="{8793BC7F-6ED9-4A7F-A6E7-3F56A5327959}"/>
            </a:ext>
          </a:extLst>
        </xdr:cNvPr>
        <xdr:cNvSpPr/>
      </xdr:nvSpPr>
      <xdr:spPr>
        <a:xfrm>
          <a:off x="14249401" y="2200275"/>
          <a:ext cx="2381250" cy="36195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solidFill>
                <a:schemeClr val="bg1"/>
              </a:solidFill>
              <a:latin typeface="Arial Black" panose="020B0A04020102020204" pitchFamily="34" charset="0"/>
            </a:rPr>
            <a:t>Entrada</a:t>
          </a:r>
          <a:r>
            <a:rPr lang="pt-BR" sz="1400" baseline="0">
              <a:solidFill>
                <a:schemeClr val="bg1"/>
              </a:solidFill>
              <a:latin typeface="Arial Black" panose="020B0A04020102020204" pitchFamily="34" charset="0"/>
            </a:rPr>
            <a:t> caixa</a:t>
          </a:r>
          <a:endParaRPr lang="pt-BR" sz="14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123825</xdr:rowOff>
    </xdr:from>
    <xdr:to>
      <xdr:col>3</xdr:col>
      <xdr:colOff>85725</xdr:colOff>
      <xdr:row>3</xdr:row>
      <xdr:rowOff>85725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9B4087-4935-4195-BD17-FECB26C0D9D5}"/>
            </a:ext>
          </a:extLst>
        </xdr:cNvPr>
        <xdr:cNvSpPr/>
      </xdr:nvSpPr>
      <xdr:spPr>
        <a:xfrm>
          <a:off x="619125" y="123825"/>
          <a:ext cx="3600450" cy="55245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latin typeface="Arial Black" panose="020B0A04020102020204" pitchFamily="34" charset="0"/>
            </a:rPr>
            <a:t>Melhor</a:t>
          </a:r>
          <a:r>
            <a:rPr lang="en-US" sz="2000" baseline="0">
              <a:latin typeface="Arial Black" panose="020B0A04020102020204" pitchFamily="34" charset="0"/>
            </a:rPr>
            <a:t> gás</a:t>
          </a:r>
          <a:endParaRPr lang="en-US" sz="2000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7</xdr:col>
      <xdr:colOff>714375</xdr:colOff>
      <xdr:row>2</xdr:row>
      <xdr:rowOff>66675</xdr:rowOff>
    </xdr:from>
    <xdr:to>
      <xdr:col>11</xdr:col>
      <xdr:colOff>28575</xdr:colOff>
      <xdr:row>4</xdr:row>
      <xdr:rowOff>28575</xdr:rowOff>
    </xdr:to>
    <xdr:sp macro="" textlink="$J$4">
      <xdr:nvSpPr>
        <xdr:cNvPr id="3" name="Retângulo 2">
          <a:extLst>
            <a:ext uri="{FF2B5EF4-FFF2-40B4-BE49-F238E27FC236}">
              <a16:creationId xmlns:a16="http://schemas.microsoft.com/office/drawing/2014/main" id="{090E5F2A-AE88-4FA1-8DF4-B3963823136D}"/>
            </a:ext>
          </a:extLst>
        </xdr:cNvPr>
        <xdr:cNvSpPr/>
      </xdr:nvSpPr>
      <xdr:spPr>
        <a:xfrm>
          <a:off x="10467975" y="457200"/>
          <a:ext cx="3248025" cy="3524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273BABBF-FC4C-40EC-8507-B05137E3707D}" type="TxLink">
            <a:rPr lang="en-US" sz="1400" b="1" i="0" u="none" strike="noStrike">
              <a:solidFill>
                <a:schemeClr val="bg1"/>
              </a:solidFill>
              <a:latin typeface="Arial Black" panose="020B0A04020102020204" pitchFamily="34" charset="0"/>
              <a:cs typeface="Calibri"/>
            </a:rPr>
            <a:pPr algn="ctr"/>
            <a:t>Estoque inicial</a:t>
          </a:fld>
          <a:endParaRPr lang="pt-BR" sz="1400" b="1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8</xdr:col>
      <xdr:colOff>9524</xdr:colOff>
      <xdr:row>11</xdr:row>
      <xdr:rowOff>66675</xdr:rowOff>
    </xdr:from>
    <xdr:to>
      <xdr:col>10</xdr:col>
      <xdr:colOff>38100</xdr:colOff>
      <xdr:row>13</xdr:row>
      <xdr:rowOff>47625</xdr:rowOff>
    </xdr:to>
    <xdr:sp macro="" textlink="$I$13">
      <xdr:nvSpPr>
        <xdr:cNvPr id="4" name="Retângulo 3">
          <a:extLst>
            <a:ext uri="{FF2B5EF4-FFF2-40B4-BE49-F238E27FC236}">
              <a16:creationId xmlns:a16="http://schemas.microsoft.com/office/drawing/2014/main" id="{B5F141C8-D81B-4FF0-94AF-2AF066721696}"/>
            </a:ext>
          </a:extLst>
        </xdr:cNvPr>
        <xdr:cNvSpPr/>
      </xdr:nvSpPr>
      <xdr:spPr>
        <a:xfrm>
          <a:off x="10515599" y="2181225"/>
          <a:ext cx="2390776" cy="36195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9D7E5BDE-5ADD-4655-B0F8-498629E2789E}" type="TxLink">
            <a:rPr lang="en-US" sz="1400" b="0" i="0" u="none" strike="noStrike">
              <a:solidFill>
                <a:schemeClr val="bg1"/>
              </a:solidFill>
              <a:latin typeface="Arial Black" panose="020B0A04020102020204" pitchFamily="34" charset="0"/>
              <a:cs typeface="Calibri"/>
            </a:rPr>
            <a:pPr algn="ctr"/>
            <a:t>Saida de caixa</a:t>
          </a:fld>
          <a:endParaRPr lang="pt-BR" sz="14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7</xdr:col>
      <xdr:colOff>695325</xdr:colOff>
      <xdr:row>38</xdr:row>
      <xdr:rowOff>19050</xdr:rowOff>
    </xdr:from>
    <xdr:to>
      <xdr:col>11</xdr:col>
      <xdr:colOff>9525</xdr:colOff>
      <xdr:row>39</xdr:row>
      <xdr:rowOff>171450</xdr:rowOff>
    </xdr:to>
    <xdr:sp macro="" textlink="$I$40">
      <xdr:nvSpPr>
        <xdr:cNvPr id="5" name="Retângulo 4">
          <a:extLst>
            <a:ext uri="{FF2B5EF4-FFF2-40B4-BE49-F238E27FC236}">
              <a16:creationId xmlns:a16="http://schemas.microsoft.com/office/drawing/2014/main" id="{90478509-D20D-4FBD-B46B-EA4648C0DB07}"/>
            </a:ext>
          </a:extLst>
        </xdr:cNvPr>
        <xdr:cNvSpPr/>
      </xdr:nvSpPr>
      <xdr:spPr>
        <a:xfrm>
          <a:off x="10448925" y="7324725"/>
          <a:ext cx="3248025" cy="3429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4F6BA73-4BAA-4F17-812D-B7437725F7F1}" type="TxLink">
            <a:rPr lang="en-US" sz="1400" b="1" i="0" u="none" strike="noStrike">
              <a:solidFill>
                <a:schemeClr val="bg1"/>
              </a:solidFill>
              <a:latin typeface="Arial Black" panose="020B0A04020102020204" pitchFamily="34" charset="0"/>
              <a:cs typeface="Calibri"/>
            </a:rPr>
            <a:pPr algn="ctr"/>
            <a:t>Estoque Final</a:t>
          </a:fld>
          <a:endParaRPr lang="pt-BR" sz="1400" b="1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11</xdr:col>
      <xdr:colOff>685802</xdr:colOff>
      <xdr:row>2</xdr:row>
      <xdr:rowOff>161924</xdr:rowOff>
    </xdr:from>
    <xdr:to>
      <xdr:col>15</xdr:col>
      <xdr:colOff>66676</xdr:colOff>
      <xdr:row>4</xdr:row>
      <xdr:rowOff>47624</xdr:rowOff>
    </xdr:to>
    <xdr:sp macro="" textlink="$M$4">
      <xdr:nvSpPr>
        <xdr:cNvPr id="6" name="Retângulo 5">
          <a:extLst>
            <a:ext uri="{FF2B5EF4-FFF2-40B4-BE49-F238E27FC236}">
              <a16:creationId xmlns:a16="http://schemas.microsoft.com/office/drawing/2014/main" id="{33426AC9-73A3-4068-8734-8A39471AFCDC}"/>
            </a:ext>
          </a:extLst>
        </xdr:cNvPr>
        <xdr:cNvSpPr/>
      </xdr:nvSpPr>
      <xdr:spPr>
        <a:xfrm>
          <a:off x="14258927" y="552449"/>
          <a:ext cx="3286124" cy="2762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E7ABE673-AD27-4DBA-B4FE-B90381529BD6}" type="TxLink">
            <a:rPr lang="en-US" sz="1400" b="1" i="0" u="none" strike="noStrike">
              <a:solidFill>
                <a:schemeClr val="bg1"/>
              </a:solidFill>
              <a:latin typeface="Arial Black" panose="020B0A04020102020204" pitchFamily="34" charset="0"/>
              <a:cs typeface="Calibri"/>
            </a:rPr>
            <a:pPr algn="ctr"/>
            <a:t>Abastecimento</a:t>
          </a:fld>
          <a:endParaRPr lang="pt-BR" sz="1400" b="1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11</xdr:col>
      <xdr:colOff>676275</xdr:colOff>
      <xdr:row>39</xdr:row>
      <xdr:rowOff>47625</xdr:rowOff>
    </xdr:from>
    <xdr:to>
      <xdr:col>14</xdr:col>
      <xdr:colOff>209551</xdr:colOff>
      <xdr:row>43</xdr:row>
      <xdr:rowOff>114299</xdr:rowOff>
    </xdr:to>
    <xdr:sp macro="" textlink="">
      <xdr:nvSpPr>
        <xdr:cNvPr id="7" name="Retângulo: Cantos Arredondados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24C6F2-C31A-4BFF-8CA4-207C4FE78888}"/>
            </a:ext>
          </a:extLst>
        </xdr:cNvPr>
        <xdr:cNvSpPr/>
      </xdr:nvSpPr>
      <xdr:spPr>
        <a:xfrm>
          <a:off x="14258925" y="7543800"/>
          <a:ext cx="2562226" cy="828674"/>
        </a:xfrm>
        <a:prstGeom prst="round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3200">
              <a:latin typeface="Arial Black" panose="020B0A04020102020204" pitchFamily="34" charset="0"/>
            </a:rPr>
            <a:t>Menu</a:t>
          </a:r>
        </a:p>
      </xdr:txBody>
    </xdr:sp>
    <xdr:clientData/>
  </xdr:twoCellAnchor>
  <xdr:twoCellAnchor>
    <xdr:from>
      <xdr:col>11</xdr:col>
      <xdr:colOff>561976</xdr:colOff>
      <xdr:row>11</xdr:row>
      <xdr:rowOff>85725</xdr:rowOff>
    </xdr:from>
    <xdr:to>
      <xdr:col>14</xdr:col>
      <xdr:colOff>19051</xdr:colOff>
      <xdr:row>13</xdr:row>
      <xdr:rowOff>66675</xdr:rowOff>
    </xdr:to>
    <xdr:sp macro="" textlink="$I$13">
      <xdr:nvSpPr>
        <xdr:cNvPr id="8" name="Retângulo 7">
          <a:extLst>
            <a:ext uri="{FF2B5EF4-FFF2-40B4-BE49-F238E27FC236}">
              <a16:creationId xmlns:a16="http://schemas.microsoft.com/office/drawing/2014/main" id="{E762B8F8-BA52-4DBE-8397-D3F4A3F47426}"/>
            </a:ext>
          </a:extLst>
        </xdr:cNvPr>
        <xdr:cNvSpPr/>
      </xdr:nvSpPr>
      <xdr:spPr>
        <a:xfrm>
          <a:off x="14249401" y="2200275"/>
          <a:ext cx="2381250" cy="36195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solidFill>
                <a:schemeClr val="bg1"/>
              </a:solidFill>
              <a:latin typeface="Arial Black" panose="020B0A04020102020204" pitchFamily="34" charset="0"/>
            </a:rPr>
            <a:t>Entrada</a:t>
          </a:r>
          <a:r>
            <a:rPr lang="pt-BR" sz="1400" baseline="0">
              <a:solidFill>
                <a:schemeClr val="bg1"/>
              </a:solidFill>
              <a:latin typeface="Arial Black" panose="020B0A04020102020204" pitchFamily="34" charset="0"/>
            </a:rPr>
            <a:t> caixa</a:t>
          </a:r>
          <a:endParaRPr lang="pt-BR" sz="14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123825</xdr:rowOff>
    </xdr:from>
    <xdr:to>
      <xdr:col>3</xdr:col>
      <xdr:colOff>85725</xdr:colOff>
      <xdr:row>3</xdr:row>
      <xdr:rowOff>85725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8B6FFB-5C79-49A6-A69F-3517B5583272}"/>
            </a:ext>
          </a:extLst>
        </xdr:cNvPr>
        <xdr:cNvSpPr/>
      </xdr:nvSpPr>
      <xdr:spPr>
        <a:xfrm>
          <a:off x="619125" y="123825"/>
          <a:ext cx="3600450" cy="55245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latin typeface="Arial Black" panose="020B0A04020102020204" pitchFamily="34" charset="0"/>
            </a:rPr>
            <a:t>Melhor</a:t>
          </a:r>
          <a:r>
            <a:rPr lang="en-US" sz="2000" baseline="0">
              <a:latin typeface="Arial Black" panose="020B0A04020102020204" pitchFamily="34" charset="0"/>
            </a:rPr>
            <a:t> gás</a:t>
          </a:r>
          <a:endParaRPr lang="en-US" sz="2000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7</xdr:col>
      <xdr:colOff>714375</xdr:colOff>
      <xdr:row>2</xdr:row>
      <xdr:rowOff>66675</xdr:rowOff>
    </xdr:from>
    <xdr:to>
      <xdr:col>11</xdr:col>
      <xdr:colOff>28575</xdr:colOff>
      <xdr:row>4</xdr:row>
      <xdr:rowOff>28575</xdr:rowOff>
    </xdr:to>
    <xdr:sp macro="" textlink="$J$4">
      <xdr:nvSpPr>
        <xdr:cNvPr id="3" name="Retângulo 2">
          <a:extLst>
            <a:ext uri="{FF2B5EF4-FFF2-40B4-BE49-F238E27FC236}">
              <a16:creationId xmlns:a16="http://schemas.microsoft.com/office/drawing/2014/main" id="{C16BA409-A294-4E0D-B9F0-54F4C5ECEAF4}"/>
            </a:ext>
          </a:extLst>
        </xdr:cNvPr>
        <xdr:cNvSpPr/>
      </xdr:nvSpPr>
      <xdr:spPr>
        <a:xfrm>
          <a:off x="10467975" y="457200"/>
          <a:ext cx="3248025" cy="3524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273BABBF-FC4C-40EC-8507-B05137E3707D}" type="TxLink">
            <a:rPr lang="en-US" sz="1400" b="1" i="0" u="none" strike="noStrike">
              <a:solidFill>
                <a:schemeClr val="bg1"/>
              </a:solidFill>
              <a:latin typeface="Arial Black" panose="020B0A04020102020204" pitchFamily="34" charset="0"/>
              <a:cs typeface="Calibri"/>
            </a:rPr>
            <a:pPr algn="ctr"/>
            <a:t>Estoque inicial</a:t>
          </a:fld>
          <a:endParaRPr lang="pt-BR" sz="1400" b="1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8</xdr:col>
      <xdr:colOff>9524</xdr:colOff>
      <xdr:row>11</xdr:row>
      <xdr:rowOff>66675</xdr:rowOff>
    </xdr:from>
    <xdr:to>
      <xdr:col>10</xdr:col>
      <xdr:colOff>38100</xdr:colOff>
      <xdr:row>13</xdr:row>
      <xdr:rowOff>47625</xdr:rowOff>
    </xdr:to>
    <xdr:sp macro="" textlink="$I$13">
      <xdr:nvSpPr>
        <xdr:cNvPr id="4" name="Retângulo 3">
          <a:extLst>
            <a:ext uri="{FF2B5EF4-FFF2-40B4-BE49-F238E27FC236}">
              <a16:creationId xmlns:a16="http://schemas.microsoft.com/office/drawing/2014/main" id="{57B0049F-DF57-4385-AEA6-DC7BFFD68A3E}"/>
            </a:ext>
          </a:extLst>
        </xdr:cNvPr>
        <xdr:cNvSpPr/>
      </xdr:nvSpPr>
      <xdr:spPr>
        <a:xfrm>
          <a:off x="10515599" y="2181225"/>
          <a:ext cx="2390776" cy="36195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9D7E5BDE-5ADD-4655-B0F8-498629E2789E}" type="TxLink">
            <a:rPr lang="en-US" sz="1400" b="0" i="0" u="none" strike="noStrike">
              <a:solidFill>
                <a:schemeClr val="bg1"/>
              </a:solidFill>
              <a:latin typeface="Arial Black" panose="020B0A04020102020204" pitchFamily="34" charset="0"/>
              <a:cs typeface="Calibri"/>
            </a:rPr>
            <a:pPr algn="ctr"/>
            <a:t>Saida de caixa</a:t>
          </a:fld>
          <a:endParaRPr lang="pt-BR" sz="14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7</xdr:col>
      <xdr:colOff>695325</xdr:colOff>
      <xdr:row>38</xdr:row>
      <xdr:rowOff>19050</xdr:rowOff>
    </xdr:from>
    <xdr:to>
      <xdr:col>11</xdr:col>
      <xdr:colOff>9525</xdr:colOff>
      <xdr:row>39</xdr:row>
      <xdr:rowOff>171450</xdr:rowOff>
    </xdr:to>
    <xdr:sp macro="" textlink="$I$40">
      <xdr:nvSpPr>
        <xdr:cNvPr id="5" name="Retângulo 4">
          <a:extLst>
            <a:ext uri="{FF2B5EF4-FFF2-40B4-BE49-F238E27FC236}">
              <a16:creationId xmlns:a16="http://schemas.microsoft.com/office/drawing/2014/main" id="{E2048DBF-58C8-42D6-8A68-783BE0A75DBD}"/>
            </a:ext>
          </a:extLst>
        </xdr:cNvPr>
        <xdr:cNvSpPr/>
      </xdr:nvSpPr>
      <xdr:spPr>
        <a:xfrm>
          <a:off x="10448925" y="7324725"/>
          <a:ext cx="3248025" cy="3429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4F6BA73-4BAA-4F17-812D-B7437725F7F1}" type="TxLink">
            <a:rPr lang="en-US" sz="1400" b="1" i="0" u="none" strike="noStrike">
              <a:solidFill>
                <a:schemeClr val="bg1"/>
              </a:solidFill>
              <a:latin typeface="Arial Black" panose="020B0A04020102020204" pitchFamily="34" charset="0"/>
              <a:cs typeface="Calibri"/>
            </a:rPr>
            <a:pPr algn="ctr"/>
            <a:t>Estoque Final</a:t>
          </a:fld>
          <a:endParaRPr lang="pt-BR" sz="1400" b="1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11</xdr:col>
      <xdr:colOff>685802</xdr:colOff>
      <xdr:row>2</xdr:row>
      <xdr:rowOff>161924</xdr:rowOff>
    </xdr:from>
    <xdr:to>
      <xdr:col>15</xdr:col>
      <xdr:colOff>66676</xdr:colOff>
      <xdr:row>4</xdr:row>
      <xdr:rowOff>47624</xdr:rowOff>
    </xdr:to>
    <xdr:sp macro="" textlink="$M$4">
      <xdr:nvSpPr>
        <xdr:cNvPr id="6" name="Retângulo 5">
          <a:extLst>
            <a:ext uri="{FF2B5EF4-FFF2-40B4-BE49-F238E27FC236}">
              <a16:creationId xmlns:a16="http://schemas.microsoft.com/office/drawing/2014/main" id="{24261369-0AD5-4702-9E67-89A5A46437C2}"/>
            </a:ext>
          </a:extLst>
        </xdr:cNvPr>
        <xdr:cNvSpPr/>
      </xdr:nvSpPr>
      <xdr:spPr>
        <a:xfrm>
          <a:off x="14258927" y="552449"/>
          <a:ext cx="3286124" cy="2762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E7ABE673-AD27-4DBA-B4FE-B90381529BD6}" type="TxLink">
            <a:rPr lang="en-US" sz="1400" b="1" i="0" u="none" strike="noStrike">
              <a:solidFill>
                <a:schemeClr val="bg1"/>
              </a:solidFill>
              <a:latin typeface="Arial Black" panose="020B0A04020102020204" pitchFamily="34" charset="0"/>
              <a:cs typeface="Calibri"/>
            </a:rPr>
            <a:pPr algn="ctr"/>
            <a:t>Abastecimento</a:t>
          </a:fld>
          <a:endParaRPr lang="pt-BR" sz="1400" b="1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11</xdr:col>
      <xdr:colOff>676275</xdr:colOff>
      <xdr:row>39</xdr:row>
      <xdr:rowOff>47625</xdr:rowOff>
    </xdr:from>
    <xdr:to>
      <xdr:col>14</xdr:col>
      <xdr:colOff>209551</xdr:colOff>
      <xdr:row>43</xdr:row>
      <xdr:rowOff>114299</xdr:rowOff>
    </xdr:to>
    <xdr:sp macro="" textlink="">
      <xdr:nvSpPr>
        <xdr:cNvPr id="7" name="Retângulo: Cantos Arredondados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8F015A-414B-4F0E-9BAC-C57F89FA11B5}"/>
            </a:ext>
          </a:extLst>
        </xdr:cNvPr>
        <xdr:cNvSpPr/>
      </xdr:nvSpPr>
      <xdr:spPr>
        <a:xfrm>
          <a:off x="14258925" y="7543800"/>
          <a:ext cx="2562226" cy="828674"/>
        </a:xfrm>
        <a:prstGeom prst="round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3200">
              <a:latin typeface="Arial Black" panose="020B0A04020102020204" pitchFamily="34" charset="0"/>
            </a:rPr>
            <a:t>Menu</a:t>
          </a:r>
        </a:p>
      </xdr:txBody>
    </xdr:sp>
    <xdr:clientData/>
  </xdr:twoCellAnchor>
  <xdr:twoCellAnchor>
    <xdr:from>
      <xdr:col>11</xdr:col>
      <xdr:colOff>561976</xdr:colOff>
      <xdr:row>11</xdr:row>
      <xdr:rowOff>85725</xdr:rowOff>
    </xdr:from>
    <xdr:to>
      <xdr:col>14</xdr:col>
      <xdr:colOff>19051</xdr:colOff>
      <xdr:row>13</xdr:row>
      <xdr:rowOff>66675</xdr:rowOff>
    </xdr:to>
    <xdr:sp macro="" textlink="$I$13">
      <xdr:nvSpPr>
        <xdr:cNvPr id="8" name="Retângulo 7">
          <a:extLst>
            <a:ext uri="{FF2B5EF4-FFF2-40B4-BE49-F238E27FC236}">
              <a16:creationId xmlns:a16="http://schemas.microsoft.com/office/drawing/2014/main" id="{870B1A4C-A121-479C-9633-2949D2752363}"/>
            </a:ext>
          </a:extLst>
        </xdr:cNvPr>
        <xdr:cNvSpPr/>
      </xdr:nvSpPr>
      <xdr:spPr>
        <a:xfrm>
          <a:off x="14249401" y="2200275"/>
          <a:ext cx="2381250" cy="36195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solidFill>
                <a:schemeClr val="bg1"/>
              </a:solidFill>
              <a:latin typeface="Arial Black" panose="020B0A04020102020204" pitchFamily="34" charset="0"/>
            </a:rPr>
            <a:t>Entrada</a:t>
          </a:r>
          <a:r>
            <a:rPr lang="pt-BR" sz="1400" baseline="0">
              <a:solidFill>
                <a:schemeClr val="bg1"/>
              </a:solidFill>
              <a:latin typeface="Arial Black" panose="020B0A04020102020204" pitchFamily="34" charset="0"/>
            </a:rPr>
            <a:t> caixa</a:t>
          </a:r>
          <a:endParaRPr lang="pt-BR" sz="14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123825</xdr:rowOff>
    </xdr:from>
    <xdr:to>
      <xdr:col>3</xdr:col>
      <xdr:colOff>85725</xdr:colOff>
      <xdr:row>3</xdr:row>
      <xdr:rowOff>85725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6B2E50-7CF0-40F4-83A6-4B422BA90BD4}"/>
            </a:ext>
          </a:extLst>
        </xdr:cNvPr>
        <xdr:cNvSpPr/>
      </xdr:nvSpPr>
      <xdr:spPr>
        <a:xfrm>
          <a:off x="619125" y="123825"/>
          <a:ext cx="3600450" cy="55245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latin typeface="Arial Black" panose="020B0A04020102020204" pitchFamily="34" charset="0"/>
            </a:rPr>
            <a:t>Melhor</a:t>
          </a:r>
          <a:r>
            <a:rPr lang="en-US" sz="2000" baseline="0">
              <a:latin typeface="Arial Black" panose="020B0A04020102020204" pitchFamily="34" charset="0"/>
            </a:rPr>
            <a:t> gás</a:t>
          </a:r>
          <a:endParaRPr lang="en-US" sz="2000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7</xdr:col>
      <xdr:colOff>714375</xdr:colOff>
      <xdr:row>2</xdr:row>
      <xdr:rowOff>66675</xdr:rowOff>
    </xdr:from>
    <xdr:to>
      <xdr:col>11</xdr:col>
      <xdr:colOff>28575</xdr:colOff>
      <xdr:row>4</xdr:row>
      <xdr:rowOff>28575</xdr:rowOff>
    </xdr:to>
    <xdr:sp macro="" textlink="$J$4">
      <xdr:nvSpPr>
        <xdr:cNvPr id="3" name="Retângulo 2">
          <a:extLst>
            <a:ext uri="{FF2B5EF4-FFF2-40B4-BE49-F238E27FC236}">
              <a16:creationId xmlns:a16="http://schemas.microsoft.com/office/drawing/2014/main" id="{251A43B6-AD86-468E-B8A7-9C4D4B25AA58}"/>
            </a:ext>
          </a:extLst>
        </xdr:cNvPr>
        <xdr:cNvSpPr/>
      </xdr:nvSpPr>
      <xdr:spPr>
        <a:xfrm>
          <a:off x="10467975" y="457200"/>
          <a:ext cx="3248025" cy="3524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273BABBF-FC4C-40EC-8507-B05137E3707D}" type="TxLink">
            <a:rPr lang="en-US" sz="1400" b="1" i="0" u="none" strike="noStrike">
              <a:solidFill>
                <a:schemeClr val="bg1"/>
              </a:solidFill>
              <a:latin typeface="Arial Black" panose="020B0A04020102020204" pitchFamily="34" charset="0"/>
              <a:cs typeface="Calibri"/>
            </a:rPr>
            <a:pPr algn="ctr"/>
            <a:t>Estoque inicial</a:t>
          </a:fld>
          <a:endParaRPr lang="pt-BR" sz="1400" b="1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8</xdr:col>
      <xdr:colOff>9524</xdr:colOff>
      <xdr:row>11</xdr:row>
      <xdr:rowOff>66675</xdr:rowOff>
    </xdr:from>
    <xdr:to>
      <xdr:col>10</xdr:col>
      <xdr:colOff>38100</xdr:colOff>
      <xdr:row>13</xdr:row>
      <xdr:rowOff>47625</xdr:rowOff>
    </xdr:to>
    <xdr:sp macro="" textlink="$I$13">
      <xdr:nvSpPr>
        <xdr:cNvPr id="4" name="Retângulo 3">
          <a:extLst>
            <a:ext uri="{FF2B5EF4-FFF2-40B4-BE49-F238E27FC236}">
              <a16:creationId xmlns:a16="http://schemas.microsoft.com/office/drawing/2014/main" id="{8C44AC67-4C74-4318-B095-CBEDD5B717C8}"/>
            </a:ext>
          </a:extLst>
        </xdr:cNvPr>
        <xdr:cNvSpPr/>
      </xdr:nvSpPr>
      <xdr:spPr>
        <a:xfrm>
          <a:off x="10515599" y="2181225"/>
          <a:ext cx="2390776" cy="36195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9D7E5BDE-5ADD-4655-B0F8-498629E2789E}" type="TxLink">
            <a:rPr lang="en-US" sz="1400" b="0" i="0" u="none" strike="noStrike">
              <a:solidFill>
                <a:schemeClr val="bg1"/>
              </a:solidFill>
              <a:latin typeface="Arial Black" panose="020B0A04020102020204" pitchFamily="34" charset="0"/>
              <a:cs typeface="Calibri"/>
            </a:rPr>
            <a:pPr algn="ctr"/>
            <a:t>Saida de caixa</a:t>
          </a:fld>
          <a:endParaRPr lang="pt-BR" sz="14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7</xdr:col>
      <xdr:colOff>695325</xdr:colOff>
      <xdr:row>38</xdr:row>
      <xdr:rowOff>19050</xdr:rowOff>
    </xdr:from>
    <xdr:to>
      <xdr:col>11</xdr:col>
      <xdr:colOff>9525</xdr:colOff>
      <xdr:row>39</xdr:row>
      <xdr:rowOff>171450</xdr:rowOff>
    </xdr:to>
    <xdr:sp macro="" textlink="$I$40">
      <xdr:nvSpPr>
        <xdr:cNvPr id="5" name="Retângulo 4">
          <a:extLst>
            <a:ext uri="{FF2B5EF4-FFF2-40B4-BE49-F238E27FC236}">
              <a16:creationId xmlns:a16="http://schemas.microsoft.com/office/drawing/2014/main" id="{715D4AFE-9509-404D-8D42-DC22DDA7911C}"/>
            </a:ext>
          </a:extLst>
        </xdr:cNvPr>
        <xdr:cNvSpPr/>
      </xdr:nvSpPr>
      <xdr:spPr>
        <a:xfrm>
          <a:off x="10448925" y="7324725"/>
          <a:ext cx="3248025" cy="3429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4F6BA73-4BAA-4F17-812D-B7437725F7F1}" type="TxLink">
            <a:rPr lang="en-US" sz="1400" b="1" i="0" u="none" strike="noStrike">
              <a:solidFill>
                <a:schemeClr val="bg1"/>
              </a:solidFill>
              <a:latin typeface="Arial Black" panose="020B0A04020102020204" pitchFamily="34" charset="0"/>
              <a:cs typeface="Calibri"/>
            </a:rPr>
            <a:pPr algn="ctr"/>
            <a:t>Estoque Final</a:t>
          </a:fld>
          <a:endParaRPr lang="pt-BR" sz="1400" b="1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11</xdr:col>
      <xdr:colOff>685802</xdr:colOff>
      <xdr:row>2</xdr:row>
      <xdr:rowOff>161924</xdr:rowOff>
    </xdr:from>
    <xdr:to>
      <xdr:col>15</xdr:col>
      <xdr:colOff>66676</xdr:colOff>
      <xdr:row>4</xdr:row>
      <xdr:rowOff>47624</xdr:rowOff>
    </xdr:to>
    <xdr:sp macro="" textlink="$M$4">
      <xdr:nvSpPr>
        <xdr:cNvPr id="6" name="Retângulo 5">
          <a:extLst>
            <a:ext uri="{FF2B5EF4-FFF2-40B4-BE49-F238E27FC236}">
              <a16:creationId xmlns:a16="http://schemas.microsoft.com/office/drawing/2014/main" id="{835CBC3B-6ADD-4AE7-A696-33A677223BDD}"/>
            </a:ext>
          </a:extLst>
        </xdr:cNvPr>
        <xdr:cNvSpPr/>
      </xdr:nvSpPr>
      <xdr:spPr>
        <a:xfrm>
          <a:off x="14258927" y="552449"/>
          <a:ext cx="3286124" cy="2762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E7ABE673-AD27-4DBA-B4FE-B90381529BD6}" type="TxLink">
            <a:rPr lang="en-US" sz="1400" b="1" i="0" u="none" strike="noStrike">
              <a:solidFill>
                <a:schemeClr val="bg1"/>
              </a:solidFill>
              <a:latin typeface="Arial Black" panose="020B0A04020102020204" pitchFamily="34" charset="0"/>
              <a:cs typeface="Calibri"/>
            </a:rPr>
            <a:pPr algn="ctr"/>
            <a:t>Abastecimento</a:t>
          </a:fld>
          <a:endParaRPr lang="pt-BR" sz="1400" b="1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11</xdr:col>
      <xdr:colOff>676275</xdr:colOff>
      <xdr:row>39</xdr:row>
      <xdr:rowOff>47625</xdr:rowOff>
    </xdr:from>
    <xdr:to>
      <xdr:col>14</xdr:col>
      <xdr:colOff>209551</xdr:colOff>
      <xdr:row>43</xdr:row>
      <xdr:rowOff>114299</xdr:rowOff>
    </xdr:to>
    <xdr:sp macro="" textlink="">
      <xdr:nvSpPr>
        <xdr:cNvPr id="7" name="Retângulo: Cantos Arredondados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9203A5-F204-4BB3-A3B0-99721CA0E47D}"/>
            </a:ext>
          </a:extLst>
        </xdr:cNvPr>
        <xdr:cNvSpPr/>
      </xdr:nvSpPr>
      <xdr:spPr>
        <a:xfrm>
          <a:off x="14258925" y="7543800"/>
          <a:ext cx="2562226" cy="828674"/>
        </a:xfrm>
        <a:prstGeom prst="round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3200">
              <a:latin typeface="Arial Black" panose="020B0A04020102020204" pitchFamily="34" charset="0"/>
            </a:rPr>
            <a:t>Menu</a:t>
          </a:r>
        </a:p>
      </xdr:txBody>
    </xdr:sp>
    <xdr:clientData/>
  </xdr:twoCellAnchor>
  <xdr:twoCellAnchor>
    <xdr:from>
      <xdr:col>11</xdr:col>
      <xdr:colOff>561976</xdr:colOff>
      <xdr:row>11</xdr:row>
      <xdr:rowOff>85725</xdr:rowOff>
    </xdr:from>
    <xdr:to>
      <xdr:col>14</xdr:col>
      <xdr:colOff>19051</xdr:colOff>
      <xdr:row>13</xdr:row>
      <xdr:rowOff>66675</xdr:rowOff>
    </xdr:to>
    <xdr:sp macro="" textlink="$I$13">
      <xdr:nvSpPr>
        <xdr:cNvPr id="8" name="Retângulo 7">
          <a:extLst>
            <a:ext uri="{FF2B5EF4-FFF2-40B4-BE49-F238E27FC236}">
              <a16:creationId xmlns:a16="http://schemas.microsoft.com/office/drawing/2014/main" id="{DFBDA1FA-3FC6-46A8-AA2D-E9BD5A1588D6}"/>
            </a:ext>
          </a:extLst>
        </xdr:cNvPr>
        <xdr:cNvSpPr/>
      </xdr:nvSpPr>
      <xdr:spPr>
        <a:xfrm>
          <a:off x="14249401" y="2200275"/>
          <a:ext cx="2381250" cy="36195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solidFill>
                <a:schemeClr val="bg1"/>
              </a:solidFill>
              <a:latin typeface="Arial Black" panose="020B0A04020102020204" pitchFamily="34" charset="0"/>
            </a:rPr>
            <a:t>Entrada</a:t>
          </a:r>
          <a:r>
            <a:rPr lang="pt-BR" sz="1400" baseline="0">
              <a:solidFill>
                <a:schemeClr val="bg1"/>
              </a:solidFill>
              <a:latin typeface="Arial Black" panose="020B0A04020102020204" pitchFamily="34" charset="0"/>
            </a:rPr>
            <a:t> caixa</a:t>
          </a:r>
          <a:endParaRPr lang="pt-BR" sz="14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123825</xdr:rowOff>
    </xdr:from>
    <xdr:to>
      <xdr:col>3</xdr:col>
      <xdr:colOff>85725</xdr:colOff>
      <xdr:row>3</xdr:row>
      <xdr:rowOff>85725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442A86-EFFD-47E8-9695-B64DC577D85F}"/>
            </a:ext>
          </a:extLst>
        </xdr:cNvPr>
        <xdr:cNvSpPr/>
      </xdr:nvSpPr>
      <xdr:spPr>
        <a:xfrm>
          <a:off x="619125" y="123825"/>
          <a:ext cx="3600450" cy="55245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latin typeface="Arial Black" panose="020B0A04020102020204" pitchFamily="34" charset="0"/>
            </a:rPr>
            <a:t>Melhor</a:t>
          </a:r>
          <a:r>
            <a:rPr lang="en-US" sz="2000" baseline="0">
              <a:latin typeface="Arial Black" panose="020B0A04020102020204" pitchFamily="34" charset="0"/>
            </a:rPr>
            <a:t> gás</a:t>
          </a:r>
          <a:endParaRPr lang="en-US" sz="2000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7</xdr:col>
      <xdr:colOff>714375</xdr:colOff>
      <xdr:row>2</xdr:row>
      <xdr:rowOff>66675</xdr:rowOff>
    </xdr:from>
    <xdr:to>
      <xdr:col>11</xdr:col>
      <xdr:colOff>28575</xdr:colOff>
      <xdr:row>4</xdr:row>
      <xdr:rowOff>28575</xdr:rowOff>
    </xdr:to>
    <xdr:sp macro="" textlink="$J$4">
      <xdr:nvSpPr>
        <xdr:cNvPr id="3" name="Retângulo 2">
          <a:extLst>
            <a:ext uri="{FF2B5EF4-FFF2-40B4-BE49-F238E27FC236}">
              <a16:creationId xmlns:a16="http://schemas.microsoft.com/office/drawing/2014/main" id="{0B80619E-A3CE-4E6B-9F4B-C9287A56F1E9}"/>
            </a:ext>
          </a:extLst>
        </xdr:cNvPr>
        <xdr:cNvSpPr/>
      </xdr:nvSpPr>
      <xdr:spPr>
        <a:xfrm>
          <a:off x="10467975" y="457200"/>
          <a:ext cx="3248025" cy="3524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273BABBF-FC4C-40EC-8507-B05137E3707D}" type="TxLink">
            <a:rPr lang="en-US" sz="1400" b="1" i="0" u="none" strike="noStrike">
              <a:solidFill>
                <a:schemeClr val="bg1"/>
              </a:solidFill>
              <a:latin typeface="Arial Black" panose="020B0A04020102020204" pitchFamily="34" charset="0"/>
              <a:cs typeface="Calibri"/>
            </a:rPr>
            <a:pPr algn="ctr"/>
            <a:t>Estoque inicial</a:t>
          </a:fld>
          <a:endParaRPr lang="pt-BR" sz="1400" b="1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8</xdr:col>
      <xdr:colOff>9524</xdr:colOff>
      <xdr:row>11</xdr:row>
      <xdr:rowOff>66675</xdr:rowOff>
    </xdr:from>
    <xdr:to>
      <xdr:col>10</xdr:col>
      <xdr:colOff>38100</xdr:colOff>
      <xdr:row>13</xdr:row>
      <xdr:rowOff>47625</xdr:rowOff>
    </xdr:to>
    <xdr:sp macro="" textlink="$I$13">
      <xdr:nvSpPr>
        <xdr:cNvPr id="4" name="Retângulo 3">
          <a:extLst>
            <a:ext uri="{FF2B5EF4-FFF2-40B4-BE49-F238E27FC236}">
              <a16:creationId xmlns:a16="http://schemas.microsoft.com/office/drawing/2014/main" id="{45C32912-97F5-42FE-81C2-F56AC7815DA4}"/>
            </a:ext>
          </a:extLst>
        </xdr:cNvPr>
        <xdr:cNvSpPr/>
      </xdr:nvSpPr>
      <xdr:spPr>
        <a:xfrm>
          <a:off x="10515599" y="2181225"/>
          <a:ext cx="2390776" cy="36195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9D7E5BDE-5ADD-4655-B0F8-498629E2789E}" type="TxLink">
            <a:rPr lang="en-US" sz="1400" b="0" i="0" u="none" strike="noStrike">
              <a:solidFill>
                <a:schemeClr val="bg1"/>
              </a:solidFill>
              <a:latin typeface="Arial Black" panose="020B0A04020102020204" pitchFamily="34" charset="0"/>
              <a:cs typeface="Calibri"/>
            </a:rPr>
            <a:pPr algn="ctr"/>
            <a:t>Saida de caixa</a:t>
          </a:fld>
          <a:endParaRPr lang="pt-BR" sz="14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7</xdr:col>
      <xdr:colOff>695325</xdr:colOff>
      <xdr:row>38</xdr:row>
      <xdr:rowOff>19050</xdr:rowOff>
    </xdr:from>
    <xdr:to>
      <xdr:col>11</xdr:col>
      <xdr:colOff>9525</xdr:colOff>
      <xdr:row>39</xdr:row>
      <xdr:rowOff>171450</xdr:rowOff>
    </xdr:to>
    <xdr:sp macro="" textlink="$I$40">
      <xdr:nvSpPr>
        <xdr:cNvPr id="5" name="Retângulo 4">
          <a:extLst>
            <a:ext uri="{FF2B5EF4-FFF2-40B4-BE49-F238E27FC236}">
              <a16:creationId xmlns:a16="http://schemas.microsoft.com/office/drawing/2014/main" id="{E4B63DB5-9699-4EE7-A629-F1DC19F6E142}"/>
            </a:ext>
          </a:extLst>
        </xdr:cNvPr>
        <xdr:cNvSpPr/>
      </xdr:nvSpPr>
      <xdr:spPr>
        <a:xfrm>
          <a:off x="10448925" y="7324725"/>
          <a:ext cx="3248025" cy="3429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4F6BA73-4BAA-4F17-812D-B7437725F7F1}" type="TxLink">
            <a:rPr lang="en-US" sz="1400" b="1" i="0" u="none" strike="noStrike">
              <a:solidFill>
                <a:schemeClr val="bg1"/>
              </a:solidFill>
              <a:latin typeface="Arial Black" panose="020B0A04020102020204" pitchFamily="34" charset="0"/>
              <a:cs typeface="Calibri"/>
            </a:rPr>
            <a:pPr algn="ctr"/>
            <a:t>Estoque Final</a:t>
          </a:fld>
          <a:endParaRPr lang="pt-BR" sz="1400" b="1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11</xdr:col>
      <xdr:colOff>685802</xdr:colOff>
      <xdr:row>2</xdr:row>
      <xdr:rowOff>161924</xdr:rowOff>
    </xdr:from>
    <xdr:to>
      <xdr:col>15</xdr:col>
      <xdr:colOff>66676</xdr:colOff>
      <xdr:row>4</xdr:row>
      <xdr:rowOff>47624</xdr:rowOff>
    </xdr:to>
    <xdr:sp macro="" textlink="$M$4">
      <xdr:nvSpPr>
        <xdr:cNvPr id="6" name="Retângulo 5">
          <a:extLst>
            <a:ext uri="{FF2B5EF4-FFF2-40B4-BE49-F238E27FC236}">
              <a16:creationId xmlns:a16="http://schemas.microsoft.com/office/drawing/2014/main" id="{7DC3326B-7B1D-4903-A7E4-573E97FC1552}"/>
            </a:ext>
          </a:extLst>
        </xdr:cNvPr>
        <xdr:cNvSpPr/>
      </xdr:nvSpPr>
      <xdr:spPr>
        <a:xfrm>
          <a:off x="14258927" y="552449"/>
          <a:ext cx="3286124" cy="2762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E7ABE673-AD27-4DBA-B4FE-B90381529BD6}" type="TxLink">
            <a:rPr lang="en-US" sz="1400" b="1" i="0" u="none" strike="noStrike">
              <a:solidFill>
                <a:schemeClr val="bg1"/>
              </a:solidFill>
              <a:latin typeface="Arial Black" panose="020B0A04020102020204" pitchFamily="34" charset="0"/>
              <a:cs typeface="Calibri"/>
            </a:rPr>
            <a:pPr algn="ctr"/>
            <a:t>Abastecimento</a:t>
          </a:fld>
          <a:endParaRPr lang="pt-BR" sz="1400" b="1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11</xdr:col>
      <xdr:colOff>676275</xdr:colOff>
      <xdr:row>39</xdr:row>
      <xdr:rowOff>47625</xdr:rowOff>
    </xdr:from>
    <xdr:to>
      <xdr:col>14</xdr:col>
      <xdr:colOff>209551</xdr:colOff>
      <xdr:row>43</xdr:row>
      <xdr:rowOff>114299</xdr:rowOff>
    </xdr:to>
    <xdr:sp macro="" textlink="">
      <xdr:nvSpPr>
        <xdr:cNvPr id="7" name="Retângulo: Cantos Arredondados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7BBAA0-6558-4C7F-B838-3A11D0684D67}"/>
            </a:ext>
          </a:extLst>
        </xdr:cNvPr>
        <xdr:cNvSpPr/>
      </xdr:nvSpPr>
      <xdr:spPr>
        <a:xfrm>
          <a:off x="14258925" y="7543800"/>
          <a:ext cx="2562226" cy="828674"/>
        </a:xfrm>
        <a:prstGeom prst="round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3200">
              <a:latin typeface="Arial Black" panose="020B0A04020102020204" pitchFamily="34" charset="0"/>
            </a:rPr>
            <a:t>Menu</a:t>
          </a:r>
        </a:p>
      </xdr:txBody>
    </xdr:sp>
    <xdr:clientData/>
  </xdr:twoCellAnchor>
  <xdr:twoCellAnchor>
    <xdr:from>
      <xdr:col>11</xdr:col>
      <xdr:colOff>561976</xdr:colOff>
      <xdr:row>11</xdr:row>
      <xdr:rowOff>85725</xdr:rowOff>
    </xdr:from>
    <xdr:to>
      <xdr:col>14</xdr:col>
      <xdr:colOff>19051</xdr:colOff>
      <xdr:row>13</xdr:row>
      <xdr:rowOff>66675</xdr:rowOff>
    </xdr:to>
    <xdr:sp macro="" textlink="$I$13">
      <xdr:nvSpPr>
        <xdr:cNvPr id="8" name="Retângulo 7">
          <a:extLst>
            <a:ext uri="{FF2B5EF4-FFF2-40B4-BE49-F238E27FC236}">
              <a16:creationId xmlns:a16="http://schemas.microsoft.com/office/drawing/2014/main" id="{80BD5220-C88C-4831-A248-2481B4C9013D}"/>
            </a:ext>
          </a:extLst>
        </xdr:cNvPr>
        <xdr:cNvSpPr/>
      </xdr:nvSpPr>
      <xdr:spPr>
        <a:xfrm>
          <a:off x="14249401" y="2200275"/>
          <a:ext cx="2381250" cy="36195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solidFill>
                <a:schemeClr val="bg1"/>
              </a:solidFill>
              <a:latin typeface="Arial Black" panose="020B0A04020102020204" pitchFamily="34" charset="0"/>
            </a:rPr>
            <a:t>Entrada</a:t>
          </a:r>
          <a:r>
            <a:rPr lang="pt-BR" sz="1400" baseline="0">
              <a:solidFill>
                <a:schemeClr val="bg1"/>
              </a:solidFill>
              <a:latin typeface="Arial Black" panose="020B0A04020102020204" pitchFamily="34" charset="0"/>
            </a:rPr>
            <a:t> caixa</a:t>
          </a:r>
          <a:endParaRPr lang="pt-BR" sz="14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123825</xdr:rowOff>
    </xdr:from>
    <xdr:to>
      <xdr:col>3</xdr:col>
      <xdr:colOff>85725</xdr:colOff>
      <xdr:row>3</xdr:row>
      <xdr:rowOff>85725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7FB902-F131-480E-86CF-523FD9869DB5}"/>
            </a:ext>
          </a:extLst>
        </xdr:cNvPr>
        <xdr:cNvSpPr/>
      </xdr:nvSpPr>
      <xdr:spPr>
        <a:xfrm>
          <a:off x="619125" y="123825"/>
          <a:ext cx="3600450" cy="55245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latin typeface="Arial Black" panose="020B0A04020102020204" pitchFamily="34" charset="0"/>
            </a:rPr>
            <a:t>Melhor</a:t>
          </a:r>
          <a:r>
            <a:rPr lang="en-US" sz="2000" baseline="0">
              <a:latin typeface="Arial Black" panose="020B0A04020102020204" pitchFamily="34" charset="0"/>
            </a:rPr>
            <a:t> gás</a:t>
          </a:r>
          <a:endParaRPr lang="en-US" sz="2000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7</xdr:col>
      <xdr:colOff>714375</xdr:colOff>
      <xdr:row>2</xdr:row>
      <xdr:rowOff>66675</xdr:rowOff>
    </xdr:from>
    <xdr:to>
      <xdr:col>11</xdr:col>
      <xdr:colOff>28575</xdr:colOff>
      <xdr:row>4</xdr:row>
      <xdr:rowOff>28575</xdr:rowOff>
    </xdr:to>
    <xdr:sp macro="" textlink="$J$4">
      <xdr:nvSpPr>
        <xdr:cNvPr id="3" name="Retângulo 2">
          <a:extLst>
            <a:ext uri="{FF2B5EF4-FFF2-40B4-BE49-F238E27FC236}">
              <a16:creationId xmlns:a16="http://schemas.microsoft.com/office/drawing/2014/main" id="{71460C32-233A-42EC-B9C6-2D397AA06511}"/>
            </a:ext>
          </a:extLst>
        </xdr:cNvPr>
        <xdr:cNvSpPr/>
      </xdr:nvSpPr>
      <xdr:spPr>
        <a:xfrm>
          <a:off x="10467975" y="457200"/>
          <a:ext cx="3248025" cy="3524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273BABBF-FC4C-40EC-8507-B05137E3707D}" type="TxLink">
            <a:rPr lang="en-US" sz="1400" b="1" i="0" u="none" strike="noStrike">
              <a:solidFill>
                <a:schemeClr val="bg1"/>
              </a:solidFill>
              <a:latin typeface="Arial Black" panose="020B0A04020102020204" pitchFamily="34" charset="0"/>
              <a:cs typeface="Calibri"/>
            </a:rPr>
            <a:pPr algn="ctr"/>
            <a:t>Estoque inicial</a:t>
          </a:fld>
          <a:endParaRPr lang="pt-BR" sz="1400" b="1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8</xdr:col>
      <xdr:colOff>9524</xdr:colOff>
      <xdr:row>11</xdr:row>
      <xdr:rowOff>66675</xdr:rowOff>
    </xdr:from>
    <xdr:to>
      <xdr:col>10</xdr:col>
      <xdr:colOff>38100</xdr:colOff>
      <xdr:row>13</xdr:row>
      <xdr:rowOff>47625</xdr:rowOff>
    </xdr:to>
    <xdr:sp macro="" textlink="$I$13">
      <xdr:nvSpPr>
        <xdr:cNvPr id="4" name="Retângulo 3">
          <a:extLst>
            <a:ext uri="{FF2B5EF4-FFF2-40B4-BE49-F238E27FC236}">
              <a16:creationId xmlns:a16="http://schemas.microsoft.com/office/drawing/2014/main" id="{EC27E57A-2FE5-4EEF-A931-003758FE4B07}"/>
            </a:ext>
          </a:extLst>
        </xdr:cNvPr>
        <xdr:cNvSpPr/>
      </xdr:nvSpPr>
      <xdr:spPr>
        <a:xfrm>
          <a:off x="10515599" y="2181225"/>
          <a:ext cx="2390776" cy="36195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9D7E5BDE-5ADD-4655-B0F8-498629E2789E}" type="TxLink">
            <a:rPr lang="en-US" sz="1400" b="0" i="0" u="none" strike="noStrike">
              <a:solidFill>
                <a:schemeClr val="bg1"/>
              </a:solidFill>
              <a:latin typeface="Arial Black" panose="020B0A04020102020204" pitchFamily="34" charset="0"/>
              <a:cs typeface="Calibri"/>
            </a:rPr>
            <a:pPr algn="ctr"/>
            <a:t>Saida de caixa</a:t>
          </a:fld>
          <a:endParaRPr lang="pt-BR" sz="14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7</xdr:col>
      <xdr:colOff>695325</xdr:colOff>
      <xdr:row>38</xdr:row>
      <xdr:rowOff>19050</xdr:rowOff>
    </xdr:from>
    <xdr:to>
      <xdr:col>11</xdr:col>
      <xdr:colOff>9525</xdr:colOff>
      <xdr:row>39</xdr:row>
      <xdr:rowOff>171450</xdr:rowOff>
    </xdr:to>
    <xdr:sp macro="" textlink="$I$40">
      <xdr:nvSpPr>
        <xdr:cNvPr id="5" name="Retângulo 4">
          <a:extLst>
            <a:ext uri="{FF2B5EF4-FFF2-40B4-BE49-F238E27FC236}">
              <a16:creationId xmlns:a16="http://schemas.microsoft.com/office/drawing/2014/main" id="{AAF03846-1F76-4E8D-95A9-D7FD91F252F6}"/>
            </a:ext>
          </a:extLst>
        </xdr:cNvPr>
        <xdr:cNvSpPr/>
      </xdr:nvSpPr>
      <xdr:spPr>
        <a:xfrm>
          <a:off x="10448925" y="7324725"/>
          <a:ext cx="3248025" cy="3429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4F6BA73-4BAA-4F17-812D-B7437725F7F1}" type="TxLink">
            <a:rPr lang="en-US" sz="1400" b="1" i="0" u="none" strike="noStrike">
              <a:solidFill>
                <a:schemeClr val="bg1"/>
              </a:solidFill>
              <a:latin typeface="Arial Black" panose="020B0A04020102020204" pitchFamily="34" charset="0"/>
              <a:cs typeface="Calibri"/>
            </a:rPr>
            <a:pPr algn="ctr"/>
            <a:t>Estoque Final</a:t>
          </a:fld>
          <a:endParaRPr lang="pt-BR" sz="1400" b="1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11</xdr:col>
      <xdr:colOff>685802</xdr:colOff>
      <xdr:row>2</xdr:row>
      <xdr:rowOff>161924</xdr:rowOff>
    </xdr:from>
    <xdr:to>
      <xdr:col>15</xdr:col>
      <xdr:colOff>66676</xdr:colOff>
      <xdr:row>4</xdr:row>
      <xdr:rowOff>47624</xdr:rowOff>
    </xdr:to>
    <xdr:sp macro="" textlink="$M$4">
      <xdr:nvSpPr>
        <xdr:cNvPr id="6" name="Retângulo 5">
          <a:extLst>
            <a:ext uri="{FF2B5EF4-FFF2-40B4-BE49-F238E27FC236}">
              <a16:creationId xmlns:a16="http://schemas.microsoft.com/office/drawing/2014/main" id="{4A6B803F-BEF0-4B80-9D4B-CB5D938F8541}"/>
            </a:ext>
          </a:extLst>
        </xdr:cNvPr>
        <xdr:cNvSpPr/>
      </xdr:nvSpPr>
      <xdr:spPr>
        <a:xfrm>
          <a:off x="14258927" y="552449"/>
          <a:ext cx="3286124" cy="2762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E7ABE673-AD27-4DBA-B4FE-B90381529BD6}" type="TxLink">
            <a:rPr lang="en-US" sz="1400" b="1" i="0" u="none" strike="noStrike">
              <a:solidFill>
                <a:schemeClr val="bg1"/>
              </a:solidFill>
              <a:latin typeface="Arial Black" panose="020B0A04020102020204" pitchFamily="34" charset="0"/>
              <a:cs typeface="Calibri"/>
            </a:rPr>
            <a:pPr algn="ctr"/>
            <a:t>Abastecimento</a:t>
          </a:fld>
          <a:endParaRPr lang="pt-BR" sz="1400" b="1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11</xdr:col>
      <xdr:colOff>676275</xdr:colOff>
      <xdr:row>39</xdr:row>
      <xdr:rowOff>47625</xdr:rowOff>
    </xdr:from>
    <xdr:to>
      <xdr:col>14</xdr:col>
      <xdr:colOff>209551</xdr:colOff>
      <xdr:row>43</xdr:row>
      <xdr:rowOff>114299</xdr:rowOff>
    </xdr:to>
    <xdr:sp macro="" textlink="">
      <xdr:nvSpPr>
        <xdr:cNvPr id="7" name="Retângulo: Cantos Arredondados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7999C2-CC7B-4B62-802C-5FC07DE6694B}"/>
            </a:ext>
          </a:extLst>
        </xdr:cNvPr>
        <xdr:cNvSpPr/>
      </xdr:nvSpPr>
      <xdr:spPr>
        <a:xfrm>
          <a:off x="14258925" y="7543800"/>
          <a:ext cx="2562226" cy="828674"/>
        </a:xfrm>
        <a:prstGeom prst="round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3200">
              <a:latin typeface="Arial Black" panose="020B0A04020102020204" pitchFamily="34" charset="0"/>
            </a:rPr>
            <a:t>Menu</a:t>
          </a:r>
        </a:p>
      </xdr:txBody>
    </xdr:sp>
    <xdr:clientData/>
  </xdr:twoCellAnchor>
  <xdr:twoCellAnchor>
    <xdr:from>
      <xdr:col>11</xdr:col>
      <xdr:colOff>561976</xdr:colOff>
      <xdr:row>11</xdr:row>
      <xdr:rowOff>85725</xdr:rowOff>
    </xdr:from>
    <xdr:to>
      <xdr:col>14</xdr:col>
      <xdr:colOff>19051</xdr:colOff>
      <xdr:row>13</xdr:row>
      <xdr:rowOff>66675</xdr:rowOff>
    </xdr:to>
    <xdr:sp macro="" textlink="$I$13">
      <xdr:nvSpPr>
        <xdr:cNvPr id="8" name="Retângulo 7">
          <a:extLst>
            <a:ext uri="{FF2B5EF4-FFF2-40B4-BE49-F238E27FC236}">
              <a16:creationId xmlns:a16="http://schemas.microsoft.com/office/drawing/2014/main" id="{22FFB61B-F6FC-4957-8CA9-F49964BDE5C9}"/>
            </a:ext>
          </a:extLst>
        </xdr:cNvPr>
        <xdr:cNvSpPr/>
      </xdr:nvSpPr>
      <xdr:spPr>
        <a:xfrm>
          <a:off x="14249401" y="2200275"/>
          <a:ext cx="2381250" cy="36195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solidFill>
                <a:schemeClr val="bg1"/>
              </a:solidFill>
              <a:latin typeface="Arial Black" panose="020B0A04020102020204" pitchFamily="34" charset="0"/>
            </a:rPr>
            <a:t>Entrada</a:t>
          </a:r>
          <a:r>
            <a:rPr lang="pt-BR" sz="1400" baseline="0">
              <a:solidFill>
                <a:schemeClr val="bg1"/>
              </a:solidFill>
              <a:latin typeface="Arial Black" panose="020B0A04020102020204" pitchFamily="34" charset="0"/>
            </a:rPr>
            <a:t> caixa</a:t>
          </a:r>
          <a:endParaRPr lang="pt-BR" sz="14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1" xr:uid="{2E68CC05-7652-452F-B402-E9663089309B}" name="Tabela278121519222528313437404346495255586164677073767926912172023262932353841444750535659626568717477832691217202326293235384144475053565962656871747780868992" displayName="Tabela278121519222528313437404346495255586164677073767926912172023262932353841444750535659626568717477832691217202326293235384144475053565962656871747780868992" ref="I16:J29" totalsRowShown="0" headerRowDxfId="507" dataDxfId="506">
  <autoFilter ref="I16:J29" xr:uid="{CA2C1D0B-CD67-48CC-99C8-29EBF36A434A}"/>
  <tableColumns count="2">
    <tableColumn id="1" xr3:uid="{0FBBA07A-9D70-4480-B77F-E9FE239B8D11}" name="Coluna1" dataDxfId="505"/>
    <tableColumn id="2" xr3:uid="{DFA3242C-F709-4DAD-9B5F-752C408C10D3}" name="valor" dataDxfId="504" dataCellStyle="Moeda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B63BBF46-AC23-45BD-8B90-4C945BE97823}" name="Tabela278121519222528313437404346495255586164677073767926912172023262932353841444750535659626568717477832691217202326293235384144475053565962656871747780" displayName="Tabela278121519222528313437404346495255586164677073767926912172023262932353841444750535659626568717477832691217202326293235384144475053565962656871747780" ref="I16:J29" totalsRowShown="0" headerRowDxfId="459" dataDxfId="458">
  <autoFilter ref="I16:J29" xr:uid="{CA2C1D0B-CD67-48CC-99C8-29EBF36A434A}"/>
  <tableColumns count="2">
    <tableColumn id="1" xr3:uid="{BF3A4818-F631-4EA0-852C-938553BDDF96}" name="Coluna1" dataDxfId="457"/>
    <tableColumn id="2" xr3:uid="{326CC336-1FFE-48D8-A5D6-4FE39CF4EAE5}" name="valor" dataDxfId="456" dataCellStyle="Moeda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CE761781-EDB3-4A4C-8DA3-56AA7984F4C5}" name="Tabela2781213172023262932353841444750535659626568717477803710131821242730333639424548515457606366697275788437101318212427303336394245485154576063666972757881" displayName="Tabela2781213172023262932353841444750535659626568717477803710131821242730333639424548515457606366697275788437101318212427303336394245485154576063666972757881" ref="M16:N29" totalsRowShown="0" headerRowDxfId="455" dataDxfId="454">
  <autoFilter ref="M16:N29" xr:uid="{5A548B65-9FA1-4F6A-B9BA-3EA86C3EBD5C}"/>
  <tableColumns count="2">
    <tableColumn id="1" xr3:uid="{934D301B-57AB-4ED0-9BB4-BD161A342970}" name="Descrição" dataDxfId="453"/>
    <tableColumn id="2" xr3:uid="{7429864D-1C73-4E31-B734-A1AEB90BB143}" name="Valor" dataDxfId="452" dataCellStyle="Moeda"/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xr:uid="{BC3454D9-8D21-441D-B385-E85244E491A5}" name="Tabela16511182124273033363942454851545760636669727578815811151922252831343740434649525558616467707376828558111519222528313437404346495255586164677073767982" displayName="Tabela16511182124273033363942454851545760636669727578815811151922252831343740434649525558616467707376828558111519222528313437404346495255586164677073767982" ref="B6:G36" totalsRowShown="0" headerRowDxfId="451" dataDxfId="450" headerRowCellStyle="Normal">
  <autoFilter ref="B6:G36" xr:uid="{098BBE3F-C4A9-4D7E-9699-CAF894B64E59}"/>
  <tableColumns count="6">
    <tableColumn id="1" xr3:uid="{32B29E6D-C83C-45FD-808B-25F2CE12F694}" name="Item" dataDxfId="449"/>
    <tableColumn id="2" xr3:uid="{FDC18684-1D0E-43BD-9BB1-82789429AC12}" name="Endereço" dataDxfId="448"/>
    <tableColumn id="3" xr3:uid="{DD624578-0C90-4B49-9DBE-824A3F62D626}" name="Bairro" dataDxfId="447" dataCellStyle="Moeda"/>
    <tableColumn id="4" xr3:uid="{E8D52A71-07EE-44A5-BC24-C58D5303638A}" name="Valor" dataDxfId="446" dataCellStyle="Moeda"/>
    <tableColumn id="5" xr3:uid="{222C890D-6BDE-4DCC-AF7C-41DCE717651B}" name="Forma de Pagamento" dataDxfId="445"/>
    <tableColumn id="6" xr3:uid="{4CA9739F-A29C-46A7-BA96-C27033BBE913}" name="QUANTIDADE" dataDxfId="444"/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4C972B02-81A0-4B3B-8D36-F12106FB8764}" name="Tabela2781215192225283134374043464952555861646770737679269121720232629323538414447505356596265687174778326912172023262932353841444750535659626568717477" displayName="Tabela2781215192225283134374043464952555861646770737679269121720232629323538414447505356596265687174778326912172023262932353841444750535659626568717477" ref="I16:J29" totalsRowShown="0" headerRowDxfId="443" dataDxfId="442">
  <autoFilter ref="I16:J29" xr:uid="{CA2C1D0B-CD67-48CC-99C8-29EBF36A434A}"/>
  <tableColumns count="2">
    <tableColumn id="1" xr3:uid="{98C142F1-1742-43D9-84ED-5282D75B2229}" name="Coluna1" dataDxfId="441"/>
    <tableColumn id="2" xr3:uid="{78346180-2149-4C03-B137-5A2CB8114E38}" name="valor" dataDxfId="440" dataCellStyle="Moeda"/>
  </tableColumns>
  <tableStyleInfo name="TableStyleMedium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1F8EA66D-1E43-4F8D-A57A-9AE445A8F328}" name="Tabela27812131720232629323538414447505356596265687174778037101318212427303336394245485154576063666972757884371013182124273033363942454851545760636669727578" displayName="Tabela27812131720232629323538414447505356596265687174778037101318212427303336394245485154576063666972757884371013182124273033363942454851545760636669727578" ref="M16:N29" totalsRowShown="0" headerRowDxfId="439" dataDxfId="438">
  <autoFilter ref="M16:N29" xr:uid="{5A548B65-9FA1-4F6A-B9BA-3EA86C3EBD5C}"/>
  <tableColumns count="2">
    <tableColumn id="1" xr3:uid="{623ACE4F-389D-4608-A226-A283A68FE2AA}" name="Descrição" dataDxfId="437"/>
    <tableColumn id="2" xr3:uid="{0467175F-4B36-435E-8121-D5A6F1350D05}" name="Valor" dataDxfId="436" dataCellStyle="Moeda"/>
  </tableColumns>
  <tableStyleInfo name="TableStyleMedium15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09201942-9331-45A1-A8EE-8EDFA423EFD5}" name="Tabela165111821242730333639424548515457606366697275788158111519222528313437404346495255586164677073768285581115192225283134374043464952555861646770737679" displayName="Tabela165111821242730333639424548515457606366697275788158111519222528313437404346495255586164677073768285581115192225283134374043464952555861646770737679" ref="B6:G36" totalsRowShown="0" headerRowDxfId="435" dataDxfId="434" headerRowCellStyle="Normal">
  <autoFilter ref="B6:G36" xr:uid="{098BBE3F-C4A9-4D7E-9699-CAF894B64E59}"/>
  <tableColumns count="6">
    <tableColumn id="1" xr3:uid="{63B91839-84ED-4219-8A6F-EC0DE254E18C}" name="Item" dataDxfId="433"/>
    <tableColumn id="2" xr3:uid="{E4F2D497-FE9F-47CE-BB26-5A0558A7CED3}" name="Endereço" dataDxfId="432"/>
    <tableColumn id="3" xr3:uid="{291D723F-0E89-4926-A10D-E4BAC289A50D}" name="Bairro" dataDxfId="431" dataCellStyle="Moeda"/>
    <tableColumn id="4" xr3:uid="{5393D09A-867D-4F54-A234-6C6BA5477333}" name="Valor" dataDxfId="430" dataCellStyle="Moeda"/>
    <tableColumn id="5" xr3:uid="{0430183B-3387-4E6B-8945-5796CA35F2AB}" name="Forma de Pagamento" dataDxfId="429"/>
    <tableColumn id="6" xr3:uid="{2FA54552-C116-4D85-9CFD-25AC796FBBFE}" name="QUANTIDADE" dataDxfId="428"/>
  </tableColumns>
  <tableStyleInfo name="TableStyleMedium15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AEAD35A2-4E2C-4FAD-BA44-F8C493641CAE}" name="Tabela27812151922252831343740434649525558616467707376792691217202326293235384144475053565962656871747783269121720232629323538414447505356596265687174" displayName="Tabela27812151922252831343740434649525558616467707376792691217202326293235384144475053565962656871747783269121720232629323538414447505356596265687174" ref="I16:J29" totalsRowShown="0" headerRowDxfId="427" dataDxfId="426">
  <autoFilter ref="I16:J29" xr:uid="{CA2C1D0B-CD67-48CC-99C8-29EBF36A434A}"/>
  <tableColumns count="2">
    <tableColumn id="1" xr3:uid="{57644254-9BCC-45D7-A99E-65BA4F251FF2}" name="Coluna1" dataDxfId="425"/>
    <tableColumn id="2" xr3:uid="{93861F4E-5594-41E0-AEF0-4DBDD8898902}" name="valor" dataDxfId="424" dataCellStyle="Moeda"/>
  </tableColumns>
  <tableStyleInfo name="TableStyleMedium15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52365B0B-ED9C-439A-A814-7E566B459C9E}" name="Tabela278121317202326293235384144475053565962656871747780371013182124273033363942454851545760636669727578843710131821242730333639424548515457606366697275" displayName="Tabela278121317202326293235384144475053565962656871747780371013182124273033363942454851545760636669727578843710131821242730333639424548515457606366697275" ref="M16:N29" totalsRowShown="0" headerRowDxfId="423" dataDxfId="422">
  <autoFilter ref="M16:N29" xr:uid="{5A548B65-9FA1-4F6A-B9BA-3EA86C3EBD5C}"/>
  <tableColumns count="2">
    <tableColumn id="1" xr3:uid="{B171F368-93AD-4A95-B861-0D80ECDDCE9A}" name="Descrição" dataDxfId="421"/>
    <tableColumn id="2" xr3:uid="{2F505755-CA78-46A3-B23A-6F3C6EB69CC7}" name="Valor" dataDxfId="420" dataCellStyle="Moeda"/>
  </tableColumns>
  <tableStyleInfo name="TableStyleMedium15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FFD83117-32FD-40B5-B10F-232AFBF17763}" name="Tabela1651118212427303336394245485154576063666972757881581115192225283134374043464952555861646770737682855811151922252831343740434649525558616467707376" displayName="Tabela1651118212427303336394245485154576063666972757881581115192225283134374043464952555861646770737682855811151922252831343740434649525558616467707376" ref="B6:G36" totalsRowShown="0" headerRowDxfId="419" dataDxfId="418" headerRowCellStyle="Normal">
  <autoFilter ref="B6:G36" xr:uid="{098BBE3F-C4A9-4D7E-9699-CAF894B64E59}"/>
  <tableColumns count="6">
    <tableColumn id="1" xr3:uid="{1461236D-E8E2-442A-B8DE-84383DAC9B47}" name="Item" dataDxfId="417"/>
    <tableColumn id="2" xr3:uid="{E6EB2DC5-18E9-44E7-B947-B62BD2CE57C9}" name="Endereço" dataDxfId="416"/>
    <tableColumn id="3" xr3:uid="{0DD18753-8F7A-4DAB-B1AF-858A35E4C48B}" name="Bairro" dataDxfId="415" dataCellStyle="Moeda"/>
    <tableColumn id="4" xr3:uid="{34621B07-447A-4D31-BCF0-DB7B1E7417A2}" name="Valor" dataDxfId="414" dataCellStyle="Moeda"/>
    <tableColumn id="5" xr3:uid="{679FE6D2-A125-4833-BEC1-53F8E2DBAE66}" name="Forma de Pagamento" dataDxfId="413"/>
    <tableColumn id="6" xr3:uid="{3FBFC935-7178-4C75-8EB6-9A0F7FA9BAA8}" name="QUANTIDADE" dataDxfId="412"/>
  </tableColumns>
  <tableStyleInfo name="TableStyleMedium15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F3256BDF-44D4-4BA9-B21A-963EAE2129FD}" name="Tabela278121519222528313437404346495255586164677073767926912172023262932353841444750535659626568717477832691217202326293235384144475053565962656871" displayName="Tabela278121519222528313437404346495255586164677073767926912172023262932353841444750535659626568717477832691217202326293235384144475053565962656871" ref="I16:J29" totalsRowShown="0" headerRowDxfId="411" dataDxfId="410">
  <autoFilter ref="I16:J29" xr:uid="{CA2C1D0B-CD67-48CC-99C8-29EBF36A434A}"/>
  <tableColumns count="2">
    <tableColumn id="1" xr3:uid="{02C38645-670A-4FEE-9568-BFF775F6D13A}" name="Coluna1" dataDxfId="409"/>
    <tableColumn id="2" xr3:uid="{AFB7FD36-93AD-43B4-B7D6-D6FA60654B3C}" name="valor" dataDxfId="408" dataCellStyle="Moeda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2" xr:uid="{33777101-8796-4B57-B361-475F1B392751}" name="Tabela2781213172023262932353841444750535659626568717477803710131821242730333639424548515457606366697275788437101318212427303336394245485154576063666972757881879093" displayName="Tabela2781213172023262932353841444750535659626568717477803710131821242730333639424548515457606366697275788437101318212427303336394245485154576063666972757881879093" ref="M16:N29" totalsRowShown="0" headerRowDxfId="503" dataDxfId="502">
  <autoFilter ref="M16:N29" xr:uid="{5A548B65-9FA1-4F6A-B9BA-3EA86C3EBD5C}"/>
  <tableColumns count="2">
    <tableColumn id="1" xr3:uid="{4048DB72-2C51-46F2-BC6F-59D328C03001}" name="Descrição" dataDxfId="501"/>
    <tableColumn id="2" xr3:uid="{279A5F62-816D-4024-8012-FF83C170249A}" name="Valor" dataDxfId="500" dataCellStyle="Moeda"/>
  </tableColumns>
  <tableStyleInfo name="TableStyleMedium15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7B604AC4-F37C-4420-8784-24996B7FEDE4}" name="Tabela2781213172023262932353841444750535659626568717477803710131821242730333639424548515457606366697275788437101318212427303336394245485154576063666972" displayName="Tabela2781213172023262932353841444750535659626568717477803710131821242730333639424548515457606366697275788437101318212427303336394245485154576063666972" ref="M16:N29" totalsRowShown="0" headerRowDxfId="407" dataDxfId="406">
  <autoFilter ref="M16:N29" xr:uid="{5A548B65-9FA1-4F6A-B9BA-3EA86C3EBD5C}"/>
  <tableColumns count="2">
    <tableColumn id="1" xr3:uid="{B15933CA-0B94-4599-A8EE-360DB20214B5}" name="Descrição" dataDxfId="405"/>
    <tableColumn id="2" xr3:uid="{D028EE2F-8F16-43EF-BF4E-67880B146B6C}" name="Valor" dataDxfId="404" dataCellStyle="Moeda"/>
  </tableColumns>
  <tableStyleInfo name="TableStyleMedium15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A7505EE8-9CDD-48A3-BA1C-2FEC248437A5}" name="Tabela16511182124273033363942454851545760636669727578815811151922252831343740434649525558616467707376828558111519222528313437404346495255586164677073" displayName="Tabela16511182124273033363942454851545760636669727578815811151922252831343740434649525558616467707376828558111519222528313437404346495255586164677073" ref="B6:G36" totalsRowShown="0" headerRowDxfId="403" dataDxfId="402" headerRowCellStyle="Normal">
  <autoFilter ref="B6:G36" xr:uid="{098BBE3F-C4A9-4D7E-9699-CAF894B64E59}"/>
  <tableColumns count="6">
    <tableColumn id="1" xr3:uid="{D0D5838C-60BE-45BE-A8B0-DAE98918B5B0}" name="Item" dataDxfId="401"/>
    <tableColumn id="2" xr3:uid="{F4B5AB0A-17EE-4A1B-BF34-9F6D0991CCA4}" name="Endereço" dataDxfId="400"/>
    <tableColumn id="3" xr3:uid="{B4F524EE-582C-4EFA-9335-DBA2E14FCD98}" name="Bairro" dataDxfId="399" dataCellStyle="Moeda"/>
    <tableColumn id="4" xr3:uid="{20B54770-5219-43B5-95F6-207EC998D5B5}" name="Valor" dataDxfId="398" dataCellStyle="Moeda"/>
    <tableColumn id="5" xr3:uid="{D3162A62-25EE-4627-8585-E86172F5B62E}" name="Forma de Pagamento" dataDxfId="397"/>
    <tableColumn id="6" xr3:uid="{B60679C1-C87A-4A7F-878F-427D88E083FC}" name="QUANTIDADE" dataDxfId="396"/>
  </tableColumns>
  <tableStyleInfo name="TableStyleMedium15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3FC1809E-2CBF-4742-B4FC-5F1146AA4ADC}" name="Tabela2781215192225283134374043464952555861646770737679269121720232629323538414447505356596265687174778326912172023262932353841444750535659626568" displayName="Tabela2781215192225283134374043464952555861646770737679269121720232629323538414447505356596265687174778326912172023262932353841444750535659626568" ref="I16:J29" totalsRowShown="0" headerRowDxfId="395" dataDxfId="394">
  <autoFilter ref="I16:J29" xr:uid="{CA2C1D0B-CD67-48CC-99C8-29EBF36A434A}"/>
  <tableColumns count="2">
    <tableColumn id="1" xr3:uid="{B7729A0E-1BC1-4CF1-AD75-701F30ECA8B2}" name="Coluna1" dataDxfId="393"/>
    <tableColumn id="2" xr3:uid="{7581C3B1-F494-4B92-91E4-04D8A2AD8C17}" name="valor" dataDxfId="392" dataCellStyle="Moeda"/>
  </tableColumns>
  <tableStyleInfo name="TableStyleMedium15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51685A30-DBA6-442C-84B9-A084D962BD6D}" name="Tabela27812131720232629323538414447505356596265687174778037101318212427303336394245485154576063666972757884371013182124273033363942454851545760636669" displayName="Tabela27812131720232629323538414447505356596265687174778037101318212427303336394245485154576063666972757884371013182124273033363942454851545760636669" ref="M16:N29" totalsRowShown="0" headerRowDxfId="391" dataDxfId="390">
  <autoFilter ref="M16:N29" xr:uid="{5A548B65-9FA1-4F6A-B9BA-3EA86C3EBD5C}"/>
  <tableColumns count="2">
    <tableColumn id="1" xr3:uid="{B98ECEF2-2747-40A4-8C65-AB608C75F4E3}" name="Descrição" dataDxfId="389"/>
    <tableColumn id="2" xr3:uid="{CC530CA5-E49E-4685-97FD-B1EE42E5C9D0}" name="Valor" dataDxfId="388" dataCellStyle="Moeda"/>
  </tableColumns>
  <tableStyleInfo name="TableStyleMedium15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EDACCB44-03AA-45D7-B353-B916994374FE}" name="Tabela165111821242730333639424548515457606366697275788158111519222528313437404346495255586164677073768285581115192225283134374043464952555861646770" displayName="Tabela165111821242730333639424548515457606366697275788158111519222528313437404346495255586164677073768285581115192225283134374043464952555861646770" ref="B6:G36" totalsRowShown="0" headerRowDxfId="387" dataDxfId="386" headerRowCellStyle="Normal">
  <autoFilter ref="B6:G36" xr:uid="{098BBE3F-C4A9-4D7E-9699-CAF894B64E59}"/>
  <tableColumns count="6">
    <tableColumn id="1" xr3:uid="{0CBA4CF9-EEC1-47D7-95E5-191DE751EE9B}" name="Item" dataDxfId="385"/>
    <tableColumn id="2" xr3:uid="{B280BCB8-BE44-461B-88BC-7FA7F0455D81}" name="Endereço" dataDxfId="384"/>
    <tableColumn id="3" xr3:uid="{03522EDD-8573-4688-AD2F-EEB6A28B0DDE}" name="Bairro" dataDxfId="383" dataCellStyle="Moeda"/>
    <tableColumn id="4" xr3:uid="{2B8530B1-C6B6-4BA5-AE31-780F0F94F091}" name="Valor" dataDxfId="382" dataCellStyle="Moeda"/>
    <tableColumn id="5" xr3:uid="{196FBF7D-55A0-4F01-AED3-10DD4F1F4A66}" name="Forma de Pagamento" dataDxfId="381"/>
    <tableColumn id="6" xr3:uid="{DD2E0583-3938-40D7-8246-391AFA60D524}" name="QUANTIDADE" dataDxfId="380"/>
  </tableColumns>
  <tableStyleInfo name="TableStyleMedium15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FEE5E218-CB9B-4A2B-BEE9-6501E86127E6}" name="Tabela27812151922252831343740434649525558616467707376792691217202326293235384144475053565962656871747783269121720232629323538414447505356596265" displayName="Tabela27812151922252831343740434649525558616467707376792691217202326293235384144475053565962656871747783269121720232629323538414447505356596265" ref="I16:J29" totalsRowShown="0" headerRowDxfId="379" dataDxfId="378">
  <autoFilter ref="I16:J29" xr:uid="{CA2C1D0B-CD67-48CC-99C8-29EBF36A434A}"/>
  <tableColumns count="2">
    <tableColumn id="1" xr3:uid="{8C57ACE8-A28C-4562-9C84-D058402699C1}" name="Coluna1" dataDxfId="377"/>
    <tableColumn id="2" xr3:uid="{5E93F49B-B66B-48AE-B936-288D2993D8C3}" name="valor" dataDxfId="376" dataCellStyle="Moeda"/>
  </tableColumns>
  <tableStyleInfo name="TableStyleMedium15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736DC7C8-4BA8-4153-83F8-7266CEE66FB0}" name="Tabela278121317202326293235384144475053565962656871747780371013182124273033363942454851545760636669727578843710131821242730333639424548515457606366" displayName="Tabela278121317202326293235384144475053565962656871747780371013182124273033363942454851545760636669727578843710131821242730333639424548515457606366" ref="M16:N29" totalsRowShown="0" headerRowDxfId="375" dataDxfId="374">
  <autoFilter ref="M16:N29" xr:uid="{5A548B65-9FA1-4F6A-B9BA-3EA86C3EBD5C}"/>
  <tableColumns count="2">
    <tableColumn id="1" xr3:uid="{21D18554-7B8B-42A9-8007-DD5E659C4603}" name="Descrição" dataDxfId="373"/>
    <tableColumn id="2" xr3:uid="{D2345873-AF5F-42C1-8CBB-223CBF0B3B06}" name="Valor" dataDxfId="372" dataCellStyle="Moeda"/>
  </tableColumns>
  <tableStyleInfo name="TableStyleMedium15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A51E66BC-7F8E-496F-979C-599CAB5747BB}" name="Tabela1651118212427303336394245485154576063666972757881581115192225283134374043464952555861646770737682855811151922252831343740434649525558616467" displayName="Tabela1651118212427303336394245485154576063666972757881581115192225283134374043464952555861646770737682855811151922252831343740434649525558616467" ref="B6:G36" totalsRowShown="0" headerRowDxfId="371" dataDxfId="370" headerRowCellStyle="Normal">
  <autoFilter ref="B6:G36" xr:uid="{098BBE3F-C4A9-4D7E-9699-CAF894B64E59}"/>
  <tableColumns count="6">
    <tableColumn id="1" xr3:uid="{C2CCE2C3-587E-4671-93A6-35571FE1E778}" name="Item" dataDxfId="369"/>
    <tableColumn id="2" xr3:uid="{B633C068-89E5-4B5C-B646-AEA6D4A3E4C1}" name="Endereço" dataDxfId="368"/>
    <tableColumn id="3" xr3:uid="{3F1789A0-3EC2-4FEC-841B-DB2C00246978}" name="Bairro" dataDxfId="367" dataCellStyle="Moeda"/>
    <tableColumn id="4" xr3:uid="{382AB141-295D-4E38-9EDA-F6883F2C381C}" name="Valor" dataDxfId="366" dataCellStyle="Moeda"/>
    <tableColumn id="5" xr3:uid="{D3C912B5-153C-4474-9B1A-6C1768BC91ED}" name="Forma de Pagamento" dataDxfId="365"/>
    <tableColumn id="6" xr3:uid="{53EF58B2-AA9C-48CC-8509-0A2777BC5475}" name="QUANTIDADE" dataDxfId="364"/>
  </tableColumns>
  <tableStyleInfo name="TableStyleMedium15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E3F35E9D-992F-4F72-B354-1967C619A5B5}" name="Tabela278121519222528313437404346495255586164677073767926912172023262932353841444750535659626568717477832691217202326293235384144475053565962" displayName="Tabela278121519222528313437404346495255586164677073767926912172023262932353841444750535659626568717477832691217202326293235384144475053565962" ref="I16:J29" totalsRowShown="0" headerRowDxfId="363" dataDxfId="362">
  <autoFilter ref="I16:J29" xr:uid="{CA2C1D0B-CD67-48CC-99C8-29EBF36A434A}"/>
  <tableColumns count="2">
    <tableColumn id="1" xr3:uid="{100C261B-BD15-46BB-A2DB-D5AAEB157532}" name="Coluna1" dataDxfId="361"/>
    <tableColumn id="2" xr3:uid="{E569C65A-C3B3-4882-A0C3-017F5E1EA49A}" name="valor" dataDxfId="360" dataCellStyle="Moeda"/>
  </tableColumns>
  <tableStyleInfo name="TableStyleMedium15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39522F9E-47C2-4AEC-9125-251289277B3D}" name="Tabela2781213172023262932353841444750535659626568717477803710131821242730333639424548515457606366697275788437101318212427303336394245485154576063" displayName="Tabela2781213172023262932353841444750535659626568717477803710131821242730333639424548515457606366697275788437101318212427303336394245485154576063" ref="M16:N29" totalsRowShown="0" headerRowDxfId="359" dataDxfId="358">
  <autoFilter ref="M16:N29" xr:uid="{5A548B65-9FA1-4F6A-B9BA-3EA86C3EBD5C}"/>
  <tableColumns count="2">
    <tableColumn id="1" xr3:uid="{0D48C883-83BC-4D1B-8A1F-17887C7B25FA}" name="Descrição" dataDxfId="357"/>
    <tableColumn id="2" xr3:uid="{128F5E5D-0316-4535-BBA0-AB73D64C77C0}" name="Valor" dataDxfId="356" dataCellStyle="Moeda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3" xr:uid="{AAE63C60-9F68-4136-AC2A-2825EDC99B40}" name="Tabela16511182124273033363942454851545760636669727578815811151922252831343740434649525558616467707376828558111519222528313437404346495255586164677073767982889194" displayName="Tabela16511182124273033363942454851545760636669727578815811151922252831343740434649525558616467707376828558111519222528313437404346495255586164677073767982889194" ref="B6:G36" totalsRowShown="0" headerRowDxfId="499" dataDxfId="498" headerRowCellStyle="Normal">
  <autoFilter ref="B6:G36" xr:uid="{098BBE3F-C4A9-4D7E-9699-CAF894B64E59}"/>
  <tableColumns count="6">
    <tableColumn id="1" xr3:uid="{BE311313-7192-4913-A302-2E05C3EC5916}" name="item" dataDxfId="497"/>
    <tableColumn id="2" xr3:uid="{740DCBCD-C308-4B82-9283-FFD2A5F9B0DC}" name="Endereço" dataDxfId="496"/>
    <tableColumn id="3" xr3:uid="{6D22F98B-BE0C-4CC4-BFAF-F41139DE1E06}" name="Bairro" dataDxfId="495" dataCellStyle="Moeda"/>
    <tableColumn id="4" xr3:uid="{FF87E3A1-BBB7-4E6A-B3CB-129C007F4EF0}" name="Valor" dataDxfId="494" dataCellStyle="Moeda"/>
    <tableColumn id="5" xr3:uid="{82B8CA12-17E7-4D3D-8EE1-C0840F4F0984}" name="Forma de Pagamento" dataDxfId="493"/>
    <tableColumn id="6" xr3:uid="{E8FC2834-D143-4B2F-866D-C81917E3F421}" name="QUANTIDADE" dataDxfId="492"/>
  </tableColumns>
  <tableStyleInfo name="TableStyleMedium15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47F5A7A5-2B02-4AD9-9CAC-A7569B536764}" name="Tabela16511182124273033363942454851545760636669727578815811151922252831343740434649525558616467707376828558111519222528313437404346495255586164" displayName="Tabela16511182124273033363942454851545760636669727578815811151922252831343740434649525558616467707376828558111519222528313437404346495255586164" ref="B6:G36" totalsRowShown="0" headerRowDxfId="355" dataDxfId="354" headerRowCellStyle="Normal">
  <autoFilter ref="B6:G36" xr:uid="{098BBE3F-C4A9-4D7E-9699-CAF894B64E59}"/>
  <tableColumns count="6">
    <tableColumn id="1" xr3:uid="{2D5447BA-A24B-4E0E-BD40-B602423AE587}" name="Item" dataDxfId="353"/>
    <tableColumn id="2" xr3:uid="{96EFC540-6D32-4A13-96CE-049382660A3C}" name="Endereço" dataDxfId="352"/>
    <tableColumn id="3" xr3:uid="{29C3F910-FBEA-4FC2-AEFF-3C520B0429DD}" name="Bairro" dataDxfId="351" dataCellStyle="Moeda"/>
    <tableColumn id="4" xr3:uid="{ADEBB911-2666-4964-97D4-6050A7F62EDD}" name="Valor" dataDxfId="350" dataCellStyle="Moeda"/>
    <tableColumn id="5" xr3:uid="{BEF56E55-EF3E-4128-8661-23BC1C6F513F}" name="Forma de Pagamento" dataDxfId="349"/>
    <tableColumn id="6" xr3:uid="{B8BC39EA-CC4B-4598-9970-D3E9CA33F05A}" name="QUANTIDADE" dataDxfId="348"/>
  </tableColumns>
  <tableStyleInfo name="TableStyleMedium15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581EAE79-A1E4-4585-9D25-B779097CAB33}" name="Tabela2781215192225283134374043464952555861646770737679269121720232629323538414447505356596265687174778326912172023262932353841444750535659" displayName="Tabela2781215192225283134374043464952555861646770737679269121720232629323538414447505356596265687174778326912172023262932353841444750535659" ref="I16:J29" totalsRowShown="0" headerRowDxfId="347" dataDxfId="346">
  <autoFilter ref="I16:J29" xr:uid="{CA2C1D0B-CD67-48CC-99C8-29EBF36A434A}"/>
  <tableColumns count="2">
    <tableColumn id="1" xr3:uid="{75E7646D-2737-4D0C-B7B2-0479FAC66598}" name="Coluna1" dataDxfId="345"/>
    <tableColumn id="2" xr3:uid="{3CD8D703-FA07-4421-B9D7-9B2EA52C90CA}" name="valor" dataDxfId="344" dataCellStyle="Moeda"/>
  </tableColumns>
  <tableStyleInfo name="TableStyleMedium15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406AB130-C62C-4B41-A89F-0D569AF8B4B8}" name="Tabela27812131720232629323538414447505356596265687174778037101318212427303336394245485154576063666972757884371013182124273033363942454851545760" displayName="Tabela27812131720232629323538414447505356596265687174778037101318212427303336394245485154576063666972757884371013182124273033363942454851545760" ref="M16:N29" totalsRowShown="0" headerRowDxfId="343" dataDxfId="342">
  <autoFilter ref="M16:N29" xr:uid="{5A548B65-9FA1-4F6A-B9BA-3EA86C3EBD5C}"/>
  <tableColumns count="2">
    <tableColumn id="1" xr3:uid="{4D92CE41-948E-4E7C-BEC1-23D28B40BC2A}" name="Descrição" dataDxfId="341"/>
    <tableColumn id="2" xr3:uid="{4F59415F-1B9C-4A55-B63E-914AA8ED79DC}" name="Valor" dataDxfId="340" dataCellStyle="Moeda"/>
  </tableColumns>
  <tableStyleInfo name="TableStyleMedium15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5C4AFB24-4CFF-44D9-9847-B40FBAB8062E}" name="Tabela165111821242730333639424548515457606366697275788158111519222528313437404346495255586164677073768285581115192225283134374043464952555861" displayName="Tabela165111821242730333639424548515457606366697275788158111519222528313437404346495255586164677073768285581115192225283134374043464952555861" ref="B6:G36" totalsRowShown="0" headerRowDxfId="339" dataDxfId="338" headerRowCellStyle="Normal">
  <autoFilter ref="B6:G36" xr:uid="{098BBE3F-C4A9-4D7E-9699-CAF894B64E59}"/>
  <tableColumns count="6">
    <tableColumn id="1" xr3:uid="{90E3FEDF-4DD9-4518-BFB3-2CF77132BE83}" name="Item" dataDxfId="337"/>
    <tableColumn id="2" xr3:uid="{C66D316C-C67F-4ABD-8109-66E17EB7DCA3}" name="Endereço" dataDxfId="336"/>
    <tableColumn id="3" xr3:uid="{B77A28DE-C02B-4895-BE11-DB563913FDBA}" name="Bairro" dataDxfId="335" dataCellStyle="Moeda"/>
    <tableColumn id="4" xr3:uid="{FED3C607-D7D8-4312-B40F-53D6B037E995}" name="Valor" dataDxfId="334" dataCellStyle="Moeda"/>
    <tableColumn id="5" xr3:uid="{A30A27EB-8F65-4723-A83B-78331D83120E}" name="Forma de Pagamento" dataDxfId="333"/>
    <tableColumn id="6" xr3:uid="{0837EA82-D7A1-4106-9BE3-E373664EC666}" name="QUANTIDADE" dataDxfId="332"/>
  </tableColumns>
  <tableStyleInfo name="TableStyleMedium15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BE73D55F-6D40-446A-B461-1079DDABC03A}" name="Tabela27812151922252831343740434649525558616467707376792691217202326293235384144475053565962656871747783269121720232629323538414447505356" displayName="Tabela27812151922252831343740434649525558616467707376792691217202326293235384144475053565962656871747783269121720232629323538414447505356" ref="I16:J29" totalsRowShown="0" headerRowDxfId="331" dataDxfId="330">
  <autoFilter ref="I16:J29" xr:uid="{CA2C1D0B-CD67-48CC-99C8-29EBF36A434A}"/>
  <tableColumns count="2">
    <tableColumn id="1" xr3:uid="{8543F6CF-7D35-489A-97B4-3BFBCF03D19A}" name="Coluna1" dataDxfId="329"/>
    <tableColumn id="2" xr3:uid="{CACDAD73-1A03-4A76-A5E9-753056EE7A9C}" name="valor" dataDxfId="328" dataCellStyle="Moeda"/>
  </tableColumns>
  <tableStyleInfo name="TableStyleMedium15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536E3CB5-4E48-42B6-8A23-3995EF4084BC}" name="Tabela278121317202326293235384144475053565962656871747780371013182124273033363942454851545760636669727578843710131821242730333639424548515457" displayName="Tabela278121317202326293235384144475053565962656871747780371013182124273033363942454851545760636669727578843710131821242730333639424548515457" ref="M16:N29" totalsRowShown="0" headerRowDxfId="327" dataDxfId="326">
  <autoFilter ref="M16:N29" xr:uid="{5A548B65-9FA1-4F6A-B9BA-3EA86C3EBD5C}"/>
  <tableColumns count="2">
    <tableColumn id="1" xr3:uid="{6E5A5E4A-A91A-433A-91A3-487D11656ACA}" name="Descrição" dataDxfId="325"/>
    <tableColumn id="2" xr3:uid="{22C360B6-AD8A-4431-A571-DC6DA491A7B3}" name="Valor" dataDxfId="324" dataCellStyle="Moeda"/>
  </tableColumns>
  <tableStyleInfo name="TableStyleMedium15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2A78B1DD-8CC1-4EB7-97E3-4B7B641272C6}" name="Tabela1651118212427303336394245485154576063666972757881581115192225283134374043464952555861646770737682855811151922252831343740434649525558" displayName="Tabela1651118212427303336394245485154576063666972757881581115192225283134374043464952555861646770737682855811151922252831343740434649525558" ref="B6:G36" totalsRowShown="0" headerRowDxfId="323" dataDxfId="322" headerRowCellStyle="Normal">
  <autoFilter ref="B6:G36" xr:uid="{098BBE3F-C4A9-4D7E-9699-CAF894B64E59}"/>
  <tableColumns count="6">
    <tableColumn id="1" xr3:uid="{0E098662-5A71-44EF-93F9-F17AECDF6517}" name="Item" dataDxfId="321"/>
    <tableColumn id="2" xr3:uid="{99CF6639-07D8-4837-9EE8-0BF259AA1CA5}" name="Endereço" dataDxfId="320"/>
    <tableColumn id="3" xr3:uid="{43B96F88-EE6B-4FCA-A119-18D97E90415C}" name="Bairro" dataDxfId="319" dataCellStyle="Moeda"/>
    <tableColumn id="4" xr3:uid="{9F35C828-80BC-40A3-9C8B-EAC5799E81AF}" name="Valor" dataDxfId="318" dataCellStyle="Moeda"/>
    <tableColumn id="5" xr3:uid="{D9AE1F39-EACB-4D2E-8A02-15BD7C7DCEB9}" name="Forma de Pagamento" dataDxfId="317"/>
    <tableColumn id="6" xr3:uid="{6070D87C-8F73-4EF2-9216-1F2B074CA264}" name="QUANTIDADE" dataDxfId="316"/>
  </tableColumns>
  <tableStyleInfo name="TableStyleMedium15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B1E48AF0-6036-4D6C-B229-298539C00416}" name="Tabela278121519222528313437404346495255586164677073767926912172023262932353841444750535659626568717477832691217202326293235384144475053" displayName="Tabela278121519222528313437404346495255586164677073767926912172023262932353841444750535659626568717477832691217202326293235384144475053" ref="I16:J29" totalsRowShown="0" headerRowDxfId="315" dataDxfId="314">
  <autoFilter ref="I16:J29" xr:uid="{CA2C1D0B-CD67-48CC-99C8-29EBF36A434A}"/>
  <tableColumns count="2">
    <tableColumn id="1" xr3:uid="{3030D7C9-D371-4B67-92E7-B71E9EAE6BA1}" name="Coluna1" dataDxfId="313"/>
    <tableColumn id="2" xr3:uid="{EA361ECC-ED60-4D44-B4F6-6AB49484E71E}" name="valor" dataDxfId="312" dataCellStyle="Moeda"/>
  </tableColumns>
  <tableStyleInfo name="TableStyleMedium15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C6C01AD3-6518-4EAE-BDCA-E3BE718329AA}" name="Tabela2781213172023262932353841444750535659626568717477803710131821242730333639424548515457606366697275788437101318212427303336394245485154" displayName="Tabela2781213172023262932353841444750535659626568717477803710131821242730333639424548515457606366697275788437101318212427303336394245485154" ref="M16:N29" totalsRowShown="0" headerRowDxfId="311" dataDxfId="310">
  <autoFilter ref="M16:N29" xr:uid="{5A548B65-9FA1-4F6A-B9BA-3EA86C3EBD5C}"/>
  <tableColumns count="2">
    <tableColumn id="1" xr3:uid="{37379B7C-C4AE-43BC-A435-C154BCABF871}" name="Descrição" dataDxfId="309"/>
    <tableColumn id="2" xr3:uid="{459AD4A2-0B55-4DC6-B131-EE1DE0E8287D}" name="Valor" dataDxfId="308" dataCellStyle="Moeda"/>
  </tableColumns>
  <tableStyleInfo name="TableStyleMedium15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EAFD17C5-4D2A-4DB8-BD7D-11D22ACD282A}" name="Tabela16511182124273033363942454851545760636669727578815811151922252831343740434649525558616467707376828558111519222528313437404346495255" displayName="Tabela16511182124273033363942454851545760636669727578815811151922252831343740434649525558616467707376828558111519222528313437404346495255" ref="B6:G36" totalsRowShown="0" headerRowDxfId="307" dataDxfId="306" headerRowCellStyle="Normal">
  <autoFilter ref="B6:G36" xr:uid="{098BBE3F-C4A9-4D7E-9699-CAF894B64E59}"/>
  <tableColumns count="6">
    <tableColumn id="1" xr3:uid="{E8641754-BC0D-4F6C-A515-1F95FA2A7998}" name="Item" dataDxfId="305"/>
    <tableColumn id="2" xr3:uid="{56AA097E-34A2-46F4-8183-2D1228C8E05E}" name="Endereço" dataDxfId="304"/>
    <tableColumn id="3" xr3:uid="{3D45C530-60C7-4A78-9268-006DD10FE181}" name="Bairro" dataDxfId="303" dataCellStyle="Moeda"/>
    <tableColumn id="4" xr3:uid="{304C6AA4-9342-4D0E-878C-8011AAC20D4E}" name="Valor" dataDxfId="302" dataCellStyle="Moeda"/>
    <tableColumn id="5" xr3:uid="{F79D10C3-564A-4E23-BDEC-712287E3E883}" name="Forma de Pagamento" dataDxfId="301"/>
    <tableColumn id="6" xr3:uid="{D2B28F67-B9CC-43E3-A1E7-FAA379FE8336}" name="QUANTIDADE" dataDxfId="300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8" xr:uid="{C8BC03F7-95D6-4AF1-BDDB-E74521317195}" name="Tabela2781215192225283134374043464952555861646770737679269121720232629323538414447505356596265687174778326912172023262932353841444750535659626568717477808689" displayName="Tabela2781215192225283134374043464952555861646770737679269121720232629323538414447505356596265687174778326912172023262932353841444750535659626568717477808689" ref="I16:J29" totalsRowShown="0" headerRowDxfId="491" dataDxfId="490">
  <autoFilter ref="I16:J29" xr:uid="{CA2C1D0B-CD67-48CC-99C8-29EBF36A434A}"/>
  <tableColumns count="2">
    <tableColumn id="1" xr3:uid="{C7FEC538-89B6-489D-A2B8-F5112155EA5A}" name="Coluna1" dataDxfId="489"/>
    <tableColumn id="2" xr3:uid="{02A5EEA1-5363-4D3C-85BE-2A6A4CDC4A31}" name="valor" dataDxfId="488" dataCellStyle="Moeda"/>
  </tableColumns>
  <tableStyleInfo name="TableStyleMedium15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E1080C48-534F-4B57-A5CC-0DD906A86EEA}" name="Tabela2781215192225283134374043464952555861646770737679269121720232629323538414447505356596265687174778326912172023262932353841444750" displayName="Tabela2781215192225283134374043464952555861646770737679269121720232629323538414447505356596265687174778326912172023262932353841444750" ref="I16:J29" totalsRowShown="0" headerRowDxfId="299" dataDxfId="298">
  <autoFilter ref="I16:J29" xr:uid="{CA2C1D0B-CD67-48CC-99C8-29EBF36A434A}"/>
  <tableColumns count="2">
    <tableColumn id="1" xr3:uid="{AD931261-C3F8-4A70-A1B4-7B53812E53A2}" name="Coluna1" dataDxfId="297"/>
    <tableColumn id="2" xr3:uid="{6BD8B351-DD75-4009-B448-F660956979F8}" name="valor" dataDxfId="296" dataCellStyle="Moeda"/>
  </tableColumns>
  <tableStyleInfo name="TableStyleMedium15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86E051A4-B82D-4D91-94C2-33AEB8B83E43}" name="Tabela27812131720232629323538414447505356596265687174778037101318212427303336394245485154576063666972757884371013182124273033363942454851" displayName="Tabela27812131720232629323538414447505356596265687174778037101318212427303336394245485154576063666972757884371013182124273033363942454851" ref="M16:N29" totalsRowShown="0" headerRowDxfId="295" dataDxfId="294">
  <autoFilter ref="M16:N29" xr:uid="{5A548B65-9FA1-4F6A-B9BA-3EA86C3EBD5C}"/>
  <tableColumns count="2">
    <tableColumn id="1" xr3:uid="{C0C4CBF6-306C-4BD9-BED1-A7B026B2783B}" name="Descrição" dataDxfId="293"/>
    <tableColumn id="2" xr3:uid="{7C2D0149-793F-4E5B-ADCE-0F634EED3930}" name="Valor" dataDxfId="292" dataCellStyle="Moeda"/>
  </tableColumns>
  <tableStyleInfo name="TableStyleMedium15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4434EC6B-4CF1-4A9A-9685-D1E0FE71AA11}" name="Tabela165111821242730333639424548515457606366697275788158111519222528313437404346495255586164677073768285581115192225283134374043464952" displayName="Tabela165111821242730333639424548515457606366697275788158111519222528313437404346495255586164677073768285581115192225283134374043464952" ref="B6:G36" totalsRowShown="0" headerRowDxfId="291" dataDxfId="290" headerRowCellStyle="Normal">
  <autoFilter ref="B6:G36" xr:uid="{098BBE3F-C4A9-4D7E-9699-CAF894B64E59}"/>
  <tableColumns count="6">
    <tableColumn id="1" xr3:uid="{3518DE38-0FFD-420E-A908-6A3B01F2FDDF}" name="Item" dataDxfId="289"/>
    <tableColumn id="2" xr3:uid="{F14CFCF5-2144-407D-B9E1-366D3088788A}" name="Endereço" dataDxfId="288"/>
    <tableColumn id="3" xr3:uid="{50D95F31-1786-4B82-A534-6E93F6EAE969}" name="Bairro" dataDxfId="287" dataCellStyle="Moeda"/>
    <tableColumn id="4" xr3:uid="{9A51ADB9-EADF-430A-BF83-06858E1A88C2}" name="Valor" dataDxfId="286" dataCellStyle="Moeda"/>
    <tableColumn id="5" xr3:uid="{5B4BEE2F-AB56-4E69-8C32-BBE57BB615EC}" name="Forma de Pagamento" dataDxfId="285"/>
    <tableColumn id="6" xr3:uid="{134BA0C2-2792-42B5-B0C8-C5E5A2D523A8}" name="QUANTIDADE" dataDxfId="284"/>
  </tableColumns>
  <tableStyleInfo name="TableStyleMedium15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927C46EB-89F1-43BF-97B2-4D0CDE7137D7}" name="Tabela27812151922252831343740434649525558616467707376792691217202326293235384144475053565962656871747783269121720232629323538414447" displayName="Tabela27812151922252831343740434649525558616467707376792691217202326293235384144475053565962656871747783269121720232629323538414447" ref="I16:J29" totalsRowShown="0" headerRowDxfId="283" dataDxfId="282">
  <autoFilter ref="I16:J29" xr:uid="{CA2C1D0B-CD67-48CC-99C8-29EBF36A434A}"/>
  <tableColumns count="2">
    <tableColumn id="1" xr3:uid="{A91FEE86-731D-41DB-ABD6-086C41EEBE36}" name="Coluna1" dataDxfId="281"/>
    <tableColumn id="2" xr3:uid="{B5603325-CF03-4D44-87C1-0E9E3C64AF23}" name="valor" dataDxfId="280" dataCellStyle="Moeda"/>
  </tableColumns>
  <tableStyleInfo name="TableStyleMedium15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832A9EE7-DFCD-40F1-AF40-8203D6570E68}" name="Tabela278121317202326293235384144475053565962656871747780371013182124273033363942454851545760636669727578843710131821242730333639424548" displayName="Tabela278121317202326293235384144475053565962656871747780371013182124273033363942454851545760636669727578843710131821242730333639424548" ref="M16:N29" totalsRowShown="0" headerRowDxfId="279" dataDxfId="278">
  <autoFilter ref="M16:N29" xr:uid="{5A548B65-9FA1-4F6A-B9BA-3EA86C3EBD5C}"/>
  <tableColumns count="2">
    <tableColumn id="1" xr3:uid="{EF55E9F8-EF00-4882-97D8-EB919DC11ED4}" name="Descrição" dataDxfId="277"/>
    <tableColumn id="2" xr3:uid="{E75AC6CB-C0B9-4430-A0AB-09C8FD4F90A3}" name="Valor" dataDxfId="276" dataCellStyle="Moeda"/>
  </tableColumns>
  <tableStyleInfo name="TableStyleMedium15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84D22E6C-620C-44B8-AD8E-FD4A59CD63CA}" name="Tabela1651118212427303336394245485154576063666972757881581115192225283134374043464952555861646770737682855811151922252831343740434649" displayName="Tabela1651118212427303336394245485154576063666972757881581115192225283134374043464952555861646770737682855811151922252831343740434649" ref="B6:G36" totalsRowShown="0" headerRowDxfId="275" dataDxfId="274" headerRowCellStyle="Normal">
  <autoFilter ref="B6:G36" xr:uid="{098BBE3F-C4A9-4D7E-9699-CAF894B64E59}"/>
  <tableColumns count="6">
    <tableColumn id="1" xr3:uid="{F7AAFDAB-9D59-47F5-8042-1247CBBFC2FA}" name="Item" dataDxfId="273"/>
    <tableColumn id="2" xr3:uid="{1494102C-B155-4EDE-990D-FB47F43D3A12}" name="Endereço" dataDxfId="272"/>
    <tableColumn id="3" xr3:uid="{6470C8B4-59C7-49AD-B5F4-12067D85C091}" name="Bairro" dataDxfId="271" dataCellStyle="Moeda"/>
    <tableColumn id="4" xr3:uid="{32A1D326-06DF-4DA9-82C3-BE107DEE61D0}" name="Valor" dataDxfId="270" dataCellStyle="Moeda"/>
    <tableColumn id="5" xr3:uid="{C7D5894C-B9C0-4064-B88C-CD3011C32DFB}" name="Forma de Pagamento" dataDxfId="269"/>
    <tableColumn id="6" xr3:uid="{91B65019-CADE-4B62-8E55-122183E7B851}" name="QUANTIDADE" dataDxfId="268"/>
  </tableColumns>
  <tableStyleInfo name="TableStyleMedium15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31BE768E-D445-4639-9EE3-98472C51D372}" name="Tabela278121519222528313437404346495255586164677073767926912172023262932353841444750535659626568717477832691217202326293235384144" displayName="Tabela278121519222528313437404346495255586164677073767926912172023262932353841444750535659626568717477832691217202326293235384144" ref="I16:J29" totalsRowShown="0" headerRowDxfId="267" dataDxfId="266">
  <autoFilter ref="I16:J29" xr:uid="{CA2C1D0B-CD67-48CC-99C8-29EBF36A434A}"/>
  <tableColumns count="2">
    <tableColumn id="1" xr3:uid="{7E62FC2E-5A49-4772-A9E6-12FAD0160FE5}" name="Coluna1" dataDxfId="265"/>
    <tableColumn id="2" xr3:uid="{99B71239-1CDE-436E-82EF-EBAF0F425281}" name="valor" dataDxfId="264" dataCellStyle="Moeda"/>
  </tableColumns>
  <tableStyleInfo name="TableStyleMedium15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646E097D-7C76-4370-A20E-CDDF3C33A9D7}" name="Tabela2781213172023262932353841444750535659626568717477803710131821242730333639424548515457606366697275788437101318212427303336394245" displayName="Tabela2781213172023262932353841444750535659626568717477803710131821242730333639424548515457606366697275788437101318212427303336394245" ref="M16:N29" totalsRowShown="0" headerRowDxfId="263" dataDxfId="262">
  <autoFilter ref="M16:N29" xr:uid="{5A548B65-9FA1-4F6A-B9BA-3EA86C3EBD5C}"/>
  <tableColumns count="2">
    <tableColumn id="1" xr3:uid="{9877F18F-BFBE-440C-92D4-4A308CDDEE39}" name="Descrição" dataDxfId="261"/>
    <tableColumn id="2" xr3:uid="{F14851EF-7A2B-4C42-BD88-CAC072734652}" name="Valor" dataDxfId="260" dataCellStyle="Moeda"/>
  </tableColumns>
  <tableStyleInfo name="TableStyleMedium15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BF3AEEFB-B10A-46FD-8FDD-FC0B8C2B5E39}" name="Tabela16511182124273033363942454851545760636669727578815811151922252831343740434649525558616467707376828558111519222528313437404346" displayName="Tabela16511182124273033363942454851545760636669727578815811151922252831343740434649525558616467707376828558111519222528313437404346" ref="B6:G36" totalsRowShown="0" headerRowDxfId="259" dataDxfId="258" headerRowCellStyle="Normal">
  <autoFilter ref="B6:G36" xr:uid="{098BBE3F-C4A9-4D7E-9699-CAF894B64E59}"/>
  <tableColumns count="6">
    <tableColumn id="1" xr3:uid="{2B48057D-3CEF-4AC8-8137-6AF05A5BCB13}" name="Item" dataDxfId="257"/>
    <tableColumn id="2" xr3:uid="{5D491DCB-2D82-4271-BD35-96A88B24F8FB}" name="Endereço" dataDxfId="256"/>
    <tableColumn id="3" xr3:uid="{1B133A57-76B8-4941-9BC0-2CF1C1D00E46}" name="Bairro" dataDxfId="255" dataCellStyle="Moeda"/>
    <tableColumn id="4" xr3:uid="{591E5048-9C40-4F37-88BC-06CCD5024850}" name="Valor" dataDxfId="254" dataCellStyle="Moeda"/>
    <tableColumn id="5" xr3:uid="{37F43728-C6DA-4219-AE9A-DB8AC3543E8E}" name="Forma de Pagamento" dataDxfId="253"/>
    <tableColumn id="6" xr3:uid="{788BD15C-A483-4A32-BF7D-A9463C0DCD30}" name="QUANTIDADE" dataDxfId="252"/>
  </tableColumns>
  <tableStyleInfo name="TableStyleMedium15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9F8A5A47-DFC5-4D69-A944-36576F73F3DB}" name="Tabela2781215192225283134374043464952555861646770737679269121720232629323538414447505356596265687174778326912172023262932353841" displayName="Tabela2781215192225283134374043464952555861646770737679269121720232629323538414447505356596265687174778326912172023262932353841" ref="I16:J29" totalsRowShown="0" headerRowDxfId="251" dataDxfId="250">
  <autoFilter ref="I16:J29" xr:uid="{CA2C1D0B-CD67-48CC-99C8-29EBF36A434A}"/>
  <tableColumns count="2">
    <tableColumn id="1" xr3:uid="{806BE2B0-CE69-4638-AF3F-E763665634FE}" name="Coluna1" dataDxfId="249"/>
    <tableColumn id="2" xr3:uid="{D05B2AD6-F34C-4094-BA92-7ED596ACC84A}" name="valor" dataDxfId="248" dataCellStyle="Moeda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9" xr:uid="{602867AD-D776-4D1D-B063-686D091AE5DA}" name="Tabela27812131720232629323538414447505356596265687174778037101318212427303336394245485154576063666972757884371013182124273033363942454851545760636669727578818790" displayName="Tabela27812131720232629323538414447505356596265687174778037101318212427303336394245485154576063666972757884371013182124273033363942454851545760636669727578818790" ref="M16:N29" totalsRowShown="0" headerRowDxfId="487" dataDxfId="486">
  <autoFilter ref="M16:N29" xr:uid="{5A548B65-9FA1-4F6A-B9BA-3EA86C3EBD5C}"/>
  <tableColumns count="2">
    <tableColumn id="1" xr3:uid="{4C41FA5C-8731-4BB9-B557-DA481DE81B95}" name="Descrição" dataDxfId="485"/>
    <tableColumn id="2" xr3:uid="{67A37B1A-767A-473A-AB16-3340C6A2005F}" name="Valor" dataDxfId="484" dataCellStyle="Moeda"/>
  </tableColumns>
  <tableStyleInfo name="TableStyleMedium15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955666F2-A9E0-4C53-85A4-B9464B59BC5B}" name="Tabela27812131720232629323538414447505356596265687174778037101318212427303336394245485154576063666972757884371013182124273033363942" displayName="Tabela27812131720232629323538414447505356596265687174778037101318212427303336394245485154576063666972757884371013182124273033363942" ref="M16:N29" totalsRowShown="0" headerRowDxfId="247" dataDxfId="246">
  <autoFilter ref="M16:N29" xr:uid="{5A548B65-9FA1-4F6A-B9BA-3EA86C3EBD5C}"/>
  <tableColumns count="2">
    <tableColumn id="1" xr3:uid="{8F187ACF-BD0B-4BE5-94B0-BBC46BE88EB5}" name="Descrição" dataDxfId="245"/>
    <tableColumn id="2" xr3:uid="{5BD794ED-4AC3-4165-A2F1-AEC5E3F467DF}" name="Valor" dataDxfId="244" dataCellStyle="Moeda"/>
  </tableColumns>
  <tableStyleInfo name="TableStyleMedium15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DE8223ED-2BF1-4F69-ACC0-BA94858CDD94}" name="Tabela165111821242730333639424548515457606366697275788158111519222528313437404346495255586164677073768285581115192225283134374043" displayName="Tabela165111821242730333639424548515457606366697275788158111519222528313437404346495255586164677073768285581115192225283134374043" ref="B6:G36" totalsRowShown="0" headerRowDxfId="243" dataDxfId="242" headerRowCellStyle="Normal">
  <autoFilter ref="B6:G36" xr:uid="{098BBE3F-C4A9-4D7E-9699-CAF894B64E59}"/>
  <tableColumns count="6">
    <tableColumn id="1" xr3:uid="{9A98D726-992F-4F7D-A058-1F2016E9DB23}" name="Item" dataDxfId="241"/>
    <tableColumn id="2" xr3:uid="{8CDC01CD-67DB-4A39-8067-12CDF861DBFD}" name="Endereço" dataDxfId="240"/>
    <tableColumn id="3" xr3:uid="{207FC636-7ADB-4A92-B1EC-C69C43197148}" name="Bairro" dataDxfId="239" dataCellStyle="Moeda"/>
    <tableColumn id="4" xr3:uid="{AD9F6A60-1E10-4390-AB58-414C4A278B61}" name="Valor" dataDxfId="238" dataCellStyle="Moeda"/>
    <tableColumn id="5" xr3:uid="{9301AFEE-283A-46A9-BF17-FD83104ACB68}" name="Forma de Pagamento" dataDxfId="237"/>
    <tableColumn id="6" xr3:uid="{64755EFF-A8FF-4C7D-ACB2-F467D669DDA5}" name="QUANTIDADE" dataDxfId="236"/>
  </tableColumns>
  <tableStyleInfo name="TableStyleMedium15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C2DC3561-2336-46C6-8DD6-6909E5974125}" name="Tabela27812151922252831343740434649525558616467707376792691217202326293235384144475053565962656871747783269121720232629323538" displayName="Tabela27812151922252831343740434649525558616467707376792691217202326293235384144475053565962656871747783269121720232629323538" ref="I16:J29" totalsRowShown="0" headerRowDxfId="235" dataDxfId="234">
  <autoFilter ref="I16:J29" xr:uid="{CA2C1D0B-CD67-48CC-99C8-29EBF36A434A}"/>
  <tableColumns count="2">
    <tableColumn id="1" xr3:uid="{6521F4AD-85E6-483B-A059-4F9C3B97549E}" name="Coluna1" dataDxfId="233"/>
    <tableColumn id="2" xr3:uid="{A3691438-891B-46C3-85F0-1B9F7C0A7A1E}" name="valor" dataDxfId="232" dataCellStyle="Moeda"/>
  </tableColumns>
  <tableStyleInfo name="TableStyleMedium15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32373058-F54D-49A4-8EDC-469AB25269F0}" name="Tabela278121317202326293235384144475053565962656871747780371013182124273033363942454851545760636669727578843710131821242730333639" displayName="Tabela278121317202326293235384144475053565962656871747780371013182124273033363942454851545760636669727578843710131821242730333639" ref="M16:N29" totalsRowShown="0" headerRowDxfId="231" dataDxfId="230">
  <autoFilter ref="M16:N29" xr:uid="{5A548B65-9FA1-4F6A-B9BA-3EA86C3EBD5C}"/>
  <tableColumns count="2">
    <tableColumn id="1" xr3:uid="{42ABF505-4080-4B8C-8CBB-CFECEFC0C6AE}" name="Descrição" dataDxfId="229"/>
    <tableColumn id="2" xr3:uid="{99599B81-CB65-4588-8C79-9E1B99AF947A}" name="Valor" dataDxfId="228" dataCellStyle="Moeda"/>
  </tableColumns>
  <tableStyleInfo name="TableStyleMedium15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CF357931-4F30-42D3-8FB7-682A7488E2FE}" name="Tabela1651118212427303336394245485154576063666972757881581115192225283134374043464952555861646770737682855811151922252831343740" displayName="Tabela1651118212427303336394245485154576063666972757881581115192225283134374043464952555861646770737682855811151922252831343740" ref="B6:G36" totalsRowShown="0" headerRowDxfId="227" dataDxfId="226" headerRowCellStyle="Normal">
  <autoFilter ref="B6:G36" xr:uid="{098BBE3F-C4A9-4D7E-9699-CAF894B64E59}"/>
  <tableColumns count="6">
    <tableColumn id="1" xr3:uid="{B06C13A2-9C28-48B5-A722-BF6123272785}" name="Item" dataDxfId="225"/>
    <tableColumn id="2" xr3:uid="{234A0AC3-336F-45AF-B497-9C1A772DEB58}" name="Endereço" dataDxfId="224"/>
    <tableColumn id="3" xr3:uid="{51E11228-702D-465B-9B9A-B06045F0496D}" name="Bairro" dataDxfId="223" dataCellStyle="Moeda"/>
    <tableColumn id="4" xr3:uid="{F6CDBE1E-6105-4836-A004-45A6E28A93CA}" name="Valor" dataDxfId="222" dataCellStyle="Moeda"/>
    <tableColumn id="5" xr3:uid="{2222705D-98CC-43B3-BCFA-B0F70A5AB943}" name="Forma de Pagamento" dataDxfId="221"/>
    <tableColumn id="6" xr3:uid="{919E8216-2ACB-4CBD-8C24-F1A776B5C4AD}" name="QUANTIDADE" dataDxfId="220"/>
  </tableColumns>
  <tableStyleInfo name="TableStyleMedium15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ACAAF397-00C9-4B82-8E48-444EE78F2ED2}" name="Tabela278121519222528313437404346495255586164677073767926912172023262932353841444750535659626568717477832691217202326293235" displayName="Tabela278121519222528313437404346495255586164677073767926912172023262932353841444750535659626568717477832691217202326293235" ref="I16:J29" totalsRowShown="0" headerRowDxfId="219" dataDxfId="218">
  <autoFilter ref="I16:J29" xr:uid="{CA2C1D0B-CD67-48CC-99C8-29EBF36A434A}"/>
  <tableColumns count="2">
    <tableColumn id="1" xr3:uid="{27A1F4FA-B81B-4DB4-A787-8F7EE3F68DFF}" name="Coluna1" dataDxfId="217"/>
    <tableColumn id="2" xr3:uid="{D1024E03-809A-4179-99B9-906B6FE5F3C0}" name="valor" dataDxfId="216" dataCellStyle="Moeda"/>
  </tableColumns>
  <tableStyleInfo name="TableStyleMedium15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743B2C99-0AB0-4E63-81B1-FACD9E0D63E6}" name="Tabela2781213172023262932353841444750535659626568717477803710131821242730333639424548515457606366697275788437101318212427303336" displayName="Tabela2781213172023262932353841444750535659626568717477803710131821242730333639424548515457606366697275788437101318212427303336" ref="M16:N29" totalsRowShown="0" headerRowDxfId="215" dataDxfId="214">
  <autoFilter ref="M16:N29" xr:uid="{5A548B65-9FA1-4F6A-B9BA-3EA86C3EBD5C}"/>
  <tableColumns count="2">
    <tableColumn id="1" xr3:uid="{6624E8E9-C8DE-4D11-B714-F3BDEF2F5E1A}" name="Descrição" dataDxfId="213"/>
    <tableColumn id="2" xr3:uid="{248713E8-03F5-4ECF-8921-7425154CF3D9}" name="Valor" dataDxfId="212" dataCellStyle="Moeda"/>
  </tableColumns>
  <tableStyleInfo name="TableStyleMedium15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F53C9077-C11F-4220-A5BC-D880C88CEC10}" name="Tabela16511182124273033363942454851545760636669727578815811151922252831343740434649525558616467707376828558111519222528313437" displayName="Tabela16511182124273033363942454851545760636669727578815811151922252831343740434649525558616467707376828558111519222528313437" ref="B6:G36" totalsRowShown="0" headerRowDxfId="211" dataDxfId="210" headerRowCellStyle="Normal">
  <autoFilter ref="B6:G36" xr:uid="{098BBE3F-C4A9-4D7E-9699-CAF894B64E59}"/>
  <tableColumns count="6">
    <tableColumn id="1" xr3:uid="{04370EE9-DB51-43F9-830D-46120785BC0D}" name="Item" dataDxfId="209"/>
    <tableColumn id="2" xr3:uid="{0E400423-5F3E-49BD-AFAE-FDE5CA62D1D4}" name="Endereço" dataDxfId="208"/>
    <tableColumn id="3" xr3:uid="{01FAE032-174D-430C-B738-DD0486870099}" name="Bairro" dataDxfId="207" dataCellStyle="Moeda"/>
    <tableColumn id="4" xr3:uid="{37E3A411-9564-436A-8255-BD1FB4587A87}" name="Valor" dataDxfId="206" dataCellStyle="Moeda"/>
    <tableColumn id="5" xr3:uid="{A04E73F1-3118-494F-9755-F65347F96A92}" name="Forma de Pagamento" dataDxfId="205"/>
    <tableColumn id="6" xr3:uid="{B96CC31C-15B9-430A-8EF4-8F9A63F24C4B}" name="QUANTIDADE" dataDxfId="204"/>
  </tableColumns>
  <tableStyleInfo name="TableStyleMedium15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DDF73C1F-F66D-41BE-8A90-87DD38E1F0B7}" name="Tabela2781215192225283134374043464952555861646770737679269121720232629323538414447505356596265687174778326912172023262932" displayName="Tabela2781215192225283134374043464952555861646770737679269121720232629323538414447505356596265687174778326912172023262932" ref="I16:J29" totalsRowShown="0" headerRowDxfId="203" dataDxfId="202">
  <autoFilter ref="I16:J29" xr:uid="{CA2C1D0B-CD67-48CC-99C8-29EBF36A434A}"/>
  <tableColumns count="2">
    <tableColumn id="1" xr3:uid="{D8EB6E7E-90BF-4F59-9E5C-601552FE4650}" name="Coluna1" dataDxfId="201"/>
    <tableColumn id="2" xr3:uid="{B2872635-7D53-4429-A3FC-05CDD0D834CD}" name="valor" dataDxfId="200" dataCellStyle="Moeda"/>
  </tableColumns>
  <tableStyleInfo name="TableStyleMedium15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6BEC6B07-3F4F-4CE4-9604-A6BF11C29A80}" name="Tabela27812131720232629323538414447505356596265687174778037101318212427303336394245485154576063666972757884371013182124273033" displayName="Tabela27812131720232629323538414447505356596265687174778037101318212427303336394245485154576063666972757884371013182124273033" ref="M16:N29" totalsRowShown="0" headerRowDxfId="199" dataDxfId="198">
  <autoFilter ref="M16:N29" xr:uid="{5A548B65-9FA1-4F6A-B9BA-3EA86C3EBD5C}"/>
  <tableColumns count="2">
    <tableColumn id="1" xr3:uid="{38F196DE-BF1D-4DB6-A8BB-F8B78A8E1F4A}" name="Descrição" dataDxfId="197"/>
    <tableColumn id="2" xr3:uid="{19D9CD33-3484-4C0E-8163-B75BB414BB0F}" name="Valor" dataDxfId="196" dataCellStyle="Moeda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0" xr:uid="{3F6A10FE-1A16-41C2-BD12-1CA73CBC5E45}" name="Tabela165111821242730333639424548515457606366697275788158111519222528313437404346495255586164677073768285581115192225283134374043464952555861646770737679828891" displayName="Tabela165111821242730333639424548515457606366697275788158111519222528313437404346495255586164677073768285581115192225283134374043464952555861646770737679828891" ref="B6:G36" totalsRowShown="0" headerRowDxfId="483" dataDxfId="482" headerRowCellStyle="Normal">
  <autoFilter ref="B6:G36" xr:uid="{098BBE3F-C4A9-4D7E-9699-CAF894B64E59}"/>
  <tableColumns count="6">
    <tableColumn id="1" xr3:uid="{3138EB22-992C-48AA-B324-51A2057D0B4B}" name="item" dataDxfId="481"/>
    <tableColumn id="2" xr3:uid="{988CDADC-E193-4EEF-AEC6-E88046BE4622}" name="Endereço" dataDxfId="480"/>
    <tableColumn id="3" xr3:uid="{83538776-7BEE-4489-987C-6B0D82B519A1}" name="Bairro" dataDxfId="479" dataCellStyle="Moeda"/>
    <tableColumn id="4" xr3:uid="{5BD84F0E-C3FB-4F13-9068-1D98BB3DC5EC}" name="Valor" dataDxfId="478" dataCellStyle="Moeda"/>
    <tableColumn id="5" xr3:uid="{7ACDB8A1-18DE-47F8-ACB8-5E936DEDD773}" name="Forma de Pagamento" dataDxfId="477"/>
    <tableColumn id="6" xr3:uid="{C5459F9B-5DC6-4550-8939-CED1420A2428}" name="QUANTIDADE" dataDxfId="476"/>
  </tableColumns>
  <tableStyleInfo name="TableStyleMedium15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1B6A4FCE-A13C-4815-B232-130521FC7899}" name="Tabela165111821242730333639424548515457606366697275788158111519222528313437404346495255586164677073768285581115192225283134" displayName="Tabela165111821242730333639424548515457606366697275788158111519222528313437404346495255586164677073768285581115192225283134" ref="B6:G36" totalsRowShown="0" headerRowDxfId="195" dataDxfId="194" headerRowCellStyle="Normal">
  <autoFilter ref="B6:G36" xr:uid="{098BBE3F-C4A9-4D7E-9699-CAF894B64E59}"/>
  <tableColumns count="6">
    <tableColumn id="1" xr3:uid="{3F02D05A-C76D-47F6-B175-0317BF2A52BB}" name="Item" dataDxfId="193"/>
    <tableColumn id="2" xr3:uid="{A9BE483F-D3F0-4D1E-8563-8E929460D0EE}" name="Endereço" dataDxfId="192"/>
    <tableColumn id="3" xr3:uid="{A3CF9780-6BDE-4D8F-97E4-480C9F366086}" name="Bairro" dataDxfId="191" dataCellStyle="Moeda"/>
    <tableColumn id="4" xr3:uid="{BEFF355C-7607-4AA5-9168-BC7D7ACECFDC}" name="Valor" dataDxfId="190" dataCellStyle="Moeda"/>
    <tableColumn id="5" xr3:uid="{2D871216-184F-40B7-A41E-43DA8E758E1A}" name="Forma de Pagamento" dataDxfId="189"/>
    <tableColumn id="6" xr3:uid="{F494EFE9-AFDE-4DEE-8C95-D755E0E5BF42}" name="QUANTIDADE" dataDxfId="188"/>
  </tableColumns>
  <tableStyleInfo name="TableStyleMedium15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5CEF50F3-CE33-4A0F-BF03-52AB0DB35D68}" name="Tabela27812151922252831343740434649525558616467707376792691217202326293235384144475053565962656871747783269121720232629" displayName="Tabela27812151922252831343740434649525558616467707376792691217202326293235384144475053565962656871747783269121720232629" ref="I16:J29" totalsRowShown="0" headerRowDxfId="187" dataDxfId="186">
  <autoFilter ref="I16:J29" xr:uid="{CA2C1D0B-CD67-48CC-99C8-29EBF36A434A}"/>
  <tableColumns count="2">
    <tableColumn id="1" xr3:uid="{2DEDF88C-BCA1-48E1-8BB9-C0A0B8C9C45B}" name="Coluna1" dataDxfId="185"/>
    <tableColumn id="2" xr3:uid="{28E0D92D-FDFD-4CF2-B28D-29276045550D}" name="valor" dataDxfId="184" dataCellStyle="Moeda"/>
  </tableColumns>
  <tableStyleInfo name="TableStyleMedium15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7E62CC48-19B0-4968-A13A-0EFF227394BC}" name="Tabela278121317202326293235384144475053565962656871747780371013182124273033363942454851545760636669727578843710131821242730" displayName="Tabela278121317202326293235384144475053565962656871747780371013182124273033363942454851545760636669727578843710131821242730" ref="M16:N29" totalsRowShown="0" headerRowDxfId="183" dataDxfId="182">
  <autoFilter ref="M16:N29" xr:uid="{5A548B65-9FA1-4F6A-B9BA-3EA86C3EBD5C}"/>
  <tableColumns count="2">
    <tableColumn id="1" xr3:uid="{82BAD765-7B69-4469-ABCD-8633AB0F7764}" name="Descrição" dataDxfId="181"/>
    <tableColumn id="2" xr3:uid="{8860EB12-3751-4C2A-829E-5BE8C77B31A8}" name="Valor" dataDxfId="180" dataCellStyle="Moeda"/>
  </tableColumns>
  <tableStyleInfo name="TableStyleMedium15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5F6D0D8C-2FC1-4900-B200-D6A4AD263F0A}" name="Tabela1651118212427303336394245485154576063666972757881581115192225283134374043464952555861646770737682855811151922252831" displayName="Tabela1651118212427303336394245485154576063666972757881581115192225283134374043464952555861646770737682855811151922252831" ref="B6:G36" totalsRowShown="0" headerRowDxfId="179" dataDxfId="178" headerRowCellStyle="Normal">
  <autoFilter ref="B6:G36" xr:uid="{098BBE3F-C4A9-4D7E-9699-CAF894B64E59}"/>
  <tableColumns count="6">
    <tableColumn id="1" xr3:uid="{6204615C-0195-4B91-90BA-46474B4477DE}" name="Item" dataDxfId="177"/>
    <tableColumn id="2" xr3:uid="{699EB5F4-04BD-4D71-B98F-8D938D44993D}" name="Endereço" dataDxfId="176"/>
    <tableColumn id="3" xr3:uid="{61169E0F-B249-48B4-8B81-7BBC1418B7B2}" name="Bairro" dataDxfId="175" dataCellStyle="Moeda"/>
    <tableColumn id="4" xr3:uid="{2BC9EC6A-F6B8-4AF9-A4D9-C006D13BA44B}" name="Valor" dataDxfId="174" dataCellStyle="Moeda"/>
    <tableColumn id="5" xr3:uid="{66A94BE0-0EE2-4B4B-BF6D-E614298DF534}" name="Forma de Pagamento" dataDxfId="173"/>
    <tableColumn id="6" xr3:uid="{556B7FA1-8FA8-428A-812C-644D42809BBE}" name="QUANTIDADE" dataDxfId="172"/>
  </tableColumns>
  <tableStyleInfo name="TableStyleMedium15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B7748C5-519B-4853-A263-C3C40A1F1D1A}" name="Tabela278121519222528313437404346495255586164677073767926912172023262932353841444750535659626568717477832691217202326" displayName="Tabela278121519222528313437404346495255586164677073767926912172023262932353841444750535659626568717477832691217202326" ref="I16:J29" totalsRowShown="0" headerRowDxfId="171" dataDxfId="170">
  <autoFilter ref="I16:J29" xr:uid="{CA2C1D0B-CD67-48CC-99C8-29EBF36A434A}"/>
  <tableColumns count="2">
    <tableColumn id="1" xr3:uid="{70758D47-9B7A-40D5-9C25-8B1AD36FD487}" name="Coluna1" dataDxfId="169"/>
    <tableColumn id="2" xr3:uid="{85C45BD0-A758-42DF-A174-A2CB46533BAF}" name="valor" dataDxfId="168" dataCellStyle="Moeda"/>
  </tableColumns>
  <tableStyleInfo name="TableStyleMedium15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DA897BAB-CBDB-4539-AB37-79F5D41C6695}" name="Tabela2781213172023262932353841444750535659626568717477803710131821242730333639424548515457606366697275788437101318212427" displayName="Tabela2781213172023262932353841444750535659626568717477803710131821242730333639424548515457606366697275788437101318212427" ref="M16:N29" totalsRowShown="0" headerRowDxfId="167" dataDxfId="166">
  <autoFilter ref="M16:N29" xr:uid="{5A548B65-9FA1-4F6A-B9BA-3EA86C3EBD5C}"/>
  <tableColumns count="2">
    <tableColumn id="1" xr3:uid="{8D26F114-FEF7-40A6-BBCB-1A3F1050120E}" name="Descrição" dataDxfId="165"/>
    <tableColumn id="2" xr3:uid="{02811A9D-1FF6-4B69-8653-A7975ADB6A22}" name="Valor" dataDxfId="164" dataCellStyle="Moeda"/>
  </tableColumns>
  <tableStyleInfo name="TableStyleMedium15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4A86EB59-F0D9-48C8-80B7-4A9D6F775CA4}" name="Tabela16511182124273033363942454851545760636669727578815811151922252831343740434649525558616467707376828558111519222528" displayName="Tabela16511182124273033363942454851545760636669727578815811151922252831343740434649525558616467707376828558111519222528" ref="B6:G36" totalsRowShown="0" headerRowDxfId="163" dataDxfId="162" headerRowCellStyle="Normal">
  <autoFilter ref="B6:G36" xr:uid="{098BBE3F-C4A9-4D7E-9699-CAF894B64E59}"/>
  <tableColumns count="6">
    <tableColumn id="1" xr3:uid="{09E2B8D4-B31E-434C-8C0F-1E9786E88D31}" name="Item" dataDxfId="161"/>
    <tableColumn id="2" xr3:uid="{30AA3122-4257-45C9-AAF3-241A2FAC978A}" name="Endereço" dataDxfId="160"/>
    <tableColumn id="3" xr3:uid="{F82E5C26-CD09-4748-8E9F-54C708B2B99D}" name="Bairro" dataDxfId="159" dataCellStyle="Moeda"/>
    <tableColumn id="4" xr3:uid="{BD55E244-479D-4980-BB98-9D9B77B46A99}" name="Valor" dataDxfId="158" dataCellStyle="Moeda"/>
    <tableColumn id="5" xr3:uid="{E7FE427E-A38F-4C12-BDD1-D6A3AD92C955}" name="Forma de Pagamento" dataDxfId="157"/>
    <tableColumn id="6" xr3:uid="{117B47BD-49A1-431C-8B76-DDB6FD0B3858}" name="QUANTIDADE" dataDxfId="156"/>
  </tableColumns>
  <tableStyleInfo name="TableStyleMedium15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8E94A49D-E95D-4250-B871-714FACD97AC7}" name="Tabela2781215192225283134374043464952555861646770737679269121720232629323538414447505356596265687174778326912172023" displayName="Tabela2781215192225283134374043464952555861646770737679269121720232629323538414447505356596265687174778326912172023" ref="I16:J29" totalsRowShown="0" headerRowDxfId="155" dataDxfId="154">
  <autoFilter ref="I16:J29" xr:uid="{CA2C1D0B-CD67-48CC-99C8-29EBF36A434A}"/>
  <tableColumns count="2">
    <tableColumn id="1" xr3:uid="{7FB5E7F6-0FB1-435E-B869-2FEDB4754485}" name="Coluna1" dataDxfId="153"/>
    <tableColumn id="2" xr3:uid="{F1E1E703-DA2F-4BC2-AAD4-DC721094CEFB}" name="valor" dataDxfId="152" dataCellStyle="Moeda"/>
  </tableColumns>
  <tableStyleInfo name="TableStyleMedium15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75D3CEB8-66B9-43D8-AA02-630C4FFC9F0B}" name="Tabela27812131720232629323538414447505356596265687174778037101318212427303336394245485154576063666972757884371013182124" displayName="Tabela27812131720232629323538414447505356596265687174778037101318212427303336394245485154576063666972757884371013182124" ref="M16:N29" totalsRowShown="0" headerRowDxfId="151" dataDxfId="150">
  <autoFilter ref="M16:N29" xr:uid="{5A548B65-9FA1-4F6A-B9BA-3EA86C3EBD5C}"/>
  <tableColumns count="2">
    <tableColumn id="1" xr3:uid="{D0EABFB5-0D5A-4A89-9A68-6EA52EF035C8}" name="Descrição" dataDxfId="149"/>
    <tableColumn id="2" xr3:uid="{E725AC30-87B2-4CA9-A97F-F621DD4351EF}" name="Valor" dataDxfId="148" dataCellStyle="Moeda"/>
  </tableColumns>
  <tableStyleInfo name="TableStyleMedium15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92D2F613-11FB-4DA6-A269-27F55C0D8D2B}" name="Tabela165111821242730333639424548515457606366697275788158111519222528313437404346495255586164677073768285581115192225" displayName="Tabela165111821242730333639424548515457606366697275788158111519222528313437404346495255586164677073768285581115192225" ref="B6:G36" totalsRowShown="0" headerRowDxfId="147" dataDxfId="146" headerRowCellStyle="Normal">
  <autoFilter ref="B6:G36" xr:uid="{098BBE3F-C4A9-4D7E-9699-CAF894B64E59}"/>
  <tableColumns count="6">
    <tableColumn id="1" xr3:uid="{867F8EF0-CC34-43FB-BF60-42B0695FCDDF}" name="Item" dataDxfId="145"/>
    <tableColumn id="2" xr3:uid="{953E1B2D-DE2E-4FDE-BCFE-165D837777CE}" name="Endereço" dataDxfId="144"/>
    <tableColumn id="3" xr3:uid="{A8B52088-4DA3-4975-AC97-41331EA25D36}" name="Bairro" dataDxfId="143" dataCellStyle="Moeda"/>
    <tableColumn id="4" xr3:uid="{D41BED4A-599B-4DC6-ABB5-A9C4BFB086FE}" name="Valor" dataDxfId="142" dataCellStyle="Moeda"/>
    <tableColumn id="5" xr3:uid="{653A43E4-5718-4F15-936D-74D64751FB5E}" name="Forma de Pagamento" dataDxfId="141"/>
    <tableColumn id="6" xr3:uid="{05812293-D608-4973-8C4C-91AF7FE48A5E}" name="QUANTIDADE" dataDxfId="140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5" xr:uid="{4EE675A0-84FC-4529-AC8B-D9672BAF8A15}" name="Tabela27812151922252831343740434649525558616467707376792691217202326293235384144475053565962656871747783269121720232629323538414447505356596265687174778086" displayName="Tabela27812151922252831343740434649525558616467707376792691217202326293235384144475053565962656871747783269121720232629323538414447505356596265687174778086" ref="I16:J29" totalsRowShown="0" headerRowDxfId="475" dataDxfId="474">
  <autoFilter ref="I16:J29" xr:uid="{CA2C1D0B-CD67-48CC-99C8-29EBF36A434A}"/>
  <tableColumns count="2">
    <tableColumn id="1" xr3:uid="{20276512-B8B7-4D7F-8513-BCF597BE91F5}" name="Coluna1" dataDxfId="473"/>
    <tableColumn id="2" xr3:uid="{BDAF6A22-AED3-40FB-86EB-135221BA8A40}" name="valor" dataDxfId="472" dataCellStyle="Moeda"/>
  </tableColumns>
  <tableStyleInfo name="TableStyleMedium15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487A4DD1-A8E8-4048-AEDA-C3D3D60CC0F9}" name="Tabela27812151922252831343740434649525558616467707376792691217202326293235384144475053565962656871747783269121720" displayName="Tabela27812151922252831343740434649525558616467707376792691217202326293235384144475053565962656871747783269121720" ref="I16:J29" totalsRowShown="0" headerRowDxfId="139" dataDxfId="138">
  <autoFilter ref="I16:J29" xr:uid="{CA2C1D0B-CD67-48CC-99C8-29EBF36A434A}"/>
  <tableColumns count="2">
    <tableColumn id="1" xr3:uid="{5C1FD482-BFC4-4E2F-BFD8-03BD9C592D16}" name="Coluna1" dataDxfId="137"/>
    <tableColumn id="2" xr3:uid="{6D771026-4C4C-4705-A549-B8EB291A8194}" name="valor" dataDxfId="136" dataCellStyle="Moeda"/>
  </tableColumns>
  <tableStyleInfo name="TableStyleMedium15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4B1A08F-2D9A-4BC2-B1A4-950B36DBD0E8}" name="Tabela278121317202326293235384144475053565962656871747780371013182124273033363942454851545760636669727578843710131821" displayName="Tabela278121317202326293235384144475053565962656871747780371013182124273033363942454851545760636669727578843710131821" ref="M16:N29" totalsRowShown="0" headerRowDxfId="135" dataDxfId="134">
  <autoFilter ref="M16:N29" xr:uid="{5A548B65-9FA1-4F6A-B9BA-3EA86C3EBD5C}"/>
  <tableColumns count="2">
    <tableColumn id="1" xr3:uid="{CA27BC0E-3DCE-406B-9491-89CD9340737A}" name="Descrição" dataDxfId="133"/>
    <tableColumn id="2" xr3:uid="{3D4F23D6-831A-45BC-8E21-32F558267171}" name="Valor" dataDxfId="132" dataCellStyle="Moeda"/>
  </tableColumns>
  <tableStyleInfo name="TableStyleMedium15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33FD8F8D-945B-4003-969F-F36D3012273B}" name="Tabela1651118212427303336394245485154576063666972757881581115192225283134374043464952555861646770737682855811151922" displayName="Tabela1651118212427303336394245485154576063666972757881581115192225283134374043464952555861646770737682855811151922" ref="B6:G36" totalsRowShown="0" headerRowDxfId="131" dataDxfId="130" headerRowCellStyle="Normal">
  <autoFilter ref="B6:G36" xr:uid="{098BBE3F-C4A9-4D7E-9699-CAF894B64E59}"/>
  <tableColumns count="6">
    <tableColumn id="1" xr3:uid="{E46EB1BD-2BE6-40D0-951D-671E29E0357F}" name="Item" dataDxfId="129"/>
    <tableColumn id="2" xr3:uid="{28303C03-9F6E-43B8-BC0F-71BFA5D2B4F7}" name="Endereço" dataDxfId="128"/>
    <tableColumn id="3" xr3:uid="{DA9F90D1-8645-4CB7-8754-0744B549D9FA}" name="Bairro" dataDxfId="127" dataCellStyle="Moeda"/>
    <tableColumn id="4" xr3:uid="{102682EC-D3AF-4573-A17A-389C112F053F}" name="Valor" dataDxfId="126" dataCellStyle="Moeda"/>
    <tableColumn id="5" xr3:uid="{55C82A84-EF41-4B3C-9BAB-2AEE2AE6ACF1}" name="Forma de Pagamento" dataDxfId="125"/>
    <tableColumn id="6" xr3:uid="{263529B8-0E96-4FCA-B3A0-C2F9383979CA}" name="QUANTIDADE" dataDxfId="124"/>
  </tableColumns>
  <tableStyleInfo name="TableStyleMedium15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5E132B7-9F28-4C2B-8DC7-2B63E7C2B678}" name="Tabela278121519222528313437404346495255586164677073767926912172023262932353841444750535659626568717477832691217" displayName="Tabela278121519222528313437404346495255586164677073767926912172023262932353841444750535659626568717477832691217" ref="I16:J29" totalsRowShown="0" headerRowDxfId="123" dataDxfId="122">
  <autoFilter ref="I16:J29" xr:uid="{CA2C1D0B-CD67-48CC-99C8-29EBF36A434A}"/>
  <tableColumns count="2">
    <tableColumn id="1" xr3:uid="{5B4195F7-639E-44FE-86BF-E0C9C1509D98}" name="Coluna1" dataDxfId="121"/>
    <tableColumn id="2" xr3:uid="{CD800909-8DCD-4490-A391-32B52F1AB82C}" name="valor" dataDxfId="120" dataCellStyle="Moeda"/>
  </tableColumns>
  <tableStyleInfo name="TableStyleMedium15"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B0758A2-D15A-4071-B7E7-73C76C254287}" name="Tabela2781213172023262932353841444750535659626568717477803710131821242730333639424548515457606366697275788437101318" displayName="Tabela2781213172023262932353841444750535659626568717477803710131821242730333639424548515457606366697275788437101318" ref="M16:N29" totalsRowShown="0" headerRowDxfId="119" dataDxfId="118">
  <autoFilter ref="M16:N29" xr:uid="{5A548B65-9FA1-4F6A-B9BA-3EA86C3EBD5C}"/>
  <tableColumns count="2">
    <tableColumn id="1" xr3:uid="{218A2A8D-DB54-47D9-8CE0-83C96B2A6BDF}" name="Descrição" dataDxfId="117"/>
    <tableColumn id="2" xr3:uid="{6342184C-74CB-425E-9B77-3DAF8BEBCBFB}" name="Valor" dataDxfId="116" dataCellStyle="Moeda"/>
  </tableColumns>
  <tableStyleInfo name="TableStyleMedium15" showFirstColumn="0" showLastColumn="0" showRowStripes="1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6BE872DC-AAD7-44AF-B2C1-0C9236FC8E47}" name="Tabela16511182124273033363942454851545760636669727578815811151922252831343740434649525558616467707376828558111519" displayName="Tabela16511182124273033363942454851545760636669727578815811151922252831343740434649525558616467707376828558111519" ref="B6:G36" totalsRowShown="0" headerRowDxfId="115" dataDxfId="114" headerRowCellStyle="Normal">
  <autoFilter ref="B6:G36" xr:uid="{098BBE3F-C4A9-4D7E-9699-CAF894B64E59}"/>
  <tableColumns count="6">
    <tableColumn id="1" xr3:uid="{6052318A-B4FE-40BE-8FBE-F0FF04892AE9}" name="Item" dataDxfId="113"/>
    <tableColumn id="2" xr3:uid="{79B06B71-14A2-4E35-9DDB-FA1D58753A61}" name="Endereço" dataDxfId="112"/>
    <tableColumn id="3" xr3:uid="{68B38C8C-8954-4601-9C73-F45F229CE5D4}" name="Bairro" dataDxfId="111" dataCellStyle="Moeda"/>
    <tableColumn id="4" xr3:uid="{E687EC78-DAC5-47E9-8381-9B04BF10F5E6}" name="Valor" dataDxfId="110" dataCellStyle="Moeda"/>
    <tableColumn id="5" xr3:uid="{B36D56FD-F560-439F-9CED-E22BB42E8953}" name="Forma de Pagamento" dataDxfId="109"/>
    <tableColumn id="6" xr3:uid="{3A47586F-7BDA-4FB1-B7DC-EA3C25327592}" name="QUANTIDADE" dataDxfId="108"/>
  </tableColumns>
  <tableStyleInfo name="TableStyleMedium15" showFirstColumn="0" showLastColumn="0" showRowStripes="1" showColumnStripes="0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06CDDD7-F2C6-403A-A220-018354058016}" name="Tabela2781215192225283134374043464952555861646770737679269121720232629323538414447505356596265687174778326912" displayName="Tabela2781215192225283134374043464952555861646770737679269121720232629323538414447505356596265687174778326912" ref="I16:J29" totalsRowShown="0" headerRowDxfId="107" dataDxfId="106">
  <autoFilter ref="I16:J29" xr:uid="{CA2C1D0B-CD67-48CC-99C8-29EBF36A434A}"/>
  <tableColumns count="2">
    <tableColumn id="1" xr3:uid="{15668AE4-55C9-4E45-8856-4B05417AFA00}" name="Coluna1" dataDxfId="105"/>
    <tableColumn id="2" xr3:uid="{D991E4D9-2FE9-4E16-A7A9-83347DD105A9}" name="valor" dataDxfId="104" dataCellStyle="Moeda"/>
  </tableColumns>
  <tableStyleInfo name="TableStyleMedium15" showFirstColumn="0" showLastColumn="0" showRowStripes="1" showColumnStripes="0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EA7D73B-2FC8-4A84-8CD1-312EF8AF574C}" name="Tabela27812131720232629323538414447505356596265687174778037101318212427303336394245485154576063666972757884371013" displayName="Tabela27812131720232629323538414447505356596265687174778037101318212427303336394245485154576063666972757884371013" ref="M16:N29" totalsRowShown="0" headerRowDxfId="103" dataDxfId="102">
  <autoFilter ref="M16:N29" xr:uid="{5A548B65-9FA1-4F6A-B9BA-3EA86C3EBD5C}"/>
  <tableColumns count="2">
    <tableColumn id="1" xr3:uid="{15E0E78D-E6C4-463E-BC2D-25485614A385}" name="Descrição" dataDxfId="101"/>
    <tableColumn id="2" xr3:uid="{E02EF401-3F09-4DFD-84AB-E58E6B8B5E15}" name="Valor" dataDxfId="100" dataCellStyle="Moeda"/>
  </tableColumns>
  <tableStyleInfo name="TableStyleMedium15" showFirstColumn="0" showLastColumn="0" showRowStripes="1" showColumnStripes="0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8969621-DD6B-4141-B72E-DB20E9329C96}" name="Tabela165111821242730333639424548515457606366697275788158111519222528313437404346495255586164677073768285581115" displayName="Tabela165111821242730333639424548515457606366697275788158111519222528313437404346495255586164677073768285581115" ref="B6:G36" totalsRowShown="0" headerRowDxfId="99" dataDxfId="98" headerRowCellStyle="Normal">
  <autoFilter ref="B6:G36" xr:uid="{098BBE3F-C4A9-4D7E-9699-CAF894B64E59}"/>
  <tableColumns count="6">
    <tableColumn id="1" xr3:uid="{87AC01EE-49DB-45EC-949A-02326FAD7B98}" name="Item" dataDxfId="97"/>
    <tableColumn id="2" xr3:uid="{6B40EAF2-2A03-4F9E-8155-4902B7D075D1}" name="Endereço" dataDxfId="96"/>
    <tableColumn id="3" xr3:uid="{1F1AF36E-4371-4861-A112-6A6FAFF2EF95}" name="Bairro" dataDxfId="95" dataCellStyle="Moeda"/>
    <tableColumn id="4" xr3:uid="{EBD2A025-6478-4DAD-8357-14D8408BB735}" name="Valor" dataDxfId="94" dataCellStyle="Moeda"/>
    <tableColumn id="5" xr3:uid="{B9792FCD-EBB3-4440-8B6E-9789143CF5DA}" name="Forma de Pagamento" dataDxfId="93"/>
    <tableColumn id="6" xr3:uid="{747E7AF1-A282-4E6B-A668-9159BB4849F3}" name="QUANTIDADE" dataDxfId="92"/>
  </tableColumns>
  <tableStyleInfo name="TableStyleMedium15" showFirstColumn="0" showLastColumn="0" showRowStripes="1" showColumnStripes="0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E233D42-FFEB-42A9-866C-92004853C2AD}" name="Tabela27812151922252831343740434649525558616467707376792691217202326293235384144475053565962656871747783269" displayName="Tabela27812151922252831343740434649525558616467707376792691217202326293235384144475053565962656871747783269" ref="I16:J29" totalsRowShown="0" headerRowDxfId="91" dataDxfId="90">
  <autoFilter ref="I16:J29" xr:uid="{CA2C1D0B-CD67-48CC-99C8-29EBF36A434A}"/>
  <tableColumns count="2">
    <tableColumn id="1" xr3:uid="{FF5764C5-1C39-4C0A-B030-AEDA98617758}" name="Coluna1" dataDxfId="89"/>
    <tableColumn id="2" xr3:uid="{1DDC8DEB-C12F-450F-A461-6F2A5629D14E}" name="valor" dataDxfId="88" dataCellStyle="Moeda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19C1F74E-154D-42CE-B2B2-57F107BA925A}" name="Tabela278121317202326293235384144475053565962656871747780371013182124273033363942454851545760636669727578843710131821242730333639424548515457606366697275788187" displayName="Tabela278121317202326293235384144475053565962656871747780371013182124273033363942454851545760636669727578843710131821242730333639424548515457606366697275788187" ref="M16:N29" totalsRowShown="0" headerRowDxfId="471" dataDxfId="470">
  <autoFilter ref="M16:N29" xr:uid="{5A548B65-9FA1-4F6A-B9BA-3EA86C3EBD5C}"/>
  <tableColumns count="2">
    <tableColumn id="1" xr3:uid="{07F9DFEC-E3B5-4B03-9A05-5891F8313ED2}" name="Descrição" dataDxfId="469"/>
    <tableColumn id="2" xr3:uid="{377759D5-EF3D-4557-96A9-7FFB2BCBFDFA}" name="Valor" dataDxfId="468" dataCellStyle="Moeda"/>
  </tableColumns>
  <tableStyleInfo name="TableStyleMedium15" showFirstColumn="0" showLastColumn="0" showRowStripes="1" showColumnStripes="0"/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9EA95B1-7A1E-49E7-8737-BC3F33D2B100}" name="Tabela278121317202326293235384144475053565962656871747780371013182124273033363942454851545760636669727578843710" displayName="Tabela278121317202326293235384144475053565962656871747780371013182124273033363942454851545760636669727578843710" ref="M16:N29" totalsRowShown="0" headerRowDxfId="87" dataDxfId="86">
  <autoFilter ref="M16:N29" xr:uid="{5A548B65-9FA1-4F6A-B9BA-3EA86C3EBD5C}"/>
  <tableColumns count="2">
    <tableColumn id="1" xr3:uid="{919DCD5A-02CF-46D4-BBA1-7E3475881C7F}" name="Descrição" dataDxfId="85"/>
    <tableColumn id="2" xr3:uid="{87600F2D-D1F6-45A2-A19A-B200652A6D36}" name="Valor" dataDxfId="84" dataCellStyle="Moeda"/>
  </tableColumns>
  <tableStyleInfo name="TableStyleMedium15" showFirstColumn="0" showLastColumn="0" showRowStripes="1" showColumnStripes="0"/>
</table>
</file>

<file path=xl/tables/table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9089857-BD43-4ED9-90EB-8C6A5F43E816}" name="Tabela1651118212427303336394245485154576063666972757881581115192225283134374043464952555861646770737682855811" displayName="Tabela1651118212427303336394245485154576063666972757881581115192225283134374043464952555861646770737682855811" ref="B6:G36" totalsRowShown="0" headerRowDxfId="83" dataDxfId="82" headerRowCellStyle="Normal">
  <autoFilter ref="B6:G36" xr:uid="{098BBE3F-C4A9-4D7E-9699-CAF894B64E59}"/>
  <tableColumns count="6">
    <tableColumn id="1" xr3:uid="{81CD3CA2-E27C-4CCD-A65B-81760C1A7C88}" name="Item" dataDxfId="81"/>
    <tableColumn id="2" xr3:uid="{92116C09-8D4E-4FAC-9B5F-A2DB81F7943F}" name="Endereço" dataDxfId="80"/>
    <tableColumn id="3" xr3:uid="{6F2226A4-A6E9-470A-8A05-2454577CAD0A}" name="Bairro" dataDxfId="79" dataCellStyle="Moeda"/>
    <tableColumn id="4" xr3:uid="{1A6EDB18-DDED-4BA2-A449-5B723FA0928D}" name="Valor" dataDxfId="78" dataCellStyle="Moeda"/>
    <tableColumn id="5" xr3:uid="{B48138F9-72CA-4F23-BE76-2D63750C6F92}" name="Forma de Pagamento" dataDxfId="77"/>
    <tableColumn id="6" xr3:uid="{515C6B70-93D1-4658-8C22-AEA138703C50}" name="QUANTIDADE" dataDxfId="76"/>
  </tableColumns>
  <tableStyleInfo name="TableStyleMedium15" showFirstColumn="0" showLastColumn="0" showRowStripes="1" showColumnStripes="0"/>
</table>
</file>

<file path=xl/tables/table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24ABBD9-960B-4424-9FF9-CDAD18BD1648}" name="Tabela2781215192225283134374043464952555861646770737679269121720232629323538414447505356596265687174778326" displayName="Tabela2781215192225283134374043464952555861646770737679269121720232629323538414447505356596265687174778326" ref="I16:J29" totalsRowShown="0" headerRowDxfId="75" dataDxfId="74">
  <autoFilter ref="I16:J29" xr:uid="{CA2C1D0B-CD67-48CC-99C8-29EBF36A434A}"/>
  <tableColumns count="2">
    <tableColumn id="1" xr3:uid="{5CD1AB9A-2AA5-4F3B-90A1-F43C349A7CED}" name="Coluna1" dataDxfId="73"/>
    <tableColumn id="2" xr3:uid="{DB0BD6CD-D7B5-4CED-A0A8-94024AF9B46F}" name="valor" dataDxfId="72" dataCellStyle="Moeda"/>
  </tableColumns>
  <tableStyleInfo name="TableStyleMedium15" showFirstColumn="0" showLastColumn="0" showRowStripes="1" showColumnStripes="0"/>
</table>
</file>

<file path=xl/tables/table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7158793-2010-4A8F-BBE7-FE709E7CAF50}" name="Tabela2781213172023262932353841444750535659626568717477803710131821242730333639424548515457606366697275788437" displayName="Tabela2781213172023262932353841444750535659626568717477803710131821242730333639424548515457606366697275788437" ref="M16:N29" totalsRowShown="0" headerRowDxfId="71" dataDxfId="70">
  <autoFilter ref="M16:N29" xr:uid="{5A548B65-9FA1-4F6A-B9BA-3EA86C3EBD5C}"/>
  <tableColumns count="2">
    <tableColumn id="1" xr3:uid="{82A409D6-E402-4BEC-A262-B04C3F1EE485}" name="Descrição" dataDxfId="69"/>
    <tableColumn id="2" xr3:uid="{1237AA2D-F094-410E-A3E5-5C9878D7ACB4}" name="Valor" dataDxfId="68" dataCellStyle="Moeda"/>
  </tableColumns>
  <tableStyleInfo name="TableStyleMedium15" showFirstColumn="0" showLastColumn="0" showRowStripes="1" showColumnStripes="0"/>
</table>
</file>

<file path=xl/tables/table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13D0038-D606-44FF-A8C0-EBA670181B0F}" name="Tabela16511182124273033363942454851545760636669727578815811151922252831343740434649525558616467707376828558" displayName="Tabela16511182124273033363942454851545760636669727578815811151922252831343740434649525558616467707376828558" ref="B6:G36" totalsRowShown="0" headerRowDxfId="67" dataDxfId="66" headerRowCellStyle="Normal">
  <autoFilter ref="B6:G36" xr:uid="{098BBE3F-C4A9-4D7E-9699-CAF894B64E59}"/>
  <tableColumns count="6">
    <tableColumn id="1" xr3:uid="{A335019C-0212-4739-B94D-1D57F886423D}" name="Item" dataDxfId="65"/>
    <tableColumn id="2" xr3:uid="{56F09AF1-58CD-49BB-8E53-68F3C293D8DA}" name="Endereço" dataDxfId="64"/>
    <tableColumn id="3" xr3:uid="{D733F25F-5520-4C8D-989B-7785C2F64F56}" name="Bairro" dataDxfId="63" dataCellStyle="Moeda"/>
    <tableColumn id="4" xr3:uid="{DCAD8C45-CC36-49AC-971B-8D3DC417CB71}" name="Valor" dataDxfId="62" dataCellStyle="Moeda"/>
    <tableColumn id="5" xr3:uid="{E8580448-2CE5-4A7C-96F2-AC81966A1160}" name="Forma de Pagamento" dataDxfId="61"/>
    <tableColumn id="6" xr3:uid="{EF8EE1D2-2C06-4721-97D4-45B500D58E4C}" name="QUANTIDADE" dataDxfId="60"/>
  </tableColumns>
  <tableStyleInfo name="TableStyleMedium15" showFirstColumn="0" showLastColumn="0" showRowStripes="1" showColumnStripes="0"/>
</table>
</file>

<file path=xl/tables/table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F836EA-C8A9-4BDD-A640-E7FFD53B4DAB}" name="Tabela278121519222528313437404346495255586164677073767926912172023262932353841444750535659626568717477832" displayName="Tabela278121519222528313437404346495255586164677073767926912172023262932353841444750535659626568717477832" ref="I16:J29" totalsRowShown="0" headerRowDxfId="59" dataDxfId="58">
  <autoFilter ref="I16:J29" xr:uid="{CA2C1D0B-CD67-48CC-99C8-29EBF36A434A}"/>
  <tableColumns count="2">
    <tableColumn id="1" xr3:uid="{8E848368-00AB-4792-B368-F0E1EFF829D6}" name="Coluna1" dataDxfId="57"/>
    <tableColumn id="2" xr3:uid="{B09EC72B-6C02-4897-9756-F8D7EF0D2DF9}" name="valor" dataDxfId="56" dataCellStyle="Moeda"/>
  </tableColumns>
  <tableStyleInfo name="TableStyleMedium15" showFirstColumn="0" showLastColumn="0" showRowStripes="1" showColumnStripes="0"/>
</table>
</file>

<file path=xl/tables/table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ECC3A5-0963-4F25-9D6C-4CDD929FA6EC}" name="Tabela278121317202326293235384144475053565962656871747780371013182124273033363942454851545760636669727578843" displayName="Tabela278121317202326293235384144475053565962656871747780371013182124273033363942454851545760636669727578843" ref="M16:N29" totalsRowShown="0" headerRowDxfId="55" dataDxfId="54">
  <autoFilter ref="M16:N29" xr:uid="{5A548B65-9FA1-4F6A-B9BA-3EA86C3EBD5C}"/>
  <tableColumns count="2">
    <tableColumn id="1" xr3:uid="{3C4A0D7D-4C99-4495-B7F2-65740BD7CEA7}" name="Descrição" dataDxfId="53"/>
    <tableColumn id="2" xr3:uid="{117D9A5C-D658-42E7-BC5D-4063B7230A30}" name="Valor" dataDxfId="52" dataCellStyle="Moeda"/>
  </tableColumns>
  <tableStyleInfo name="TableStyleMedium15" showFirstColumn="0" showLastColumn="0" showRowStripes="1" showColumnStripes="0"/>
</table>
</file>

<file path=xl/tables/table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19DA8B1-F2BC-4687-B5AD-1922426D1BEC}" name="Tabela1651118212427303336394245485154576063666972757881581115192225283134374043464952555861646770737682855" displayName="Tabela1651118212427303336394245485154576063666972757881581115192225283134374043464952555861646770737682855" ref="B6:G36" totalsRowShown="0" headerRowDxfId="51" dataDxfId="50" headerRowCellStyle="Normal">
  <autoFilter ref="B6:G36" xr:uid="{098BBE3F-C4A9-4D7E-9699-CAF894B64E59}"/>
  <tableColumns count="6">
    <tableColumn id="1" xr3:uid="{BE5E3DDD-DA35-4CB6-830D-E5CC435BE761}" name="Item" dataDxfId="49"/>
    <tableColumn id="2" xr3:uid="{CFE268E8-DEFC-4ED9-9102-8F4C9205A96A}" name="Endereço" dataDxfId="48"/>
    <tableColumn id="3" xr3:uid="{F2C6CFD8-4E71-4C5F-9777-E302DBF0AA88}" name="Bairro" dataDxfId="47" dataCellStyle="Moeda"/>
    <tableColumn id="4" xr3:uid="{683FD5C1-09A8-494F-97EA-B3BFDEBFF793}" name="Valor" dataDxfId="46" dataCellStyle="Moeda"/>
    <tableColumn id="5" xr3:uid="{FC34716B-806E-4E83-9FEB-81868EBA2BB2}" name="Forma de Pagamento" dataDxfId="45"/>
    <tableColumn id="6" xr3:uid="{1D6E115C-1E74-4BD1-B338-8984AB47184C}" name="QUANTIDADE" dataDxfId="44"/>
  </tableColumns>
  <tableStyleInfo name="TableStyleMedium15" showFirstColumn="0" showLastColumn="0" showRowStripes="1" showColumnStripes="0"/>
</table>
</file>

<file path=xl/tables/table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2" xr:uid="{E5562389-AED7-4BFB-82DD-67EECF829168}" name="Tabela27812151922252831343740434649525558616467707376792691217202326293235384144475053565962656871747783" displayName="Tabela27812151922252831343740434649525558616467707376792691217202326293235384144475053565962656871747783" ref="I16:J29" totalsRowShown="0" headerRowDxfId="43" dataDxfId="42">
  <autoFilter ref="I16:J29" xr:uid="{CA2C1D0B-CD67-48CC-99C8-29EBF36A434A}"/>
  <tableColumns count="2">
    <tableColumn id="1" xr3:uid="{B2123876-9EFE-473C-917C-A3BA7F2B56E0}" name="Coluna1" dataDxfId="41"/>
    <tableColumn id="2" xr3:uid="{6A1CE3EF-2D49-40DA-AAC3-4B57786DDF0B}" name="valor" dataDxfId="40" dataCellStyle="Moeda"/>
  </tableColumns>
  <tableStyleInfo name="TableStyleMedium15" showFirstColumn="0" showLastColumn="0" showRowStripes="1" showColumnStripes="0"/>
</table>
</file>

<file path=xl/tables/table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xr:uid="{48399F31-1B21-45AB-8C09-A99EDADC8A83}" name="Tabela27812131720232629323538414447505356596265687174778037101318212427303336394245485154576063666972757884" displayName="Tabela27812131720232629323538414447505356596265687174778037101318212427303336394245485154576063666972757884" ref="M16:N29" totalsRowShown="0" headerRowDxfId="39" dataDxfId="38">
  <autoFilter ref="M16:N29" xr:uid="{5A548B65-9FA1-4F6A-B9BA-3EA86C3EBD5C}"/>
  <tableColumns count="2">
    <tableColumn id="1" xr3:uid="{84858F5F-EBFB-47A4-9730-B093345F3CDA}" name="Descrição" dataDxfId="37"/>
    <tableColumn id="2" xr3:uid="{A24348EC-42C9-4BB1-A45F-CAA805AE9B49}" name="Valor" dataDxfId="36" dataCellStyle="Moeda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xr:uid="{03D432FF-C6FE-4AD8-A89A-54DCC8F2609D}" name="Tabela1651118212427303336394245485154576063666972757881581115192225283134374043464952555861646770737682855811151922252831343740434649525558616467707376798288" displayName="Tabela1651118212427303336394245485154576063666972757881581115192225283134374043464952555861646770737682855811151922252831343740434649525558616467707376798288" ref="B6:G36" totalsRowShown="0" headerRowDxfId="467" dataDxfId="466" headerRowCellStyle="Normal">
  <autoFilter ref="B6:G36" xr:uid="{098BBE3F-C4A9-4D7E-9699-CAF894B64E59}"/>
  <tableColumns count="6">
    <tableColumn id="1" xr3:uid="{F632C230-5D69-4ACC-AFCB-EA838E3EDF1A}" name="Item" dataDxfId="465"/>
    <tableColumn id="2" xr3:uid="{EE2D7207-8516-4BEE-B6F6-BAE99402225D}" name="Endereço" dataDxfId="464"/>
    <tableColumn id="3" xr3:uid="{CC3D3904-A69D-4BEF-B85F-35EDC68C54E1}" name="Bairro" dataDxfId="463" dataCellStyle="Moeda"/>
    <tableColumn id="4" xr3:uid="{094AEA50-3B17-4A41-A7E1-1477F0537FC7}" name="Valor" dataDxfId="462" dataCellStyle="Moeda"/>
    <tableColumn id="5" xr3:uid="{D0DF7254-2A29-400C-9643-4C82739A87CC}" name="Forma de Pagamento" dataDxfId="461"/>
    <tableColumn id="6" xr3:uid="{ED0D6481-F3B7-4F32-805C-C6D7AC2CCBB8}" name="QUANTIDADE" dataDxfId="460"/>
  </tableColumns>
  <tableStyleInfo name="TableStyleMedium15" showFirstColumn="0" showLastColumn="0" showRowStripes="1" showColumnStripes="0"/>
</table>
</file>

<file path=xl/tables/table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xr:uid="{F55D50AF-3E63-4E2A-A84B-EDC7BD95BA91}" name="Tabela165111821242730333639424548515457606366697275788158111519222528313437404346495255586164677073768285" displayName="Tabela165111821242730333639424548515457606366697275788158111519222528313437404346495255586164677073768285" ref="B6:G36" totalsRowShown="0" headerRowDxfId="35" dataDxfId="34" headerRowCellStyle="Normal">
  <autoFilter ref="B6:G36" xr:uid="{098BBE3F-C4A9-4D7E-9699-CAF894B64E59}"/>
  <tableColumns count="6">
    <tableColumn id="1" xr3:uid="{DD0F55E5-095A-4A79-9B59-CC47D990E1E7}" name="Item" dataDxfId="33"/>
    <tableColumn id="2" xr3:uid="{44C41184-98A5-45DA-9CDE-E8D76E158E8F}" name="Endereço" dataDxfId="32"/>
    <tableColumn id="3" xr3:uid="{6AC7CC39-E149-4390-8D3F-F7981AB27C44}" name="Bairro" dataDxfId="31" dataCellStyle="Moeda"/>
    <tableColumn id="4" xr3:uid="{0C89CDD1-4803-41FD-BBB3-E6C297CC6B85}" name="Valor" dataDxfId="30" dataCellStyle="Moeda"/>
    <tableColumn id="5" xr3:uid="{3F20A0D2-8FFA-456B-84B4-987A1D46EC9C}" name="Forma de Pagamento" dataDxfId="29"/>
    <tableColumn id="6" xr3:uid="{49985635-A980-47CA-A6FB-D3CE79080D70}" name="QUANTIDADE" dataDxfId="28"/>
  </tableColumns>
  <tableStyleInfo name="TableStyleMedium15" showFirstColumn="0" showLastColumn="0" showRowStripes="1" showColumnStripes="0"/>
</table>
</file>

<file path=xl/tables/table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BE313CB-65C0-4585-B647-C15F00F917D9}" name="Tabela24" displayName="Tabela24" ref="B3:E60" headerRowDxfId="19" dataDxfId="18">
  <autoFilter ref="B3:E60" xr:uid="{D755590B-3F2D-4F00-ABF2-6396B511C6B4}"/>
  <tableColumns count="4">
    <tableColumn id="1" xr3:uid="{B8A15E0B-B5F2-4382-91E1-2400C4E8EDFE}" name="Cliente" totalsRowLabel="Total" dataDxfId="17" totalsRowDxfId="16"/>
    <tableColumn id="2" xr3:uid="{D77D2128-804A-48DE-ACE3-159077DA7653}" name="VALOR" dataDxfId="15" totalsRowDxfId="14" dataCellStyle="Moeda"/>
    <tableColumn id="3" xr3:uid="{7E83CCA8-E96B-4944-B0DC-B5C80E22F8E2}" name="DIA/PAGAR" dataDxfId="13" totalsRowDxfId="12"/>
    <tableColumn id="4" xr3:uid="{3C9A1316-7C1B-4BCA-A929-50DD92DA1F05}" name="SITUAÇÃO" totalsRowFunction="count" dataDxfId="11" totalsRowDxfId="10"/>
  </tableColumns>
  <tableStyleInfo name="TableStyleMedium15" showFirstColumn="0" showLastColumn="0" showRowStripes="1" showColumnStripes="0"/>
</table>
</file>

<file path=xl/tables/table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A8D6F7B-1BDA-4D39-98D2-77B41FC06F1A}" name="Tabela13" displayName="Tabela13" ref="B3:D36" totalsRowShown="0" headerRowDxfId="9" dataDxfId="8">
  <autoFilter ref="B3:D36" xr:uid="{FA8D6F7B-1BDA-4D39-98D2-77B41FC06F1A}"/>
  <tableColumns count="3">
    <tableColumn id="1" xr3:uid="{21680EB1-2FD0-4662-8D3F-DCBA18B3E0E3}" name=" Data" dataDxfId="7"/>
    <tableColumn id="2" xr3:uid="{74490D52-E2F3-45C0-91BC-473F272C2EC8}" name="Quantidade" dataDxfId="6"/>
    <tableColumn id="3" xr3:uid="{D9A4047E-1B72-4449-9A9C-96FDB41C6EF1}" name="Fornecedor" dataDxfId="5"/>
  </tableColumns>
  <tableStyleInfo name="TableStyleMedium15" showFirstColumn="0" showLastColumn="0" showRowStripes="1" showColumnStripes="0"/>
</table>
</file>

<file path=xl/tables/table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215AAF5-DB97-40F8-8D9B-BE351E6A5E87}" name="Tabela1316" displayName="Tabela1316" ref="G3:I36" totalsRowShown="0" headerRowDxfId="4" dataDxfId="3">
  <autoFilter ref="G3:I36" xr:uid="{4215AAF5-DB97-40F8-8D9B-BE351E6A5E87}"/>
  <tableColumns count="3">
    <tableColumn id="1" xr3:uid="{A9D4808D-C1A6-48FD-B50B-B4B5ABD91831}" name=" Data" dataDxfId="2"/>
    <tableColumn id="2" xr3:uid="{97F41A05-CE95-4D44-9325-365E250DA728}" name="Quantidade" dataDxfId="1"/>
    <tableColumn id="3" xr3:uid="{B49A9B67-B345-479A-A4DE-B3509A57F651}" name="Fornecedor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8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5" Type="http://schemas.openxmlformats.org/officeDocument/2006/relationships/table" Target="../tables/table30.xml"/><Relationship Id="rId4" Type="http://schemas.openxmlformats.org/officeDocument/2006/relationships/table" Target="../tables/table2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1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5" Type="http://schemas.openxmlformats.org/officeDocument/2006/relationships/table" Target="../tables/table33.xml"/><Relationship Id="rId4" Type="http://schemas.openxmlformats.org/officeDocument/2006/relationships/table" Target="../tables/table32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4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5" Type="http://schemas.openxmlformats.org/officeDocument/2006/relationships/table" Target="../tables/table36.xml"/><Relationship Id="rId4" Type="http://schemas.openxmlformats.org/officeDocument/2006/relationships/table" Target="../tables/table35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7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5" Type="http://schemas.openxmlformats.org/officeDocument/2006/relationships/table" Target="../tables/table39.xml"/><Relationship Id="rId4" Type="http://schemas.openxmlformats.org/officeDocument/2006/relationships/table" Target="../tables/table38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0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5" Type="http://schemas.openxmlformats.org/officeDocument/2006/relationships/table" Target="../tables/table42.xml"/><Relationship Id="rId4" Type="http://schemas.openxmlformats.org/officeDocument/2006/relationships/table" Target="../tables/table4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3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5" Type="http://schemas.openxmlformats.org/officeDocument/2006/relationships/table" Target="../tables/table45.xml"/><Relationship Id="rId4" Type="http://schemas.openxmlformats.org/officeDocument/2006/relationships/table" Target="../tables/table4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6.x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5" Type="http://schemas.openxmlformats.org/officeDocument/2006/relationships/table" Target="../tables/table48.xml"/><Relationship Id="rId4" Type="http://schemas.openxmlformats.org/officeDocument/2006/relationships/table" Target="../tables/table47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9.x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5" Type="http://schemas.openxmlformats.org/officeDocument/2006/relationships/table" Target="../tables/table51.xml"/><Relationship Id="rId4" Type="http://schemas.openxmlformats.org/officeDocument/2006/relationships/table" Target="../tables/table50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2.x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5" Type="http://schemas.openxmlformats.org/officeDocument/2006/relationships/table" Target="../tables/table54.xml"/><Relationship Id="rId4" Type="http://schemas.openxmlformats.org/officeDocument/2006/relationships/table" Target="../tables/table53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5.x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Relationship Id="rId5" Type="http://schemas.openxmlformats.org/officeDocument/2006/relationships/table" Target="../tables/table57.xml"/><Relationship Id="rId4" Type="http://schemas.openxmlformats.org/officeDocument/2006/relationships/table" Target="../tables/table5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8.x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5" Type="http://schemas.openxmlformats.org/officeDocument/2006/relationships/table" Target="../tables/table60.xml"/><Relationship Id="rId4" Type="http://schemas.openxmlformats.org/officeDocument/2006/relationships/table" Target="../tables/table5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1.x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Relationship Id="rId5" Type="http://schemas.openxmlformats.org/officeDocument/2006/relationships/table" Target="../tables/table63.xml"/><Relationship Id="rId4" Type="http://schemas.openxmlformats.org/officeDocument/2006/relationships/table" Target="../tables/table62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4.x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Relationship Id="rId5" Type="http://schemas.openxmlformats.org/officeDocument/2006/relationships/table" Target="../tables/table66.xml"/><Relationship Id="rId4" Type="http://schemas.openxmlformats.org/officeDocument/2006/relationships/table" Target="../tables/table65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7.x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Relationship Id="rId5" Type="http://schemas.openxmlformats.org/officeDocument/2006/relationships/table" Target="../tables/table69.xml"/><Relationship Id="rId4" Type="http://schemas.openxmlformats.org/officeDocument/2006/relationships/table" Target="../tables/table68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0.x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Relationship Id="rId5" Type="http://schemas.openxmlformats.org/officeDocument/2006/relationships/table" Target="../tables/table72.xml"/><Relationship Id="rId4" Type="http://schemas.openxmlformats.org/officeDocument/2006/relationships/table" Target="../tables/table71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3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Relationship Id="rId5" Type="http://schemas.openxmlformats.org/officeDocument/2006/relationships/table" Target="../tables/table75.xml"/><Relationship Id="rId4" Type="http://schemas.openxmlformats.org/officeDocument/2006/relationships/table" Target="../tables/table74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6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Relationship Id="rId5" Type="http://schemas.openxmlformats.org/officeDocument/2006/relationships/table" Target="../tables/table78.xml"/><Relationship Id="rId4" Type="http://schemas.openxmlformats.org/officeDocument/2006/relationships/table" Target="../tables/table77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9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Relationship Id="rId5" Type="http://schemas.openxmlformats.org/officeDocument/2006/relationships/table" Target="../tables/table81.xml"/><Relationship Id="rId4" Type="http://schemas.openxmlformats.org/officeDocument/2006/relationships/table" Target="../tables/table80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2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Relationship Id="rId5" Type="http://schemas.openxmlformats.org/officeDocument/2006/relationships/table" Target="../tables/table84.xml"/><Relationship Id="rId4" Type="http://schemas.openxmlformats.org/officeDocument/2006/relationships/table" Target="../tables/table83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5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Relationship Id="rId5" Type="http://schemas.openxmlformats.org/officeDocument/2006/relationships/table" Target="../tables/table87.xml"/><Relationship Id="rId4" Type="http://schemas.openxmlformats.org/officeDocument/2006/relationships/table" Target="../tables/table8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8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Relationship Id="rId5" Type="http://schemas.openxmlformats.org/officeDocument/2006/relationships/table" Target="../tables/table90.xml"/><Relationship Id="rId4" Type="http://schemas.openxmlformats.org/officeDocument/2006/relationships/table" Target="../tables/table89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1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2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Relationship Id="rId4" Type="http://schemas.openxmlformats.org/officeDocument/2006/relationships/table" Target="../tables/table93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5" Type="http://schemas.openxmlformats.org/officeDocument/2006/relationships/table" Target="../tables/table21.xml"/><Relationship Id="rId4" Type="http://schemas.openxmlformats.org/officeDocument/2006/relationships/table" Target="../tables/table2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5" Type="http://schemas.openxmlformats.org/officeDocument/2006/relationships/table" Target="../tables/table24.xml"/><Relationship Id="rId4" Type="http://schemas.openxmlformats.org/officeDocument/2006/relationships/table" Target="../tables/table2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5" Type="http://schemas.openxmlformats.org/officeDocument/2006/relationships/table" Target="../tables/table27.xml"/><Relationship Id="rId4" Type="http://schemas.openxmlformats.org/officeDocument/2006/relationships/table" Target="../tables/table2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CA822-978E-4235-8D56-6D04078A4462}">
  <dimension ref="B2:O44"/>
  <sheetViews>
    <sheetView showGridLines="0" topLeftCell="A4" workbookViewId="0">
      <selection activeCell="C13" sqref="C13"/>
    </sheetView>
  </sheetViews>
  <sheetFormatPr defaultRowHeight="15" x14ac:dyDescent="0.25"/>
  <cols>
    <col min="2" max="2" width="14.7109375" customWidth="1"/>
    <col min="3" max="3" width="38.140625" customWidth="1"/>
    <col min="4" max="4" width="19.85546875" customWidth="1"/>
    <col min="5" max="5" width="21.85546875" customWidth="1"/>
    <col min="6" max="6" width="25.85546875" customWidth="1"/>
    <col min="7" max="7" width="16.7109375" customWidth="1"/>
    <col min="8" max="8" width="11.28515625" customWidth="1"/>
    <col min="9" max="9" width="21.85546875" customWidth="1"/>
    <col min="10" max="10" width="13.5703125" customWidth="1"/>
    <col min="11" max="11" width="12.28515625" customWidth="1"/>
    <col min="12" max="12" width="8.5703125" customWidth="1"/>
    <col min="13" max="13" width="19.7109375" customWidth="1"/>
    <col min="14" max="14" width="15.5703125" customWidth="1"/>
    <col min="15" max="15" width="13" customWidth="1"/>
  </cols>
  <sheetData>
    <row r="2" spans="2:15" ht="15.75" x14ac:dyDescent="0.25">
      <c r="E2" s="10" t="s">
        <v>4</v>
      </c>
      <c r="F2" s="3">
        <v>45198</v>
      </c>
    </row>
    <row r="3" spans="2:15" ht="15.75" x14ac:dyDescent="0.25">
      <c r="E3" s="10" t="s">
        <v>15</v>
      </c>
      <c r="F3" s="7">
        <v>900</v>
      </c>
    </row>
    <row r="4" spans="2:15" x14ac:dyDescent="0.25">
      <c r="J4" t="s">
        <v>19</v>
      </c>
      <c r="M4" t="s">
        <v>24</v>
      </c>
    </row>
    <row r="6" spans="2:15" x14ac:dyDescent="0.25">
      <c r="B6" s="6" t="s">
        <v>447</v>
      </c>
      <c r="C6" s="6" t="s">
        <v>0</v>
      </c>
      <c r="D6" s="6" t="s">
        <v>1</v>
      </c>
      <c r="E6" s="6" t="s">
        <v>2</v>
      </c>
      <c r="F6" s="6" t="s">
        <v>3</v>
      </c>
      <c r="G6" s="6" t="s">
        <v>26</v>
      </c>
      <c r="J6" s="4" t="s">
        <v>5</v>
      </c>
      <c r="K6" s="4" t="s">
        <v>8</v>
      </c>
      <c r="N6" s="4" t="s">
        <v>5</v>
      </c>
      <c r="O6" s="4" t="s">
        <v>8</v>
      </c>
    </row>
    <row r="7" spans="2:15" x14ac:dyDescent="0.25">
      <c r="B7" s="1" t="s">
        <v>8</v>
      </c>
      <c r="C7" s="1"/>
      <c r="D7" s="1"/>
      <c r="E7" s="8">
        <v>18</v>
      </c>
      <c r="F7" s="1"/>
      <c r="G7" s="1">
        <v>2</v>
      </c>
      <c r="I7" s="4" t="s">
        <v>6</v>
      </c>
      <c r="J7" s="1">
        <v>18</v>
      </c>
      <c r="K7" s="11">
        <v>39</v>
      </c>
      <c r="M7" s="4" t="s">
        <v>23</v>
      </c>
      <c r="N7" s="11">
        <v>23</v>
      </c>
      <c r="O7" s="11"/>
    </row>
    <row r="8" spans="2:15" x14ac:dyDescent="0.25">
      <c r="B8" s="1" t="s">
        <v>8</v>
      </c>
      <c r="C8" s="1"/>
      <c r="D8" s="1"/>
      <c r="E8" s="8">
        <v>18</v>
      </c>
      <c r="F8" s="1"/>
      <c r="G8" s="1">
        <v>2</v>
      </c>
      <c r="I8" s="4" t="s">
        <v>7</v>
      </c>
      <c r="J8" s="11">
        <v>23</v>
      </c>
      <c r="K8" s="11">
        <v>2</v>
      </c>
    </row>
    <row r="9" spans="2:15" x14ac:dyDescent="0.25">
      <c r="B9" s="1" t="s">
        <v>8</v>
      </c>
      <c r="C9" s="1"/>
      <c r="D9" s="1"/>
      <c r="E9" s="8">
        <v>10</v>
      </c>
      <c r="F9" s="1"/>
      <c r="G9" s="1">
        <v>1</v>
      </c>
    </row>
    <row r="10" spans="2:15" x14ac:dyDescent="0.25">
      <c r="B10" s="1" t="s">
        <v>8</v>
      </c>
      <c r="C10" s="1"/>
      <c r="D10" s="1"/>
      <c r="E10" s="8">
        <v>9</v>
      </c>
      <c r="F10" s="1"/>
      <c r="G10" s="1">
        <v>1</v>
      </c>
    </row>
    <row r="11" spans="2:15" x14ac:dyDescent="0.25">
      <c r="B11" s="1" t="s">
        <v>8</v>
      </c>
      <c r="C11" s="1"/>
      <c r="D11" s="1"/>
      <c r="E11" s="8">
        <v>9</v>
      </c>
      <c r="F11" s="1"/>
      <c r="G11" s="1">
        <v>1</v>
      </c>
    </row>
    <row r="12" spans="2:15" x14ac:dyDescent="0.25">
      <c r="B12" s="1" t="s">
        <v>8</v>
      </c>
      <c r="C12" s="1"/>
      <c r="D12" s="1"/>
      <c r="E12" s="8">
        <v>9</v>
      </c>
      <c r="F12" s="1"/>
      <c r="G12" s="1">
        <v>1</v>
      </c>
    </row>
    <row r="13" spans="2:15" x14ac:dyDescent="0.25">
      <c r="B13" s="1" t="s">
        <v>5</v>
      </c>
      <c r="C13" s="1"/>
      <c r="D13" s="1"/>
      <c r="E13" s="8">
        <v>100</v>
      </c>
      <c r="F13" s="1" t="s">
        <v>11</v>
      </c>
      <c r="G13" s="1">
        <v>1</v>
      </c>
      <c r="I13" t="s">
        <v>21</v>
      </c>
    </row>
    <row r="14" spans="2:15" x14ac:dyDescent="0.25">
      <c r="B14" s="1" t="s">
        <v>5</v>
      </c>
      <c r="C14" s="1"/>
      <c r="D14" s="1"/>
      <c r="E14" s="8">
        <v>100</v>
      </c>
      <c r="F14" s="1" t="s">
        <v>10</v>
      </c>
      <c r="G14" s="1">
        <v>1</v>
      </c>
    </row>
    <row r="15" spans="2:15" x14ac:dyDescent="0.25">
      <c r="B15" s="1" t="s">
        <v>8</v>
      </c>
      <c r="C15" s="1"/>
      <c r="D15" s="1"/>
      <c r="E15" s="8">
        <v>9</v>
      </c>
      <c r="F15" s="1"/>
      <c r="G15" s="1">
        <v>1</v>
      </c>
    </row>
    <row r="16" spans="2:15" x14ac:dyDescent="0.25">
      <c r="B16" s="1" t="s">
        <v>8</v>
      </c>
      <c r="C16" s="1"/>
      <c r="D16" s="1"/>
      <c r="E16" s="8">
        <v>9</v>
      </c>
      <c r="F16" s="1" t="s">
        <v>10</v>
      </c>
      <c r="G16" s="1">
        <v>1</v>
      </c>
      <c r="I16" s="5" t="s">
        <v>43</v>
      </c>
      <c r="J16" s="5" t="s">
        <v>44</v>
      </c>
      <c r="M16" s="5" t="s">
        <v>18</v>
      </c>
      <c r="N16" s="5" t="s">
        <v>2</v>
      </c>
    </row>
    <row r="17" spans="2:14" x14ac:dyDescent="0.25">
      <c r="B17" s="1" t="s">
        <v>8</v>
      </c>
      <c r="C17" s="1"/>
      <c r="D17" s="1"/>
      <c r="E17" s="8">
        <v>9</v>
      </c>
      <c r="F17" s="1"/>
      <c r="G17" s="1">
        <v>1</v>
      </c>
      <c r="I17" s="5"/>
      <c r="J17" s="7">
        <v>1000</v>
      </c>
      <c r="M17" s="5"/>
      <c r="N17" s="12"/>
    </row>
    <row r="18" spans="2:14" x14ac:dyDescent="0.25">
      <c r="B18" s="1" t="s">
        <v>8</v>
      </c>
      <c r="C18" s="1"/>
      <c r="D18" s="1"/>
      <c r="E18" s="8">
        <v>9</v>
      </c>
      <c r="F18" s="1"/>
      <c r="G18" s="1">
        <v>1</v>
      </c>
      <c r="I18" s="5"/>
      <c r="J18" s="12">
        <v>52</v>
      </c>
      <c r="M18" s="5"/>
      <c r="N18" s="12"/>
    </row>
    <row r="19" spans="2:14" x14ac:dyDescent="0.25">
      <c r="B19" s="1" t="s">
        <v>5</v>
      </c>
      <c r="C19" s="1"/>
      <c r="D19" s="1"/>
      <c r="E19" s="8">
        <v>100</v>
      </c>
      <c r="F19" s="1" t="s">
        <v>11</v>
      </c>
      <c r="G19" s="1">
        <v>1</v>
      </c>
      <c r="I19" s="5"/>
      <c r="J19" s="12"/>
      <c r="M19" s="5"/>
      <c r="N19" s="12"/>
    </row>
    <row r="20" spans="2:14" x14ac:dyDescent="0.25">
      <c r="B20" s="1" t="s">
        <v>5</v>
      </c>
      <c r="C20" s="1" t="s">
        <v>454</v>
      </c>
      <c r="D20" s="1"/>
      <c r="E20" s="8">
        <v>100</v>
      </c>
      <c r="F20" s="1" t="s">
        <v>13</v>
      </c>
      <c r="G20" s="1">
        <v>1</v>
      </c>
      <c r="I20" s="5"/>
      <c r="J20" s="12"/>
      <c r="M20" s="5"/>
      <c r="N20" s="12"/>
    </row>
    <row r="21" spans="2:14" x14ac:dyDescent="0.25">
      <c r="B21" s="1" t="s">
        <v>5</v>
      </c>
      <c r="C21" s="1" t="s">
        <v>455</v>
      </c>
      <c r="D21" s="1"/>
      <c r="E21" s="8">
        <v>95</v>
      </c>
      <c r="F21" s="1" t="s">
        <v>11</v>
      </c>
      <c r="G21" s="1">
        <v>1</v>
      </c>
      <c r="I21" s="5"/>
      <c r="J21" s="12"/>
      <c r="M21" s="5"/>
      <c r="N21" s="12"/>
    </row>
    <row r="22" spans="2:14" x14ac:dyDescent="0.25">
      <c r="B22" s="1" t="s">
        <v>8</v>
      </c>
      <c r="C22" s="1" t="s">
        <v>130</v>
      </c>
      <c r="D22" s="1"/>
      <c r="E22" s="8">
        <v>9</v>
      </c>
      <c r="F22" s="1"/>
      <c r="G22" s="1">
        <v>1</v>
      </c>
      <c r="I22" s="5"/>
      <c r="J22" s="12"/>
      <c r="M22" s="5"/>
      <c r="N22" s="12"/>
    </row>
    <row r="23" spans="2:14" x14ac:dyDescent="0.25">
      <c r="B23" s="1" t="s">
        <v>5</v>
      </c>
      <c r="C23" s="1" t="s">
        <v>456</v>
      </c>
      <c r="D23" s="1"/>
      <c r="E23" s="8">
        <v>100</v>
      </c>
      <c r="F23" s="1" t="s">
        <v>11</v>
      </c>
      <c r="G23" s="1">
        <v>1</v>
      </c>
      <c r="I23" s="5"/>
      <c r="J23" s="12"/>
      <c r="M23" s="5"/>
      <c r="N23" s="12"/>
    </row>
    <row r="24" spans="2:14" x14ac:dyDescent="0.25">
      <c r="B24" s="1" t="s">
        <v>8</v>
      </c>
      <c r="C24" s="1" t="s">
        <v>456</v>
      </c>
      <c r="D24" s="1"/>
      <c r="E24" s="8">
        <v>9</v>
      </c>
      <c r="F24" s="1" t="s">
        <v>11</v>
      </c>
      <c r="G24" s="25">
        <v>1</v>
      </c>
      <c r="I24" s="5"/>
      <c r="J24" s="12"/>
      <c r="L24" s="14"/>
      <c r="M24" s="5"/>
      <c r="N24" s="12"/>
    </row>
    <row r="25" spans="2:14" x14ac:dyDescent="0.25">
      <c r="B25" s="1" t="s">
        <v>5</v>
      </c>
      <c r="C25" s="1" t="s">
        <v>457</v>
      </c>
      <c r="D25" s="1"/>
      <c r="E25" s="8">
        <v>95</v>
      </c>
      <c r="F25" s="1" t="s">
        <v>10</v>
      </c>
      <c r="G25" s="1">
        <v>1</v>
      </c>
      <c r="I25" s="5"/>
      <c r="J25" s="12"/>
      <c r="M25" s="5"/>
      <c r="N25" s="12"/>
    </row>
    <row r="26" spans="2:14" x14ac:dyDescent="0.25">
      <c r="B26" s="1" t="s">
        <v>5</v>
      </c>
      <c r="C26" s="1" t="s">
        <v>458</v>
      </c>
      <c r="D26" s="1"/>
      <c r="E26" s="8">
        <v>95</v>
      </c>
      <c r="F26" s="1" t="s">
        <v>10</v>
      </c>
      <c r="G26" s="1">
        <v>1</v>
      </c>
      <c r="I26" s="5"/>
      <c r="J26" s="12"/>
      <c r="M26" s="5"/>
      <c r="N26" s="12"/>
    </row>
    <row r="27" spans="2:14" x14ac:dyDescent="0.25">
      <c r="B27" s="1" t="s">
        <v>5</v>
      </c>
      <c r="C27" s="1" t="s">
        <v>458</v>
      </c>
      <c r="D27" s="1"/>
      <c r="E27" s="8">
        <v>100</v>
      </c>
      <c r="F27" s="1" t="s">
        <v>11</v>
      </c>
      <c r="G27" s="1">
        <v>1</v>
      </c>
      <c r="I27" s="5"/>
      <c r="J27" s="12"/>
      <c r="M27" s="5"/>
      <c r="N27" s="12"/>
    </row>
    <row r="28" spans="2:14" x14ac:dyDescent="0.25">
      <c r="B28" s="1" t="s">
        <v>5</v>
      </c>
      <c r="C28" s="1" t="s">
        <v>459</v>
      </c>
      <c r="D28" s="1"/>
      <c r="E28" s="8">
        <v>100</v>
      </c>
      <c r="F28" s="1" t="s">
        <v>12</v>
      </c>
      <c r="G28" s="1">
        <v>1</v>
      </c>
      <c r="I28" s="5"/>
      <c r="J28" s="12"/>
      <c r="M28" s="5"/>
      <c r="N28" s="12"/>
    </row>
    <row r="29" spans="2:14" x14ac:dyDescent="0.25">
      <c r="B29" s="1" t="s">
        <v>5</v>
      </c>
      <c r="C29" s="1" t="s">
        <v>460</v>
      </c>
      <c r="D29" s="1"/>
      <c r="E29" s="8">
        <v>100</v>
      </c>
      <c r="F29" s="1" t="s">
        <v>10</v>
      </c>
      <c r="G29" s="1">
        <v>1</v>
      </c>
      <c r="I29" s="5"/>
      <c r="J29" s="12"/>
      <c r="M29" s="5"/>
      <c r="N29" s="12"/>
    </row>
    <row r="30" spans="2:14" x14ac:dyDescent="0.25">
      <c r="B30" s="1" t="s">
        <v>8</v>
      </c>
      <c r="C30" s="1" t="s">
        <v>387</v>
      </c>
      <c r="D30" s="1"/>
      <c r="E30" s="8">
        <v>9</v>
      </c>
      <c r="F30" s="1"/>
      <c r="G30" s="1">
        <v>1</v>
      </c>
      <c r="I30" s="5"/>
      <c r="J30" s="5"/>
    </row>
    <row r="31" spans="2:14" ht="18.75" x14ac:dyDescent="0.4">
      <c r="B31" s="1" t="s">
        <v>5</v>
      </c>
      <c r="C31" s="1" t="s">
        <v>461</v>
      </c>
      <c r="D31" s="1" t="s">
        <v>159</v>
      </c>
      <c r="E31" s="8">
        <v>100</v>
      </c>
      <c r="F31" s="1" t="s">
        <v>10</v>
      </c>
      <c r="G31" s="1">
        <v>1</v>
      </c>
      <c r="I31" s="13" t="s">
        <v>22</v>
      </c>
      <c r="J31" s="15">
        <f>SUM(Tabela278121519222528313437404346495255586164677073767926912172023262932353841444750535659626568717477832691217202326293235384144475053565962656871747780868992[valor])</f>
        <v>1052</v>
      </c>
      <c r="M31" s="13" t="s">
        <v>42</v>
      </c>
      <c r="N31" s="15">
        <f>SUM(Tabela2781213172023262932353841444750535659626568717477803710131821242730333639424548515457606366697275788437101318212427303336394245485154576063666972757881879093[Valor])</f>
        <v>0</v>
      </c>
    </row>
    <row r="32" spans="2:14" x14ac:dyDescent="0.25">
      <c r="B32" s="1" t="s">
        <v>5</v>
      </c>
      <c r="C32" s="1"/>
      <c r="D32" s="1"/>
      <c r="E32" s="8">
        <v>100</v>
      </c>
      <c r="F32" s="1" t="s">
        <v>11</v>
      </c>
      <c r="G32" s="1">
        <v>1</v>
      </c>
      <c r="I32" s="5"/>
      <c r="J32" s="5"/>
    </row>
    <row r="33" spans="2:11" x14ac:dyDescent="0.25">
      <c r="B33" s="1"/>
      <c r="C33" s="1"/>
      <c r="D33" s="1"/>
      <c r="E33" s="8"/>
      <c r="F33" s="1"/>
      <c r="G33" s="1"/>
      <c r="I33" s="5"/>
      <c r="J33" s="5"/>
    </row>
    <row r="34" spans="2:11" x14ac:dyDescent="0.25">
      <c r="B34" s="1"/>
      <c r="C34" s="1"/>
      <c r="D34" s="1"/>
      <c r="E34" s="8"/>
      <c r="F34" s="1"/>
      <c r="G34" s="1"/>
      <c r="I34" s="5"/>
      <c r="J34" s="5"/>
    </row>
    <row r="35" spans="2:11" x14ac:dyDescent="0.25">
      <c r="B35" s="1"/>
      <c r="C35" s="1"/>
      <c r="D35" s="1"/>
      <c r="E35" s="8"/>
      <c r="F35" s="1"/>
      <c r="G35" s="1"/>
      <c r="I35" s="5"/>
      <c r="J35" s="5"/>
    </row>
    <row r="36" spans="2:11" x14ac:dyDescent="0.25">
      <c r="B36" s="1"/>
      <c r="C36" s="1"/>
      <c r="D36" s="1"/>
      <c r="E36" s="8"/>
      <c r="F36" s="1"/>
      <c r="G36" s="1"/>
      <c r="J36" s="5"/>
    </row>
    <row r="37" spans="2:11" x14ac:dyDescent="0.25">
      <c r="I37" s="5"/>
    </row>
    <row r="39" spans="2:11" x14ac:dyDescent="0.25">
      <c r="I39" s="9"/>
    </row>
    <row r="40" spans="2:11" x14ac:dyDescent="0.25">
      <c r="I40" t="s">
        <v>20</v>
      </c>
    </row>
    <row r="41" spans="2:11" x14ac:dyDescent="0.25">
      <c r="B41" s="4" t="s">
        <v>10</v>
      </c>
      <c r="C41" s="2">
        <f>SUMIF(Tabela16511182124273033363942454851545760636669727578815811151922252831343740434649525558616467707376828558111519222528313437404346495255586164677073767982889194[Forma de Pagamento],"Dinheiro",Tabela16511182124273033363942454851545760636669727578815811151922252831343740434649525558616467707376828558111519222528313437404346495255586164677073767982889194[Valor])</f>
        <v>499</v>
      </c>
      <c r="D41" s="4" t="s">
        <v>16</v>
      </c>
      <c r="E41" s="2">
        <f>SUMIF(Tabela16511182124273033363942454851545760636669727578815811151922252831343740434649525558616467707376828558111519222528313437404346495255586164677073767982889194[item],"Gás",Tabela16511182124273033363942454851545760636669727578815811151922252831343740434649525558616467707376828558111519222528313437404346495255586164677073767982889194[QUANTIDADE])+G41</f>
        <v>13</v>
      </c>
      <c r="F41" s="4" t="s">
        <v>25</v>
      </c>
      <c r="G41" s="2">
        <f>SUMIF(Tabela16511182124273033363942454851545760636669727578815811151922252831343740434649525558616467707376828558111519222528313437404346495255586164677073767982889194[item],"Gás completo",Tabela16511182124273033363942454851545760636669727578815811151922252831343740434649525558616467707376828558111519222528313437404346495255586164677073767982889194[QUANTIDADE])</f>
        <v>0</v>
      </c>
    </row>
    <row r="42" spans="2:11" x14ac:dyDescent="0.25">
      <c r="B42" s="4" t="s">
        <v>11</v>
      </c>
      <c r="C42" s="2">
        <f>SUMIF(Tabela16511182124273033363942454851545760636669727578815811151922252831343740434649525558616467707376828558111519222528313437404346495255586164677073767982889194[Forma de Pagamento],"Cartão",Tabela16511182124273033363942454851545760636669727578815811151922252831343740434649525558616467707376828558111519222528313437404346495255586164677073767982889194[Valor])</f>
        <v>604</v>
      </c>
      <c r="D42" s="4" t="s">
        <v>17</v>
      </c>
      <c r="E42" s="2">
        <f>SUMIF(Tabela16511182124273033363942454851545760636669727578815811151922252831343740434649525558616467707376828558111519222528313437404346495255586164677073767982889194[item],"Água",Tabela16511182124273033363942454851545760636669727578815811151922252831343740434649525558616467707376828558111519222528313437404346495255586164677073767982889194[QUANTIDADE])+G42</f>
        <v>15</v>
      </c>
      <c r="F42" s="4" t="s">
        <v>27</v>
      </c>
      <c r="G42" s="2">
        <f>SUMIF(Tabela16511182124273033363942454851545760636669727578815811151922252831343740434649525558616467707376828558111519222528313437404346495255586164677073767982889194[item],"Água completa",Tabela16511182124273033363942454851545760636669727578815811151922252831343740434649525558616467707376828558111519222528313437404346495255586164677073767982889194[QUANTIDADE])</f>
        <v>0</v>
      </c>
      <c r="J42" s="4" t="s">
        <v>5</v>
      </c>
      <c r="K42" s="4" t="s">
        <v>8</v>
      </c>
    </row>
    <row r="43" spans="2:11" x14ac:dyDescent="0.25">
      <c r="B43" s="4" t="s">
        <v>12</v>
      </c>
      <c r="C43" s="2">
        <f>SUMIF(Tabela16511182124273033363942454851545760636669727578815811151922252831343740434649525558616467707376828558111519222528313437404346495255586164677073767982889194[Forma de Pagamento],"Pix",Tabela16511182124273033363942454851545760636669727578815811151922252831343740434649525558616467707376828558111519222528313437404346495255586164677073767982889194[Valor])</f>
        <v>100</v>
      </c>
      <c r="I43" s="4" t="s">
        <v>6</v>
      </c>
      <c r="J43" s="1">
        <f>SUM(J7-E41+N7)</f>
        <v>28</v>
      </c>
      <c r="K43" s="2">
        <f>SUM(K7-E42+O7)</f>
        <v>24</v>
      </c>
    </row>
    <row r="44" spans="2:11" x14ac:dyDescent="0.25">
      <c r="B44" s="4" t="s">
        <v>13</v>
      </c>
      <c r="C44" s="2">
        <f>SUMIF(Tabela16511182124273033363942454851545760636669727578815811151922252831343740434649525558616467707376828558111519222528313437404346495255586164677073767982889194[Forma de Pagamento],"Fiado",Tabela16511182124273033363942454851545760636669727578815811151922252831343740434649525558616467707376828558111519222528313437404346495255586164677073767982889194[Valor])</f>
        <v>100</v>
      </c>
      <c r="D44" s="4" t="s">
        <v>14</v>
      </c>
      <c r="E44" s="7">
        <f>SUM(F3-J31+C41+N31)</f>
        <v>347</v>
      </c>
      <c r="I44" s="4" t="s">
        <v>7</v>
      </c>
      <c r="J44" s="2">
        <f>SUM(J8+E41-N7)-G41</f>
        <v>13</v>
      </c>
      <c r="K44" s="2">
        <f>SUM(K8+E42-O7)-G42</f>
        <v>17</v>
      </c>
    </row>
  </sheetData>
  <dataValidations count="2">
    <dataValidation type="list" allowBlank="1" showInputMessage="1" showErrorMessage="1" sqref="F7:F36" xr:uid="{82692D96-D73E-42A0-B329-B226857DCD32}">
      <formula1>"Dinheiro,Cartão,Pix,Fiado,Pago"</formula1>
    </dataValidation>
    <dataValidation type="list" allowBlank="1" showInputMessage="1" showErrorMessage="1" sqref="B7:B16 B18:B36" xr:uid="{930C1715-07A4-43C8-AA72-9F6845A0D004}">
      <formula1>"Gás,Água,Gás completo,Água completa,Gás e Água, Recebimento"</formula1>
    </dataValidation>
  </dataValidations>
  <pageMargins left="0.511811024" right="0.511811024" top="0.78740157499999996" bottom="0.78740157499999996" header="0.31496062000000002" footer="0.31496062000000002"/>
  <pageSetup paperSize="0" orientation="portrait" horizontalDpi="203" verticalDpi="203" r:id="rId1"/>
  <drawing r:id="rId2"/>
  <tableParts count="3">
    <tablePart r:id="rId3"/>
    <tablePart r:id="rId4"/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49B4-559F-46E1-9461-1355CC51A859}">
  <dimension ref="B2:O44"/>
  <sheetViews>
    <sheetView showGridLines="0" workbookViewId="0">
      <selection activeCell="L21" sqref="L21"/>
    </sheetView>
  </sheetViews>
  <sheetFormatPr defaultRowHeight="15" x14ac:dyDescent="0.25"/>
  <cols>
    <col min="2" max="2" width="14.7109375" customWidth="1"/>
    <col min="3" max="3" width="38.140625" customWidth="1"/>
    <col min="4" max="4" width="19.85546875" customWidth="1"/>
    <col min="5" max="5" width="21.85546875" customWidth="1"/>
    <col min="6" max="6" width="25.85546875" customWidth="1"/>
    <col min="7" max="7" width="16.7109375" customWidth="1"/>
    <col min="8" max="8" width="11.28515625" customWidth="1"/>
    <col min="9" max="9" width="21.85546875" customWidth="1"/>
    <col min="10" max="10" width="13.5703125" customWidth="1"/>
    <col min="11" max="11" width="12.28515625" customWidth="1"/>
    <col min="12" max="12" width="8.5703125" customWidth="1"/>
    <col min="13" max="13" width="19.7109375" customWidth="1"/>
    <col min="14" max="14" width="15.5703125" customWidth="1"/>
    <col min="15" max="15" width="13" customWidth="1"/>
  </cols>
  <sheetData>
    <row r="2" spans="2:15" ht="15.75" x14ac:dyDescent="0.25">
      <c r="E2" s="10" t="s">
        <v>4</v>
      </c>
      <c r="F2" s="3">
        <v>45190</v>
      </c>
    </row>
    <row r="3" spans="2:15" ht="15.75" x14ac:dyDescent="0.25">
      <c r="E3" s="10" t="s">
        <v>15</v>
      </c>
      <c r="F3" s="7"/>
    </row>
    <row r="4" spans="2:15" x14ac:dyDescent="0.25">
      <c r="J4" t="s">
        <v>19</v>
      </c>
      <c r="M4" t="s">
        <v>24</v>
      </c>
    </row>
    <row r="6" spans="2:15" x14ac:dyDescent="0.25">
      <c r="B6" s="6" t="s">
        <v>9</v>
      </c>
      <c r="C6" s="6" t="s">
        <v>0</v>
      </c>
      <c r="D6" s="6" t="s">
        <v>1</v>
      </c>
      <c r="E6" s="6" t="s">
        <v>2</v>
      </c>
      <c r="F6" s="6" t="s">
        <v>3</v>
      </c>
      <c r="G6" s="6" t="s">
        <v>26</v>
      </c>
      <c r="J6" s="4" t="s">
        <v>5</v>
      </c>
      <c r="K6" s="4" t="s">
        <v>8</v>
      </c>
      <c r="N6" s="4" t="s">
        <v>5</v>
      </c>
      <c r="O6" s="4" t="s">
        <v>8</v>
      </c>
    </row>
    <row r="7" spans="2:15" x14ac:dyDescent="0.25">
      <c r="B7" s="1" t="s">
        <v>8</v>
      </c>
      <c r="C7" s="1"/>
      <c r="D7" s="1"/>
      <c r="E7" s="8">
        <v>9</v>
      </c>
      <c r="F7" s="1"/>
      <c r="G7" s="1">
        <v>1</v>
      </c>
      <c r="I7" s="4" t="s">
        <v>6</v>
      </c>
      <c r="J7" s="1">
        <v>25</v>
      </c>
      <c r="K7" s="11">
        <v>17</v>
      </c>
      <c r="M7" s="4" t="s">
        <v>23</v>
      </c>
      <c r="N7" s="11">
        <v>15</v>
      </c>
      <c r="O7" s="11"/>
    </row>
    <row r="8" spans="2:15" x14ac:dyDescent="0.25">
      <c r="B8" s="1" t="s">
        <v>5</v>
      </c>
      <c r="C8" s="1"/>
      <c r="D8" s="1"/>
      <c r="E8" s="8">
        <v>84</v>
      </c>
      <c r="F8" s="1" t="s">
        <v>12</v>
      </c>
      <c r="G8" s="1">
        <v>1</v>
      </c>
      <c r="I8" s="4" t="s">
        <v>7</v>
      </c>
      <c r="J8" s="11">
        <v>16</v>
      </c>
      <c r="K8" s="11"/>
    </row>
    <row r="9" spans="2:15" x14ac:dyDescent="0.25">
      <c r="B9" s="1" t="s">
        <v>5</v>
      </c>
      <c r="C9" s="1" t="s">
        <v>367</v>
      </c>
      <c r="D9" s="1"/>
      <c r="E9" s="8">
        <v>100</v>
      </c>
      <c r="F9" s="1" t="s">
        <v>11</v>
      </c>
      <c r="G9" s="1">
        <v>1</v>
      </c>
    </row>
    <row r="10" spans="2:15" x14ac:dyDescent="0.25">
      <c r="B10" s="1" t="s">
        <v>5</v>
      </c>
      <c r="C10" s="1" t="s">
        <v>368</v>
      </c>
      <c r="D10" s="1"/>
      <c r="E10" s="8">
        <v>100</v>
      </c>
      <c r="F10" s="1"/>
      <c r="G10" s="1">
        <v>1</v>
      </c>
    </row>
    <row r="11" spans="2:15" x14ac:dyDescent="0.25">
      <c r="B11" s="1" t="s">
        <v>8</v>
      </c>
      <c r="C11" s="1"/>
      <c r="D11" s="1"/>
      <c r="E11" s="8">
        <v>9</v>
      </c>
      <c r="F11" s="1" t="s">
        <v>11</v>
      </c>
      <c r="G11" s="1">
        <v>1</v>
      </c>
    </row>
    <row r="12" spans="2:15" x14ac:dyDescent="0.25">
      <c r="B12" s="1" t="s">
        <v>5</v>
      </c>
      <c r="C12" s="1" t="s">
        <v>370</v>
      </c>
      <c r="D12" s="1" t="s">
        <v>51</v>
      </c>
      <c r="E12" s="8">
        <v>100</v>
      </c>
      <c r="F12" s="1" t="s">
        <v>12</v>
      </c>
      <c r="G12" s="1">
        <v>1</v>
      </c>
    </row>
    <row r="13" spans="2:15" x14ac:dyDescent="0.25">
      <c r="B13" s="1" t="s">
        <v>5</v>
      </c>
      <c r="C13" s="1" t="s">
        <v>369</v>
      </c>
      <c r="D13" s="1"/>
      <c r="E13" s="8">
        <v>100</v>
      </c>
      <c r="F13" s="1" t="s">
        <v>10</v>
      </c>
      <c r="G13" s="1">
        <v>1</v>
      </c>
      <c r="I13" t="s">
        <v>21</v>
      </c>
    </row>
    <row r="14" spans="2:15" x14ac:dyDescent="0.25">
      <c r="B14" s="1" t="s">
        <v>5</v>
      </c>
      <c r="C14" s="1" t="s">
        <v>371</v>
      </c>
      <c r="D14" s="1"/>
      <c r="E14" s="8">
        <v>100</v>
      </c>
      <c r="F14" s="1" t="s">
        <v>10</v>
      </c>
      <c r="G14" s="1">
        <v>1</v>
      </c>
    </row>
    <row r="15" spans="2:15" x14ac:dyDescent="0.25">
      <c r="B15" s="1" t="s">
        <v>8</v>
      </c>
      <c r="C15" s="1" t="s">
        <v>372</v>
      </c>
      <c r="D15" s="1"/>
      <c r="E15" s="8">
        <v>9</v>
      </c>
      <c r="F15" s="1" t="s">
        <v>10</v>
      </c>
      <c r="G15" s="1">
        <v>1</v>
      </c>
    </row>
    <row r="16" spans="2:15" x14ac:dyDescent="0.25">
      <c r="B16" s="1" t="s">
        <v>8</v>
      </c>
      <c r="C16" s="1" t="s">
        <v>373</v>
      </c>
      <c r="D16" s="1"/>
      <c r="E16" s="8">
        <v>9</v>
      </c>
      <c r="F16" s="1" t="s">
        <v>10</v>
      </c>
      <c r="G16" s="1">
        <v>1</v>
      </c>
      <c r="I16" s="5" t="s">
        <v>43</v>
      </c>
      <c r="J16" s="5" t="s">
        <v>44</v>
      </c>
      <c r="M16" s="5" t="s">
        <v>18</v>
      </c>
      <c r="N16" s="5" t="s">
        <v>2</v>
      </c>
    </row>
    <row r="17" spans="2:14" x14ac:dyDescent="0.25">
      <c r="B17" s="1" t="s">
        <v>8</v>
      </c>
      <c r="C17" s="1" t="s">
        <v>374</v>
      </c>
      <c r="D17" s="1" t="s">
        <v>375</v>
      </c>
      <c r="E17" s="8">
        <v>9</v>
      </c>
      <c r="F17" s="1" t="s">
        <v>12</v>
      </c>
      <c r="G17" s="1">
        <v>1</v>
      </c>
      <c r="I17" s="5"/>
      <c r="J17" s="7"/>
      <c r="M17" s="5"/>
      <c r="N17" s="12"/>
    </row>
    <row r="18" spans="2:14" x14ac:dyDescent="0.25">
      <c r="B18" s="1"/>
      <c r="C18" s="1"/>
      <c r="D18" s="1"/>
      <c r="E18" s="8"/>
      <c r="F18" s="1"/>
      <c r="G18" s="1"/>
      <c r="I18" s="5"/>
      <c r="J18" s="12"/>
      <c r="M18" s="5"/>
      <c r="N18" s="12"/>
    </row>
    <row r="19" spans="2:14" x14ac:dyDescent="0.25">
      <c r="B19" s="1"/>
      <c r="C19" s="1"/>
      <c r="D19" s="1"/>
      <c r="E19" s="8"/>
      <c r="F19" s="1"/>
      <c r="G19" s="1"/>
      <c r="I19" s="5"/>
      <c r="J19" s="12"/>
      <c r="M19" s="5"/>
      <c r="N19" s="12"/>
    </row>
    <row r="20" spans="2:14" x14ac:dyDescent="0.25">
      <c r="B20" s="1"/>
      <c r="C20" s="1"/>
      <c r="D20" s="1"/>
      <c r="E20" s="8"/>
      <c r="F20" s="1"/>
      <c r="G20" s="1"/>
      <c r="I20" s="5"/>
      <c r="J20" s="12"/>
      <c r="M20" s="5"/>
      <c r="N20" s="12"/>
    </row>
    <row r="21" spans="2:14" x14ac:dyDescent="0.25">
      <c r="B21" s="1"/>
      <c r="C21" s="1"/>
      <c r="D21" s="1"/>
      <c r="E21" s="8"/>
      <c r="F21" s="1"/>
      <c r="G21" s="1"/>
      <c r="I21" s="5"/>
      <c r="J21" s="12"/>
      <c r="M21" s="5"/>
      <c r="N21" s="12"/>
    </row>
    <row r="22" spans="2:14" x14ac:dyDescent="0.25">
      <c r="B22" s="1"/>
      <c r="C22" s="1"/>
      <c r="D22" s="1"/>
      <c r="E22" s="8"/>
      <c r="F22" s="1"/>
      <c r="G22" s="1"/>
      <c r="I22" s="5"/>
      <c r="J22" s="12"/>
      <c r="M22" s="5"/>
      <c r="N22" s="12"/>
    </row>
    <row r="23" spans="2:14" x14ac:dyDescent="0.25">
      <c r="B23" s="1"/>
      <c r="C23" s="1"/>
      <c r="D23" s="1"/>
      <c r="E23" s="8"/>
      <c r="F23" s="1"/>
      <c r="G23" s="1"/>
      <c r="I23" s="5"/>
      <c r="J23" s="12"/>
      <c r="M23" s="5"/>
      <c r="N23" s="12"/>
    </row>
    <row r="24" spans="2:14" x14ac:dyDescent="0.25">
      <c r="B24" s="1"/>
      <c r="C24" s="1"/>
      <c r="D24" s="1"/>
      <c r="E24" s="8"/>
      <c r="F24" s="1"/>
      <c r="G24" s="25"/>
      <c r="I24" s="5"/>
      <c r="J24" s="12"/>
      <c r="L24" s="14"/>
      <c r="M24" s="5"/>
      <c r="N24" s="12"/>
    </row>
    <row r="25" spans="2:14" x14ac:dyDescent="0.25">
      <c r="B25" s="1"/>
      <c r="C25" s="1"/>
      <c r="D25" s="1"/>
      <c r="E25" s="8"/>
      <c r="F25" s="1"/>
      <c r="G25" s="1"/>
      <c r="I25" s="5"/>
      <c r="J25" s="12"/>
      <c r="M25" s="5"/>
      <c r="N25" s="12"/>
    </row>
    <row r="26" spans="2:14" x14ac:dyDescent="0.25">
      <c r="B26" s="1"/>
      <c r="C26" s="1"/>
      <c r="D26" s="1"/>
      <c r="E26" s="8"/>
      <c r="F26" s="1"/>
      <c r="G26" s="1"/>
      <c r="I26" s="5"/>
      <c r="J26" s="12"/>
      <c r="M26" s="5"/>
      <c r="N26" s="12"/>
    </row>
    <row r="27" spans="2:14" x14ac:dyDescent="0.25">
      <c r="B27" s="1"/>
      <c r="C27" s="1"/>
      <c r="D27" s="1"/>
      <c r="E27" s="8"/>
      <c r="F27" s="1"/>
      <c r="G27" s="1"/>
      <c r="I27" s="5"/>
      <c r="J27" s="12"/>
      <c r="M27" s="5"/>
      <c r="N27" s="12"/>
    </row>
    <row r="28" spans="2:14" x14ac:dyDescent="0.25">
      <c r="B28" s="1"/>
      <c r="C28" s="1"/>
      <c r="D28" s="1"/>
      <c r="E28" s="8"/>
      <c r="F28" s="1"/>
      <c r="G28" s="1"/>
      <c r="I28" s="5"/>
      <c r="J28" s="12"/>
      <c r="M28" s="5"/>
      <c r="N28" s="12"/>
    </row>
    <row r="29" spans="2:14" x14ac:dyDescent="0.25">
      <c r="B29" s="1"/>
      <c r="C29" s="1"/>
      <c r="D29" s="1"/>
      <c r="E29" s="8"/>
      <c r="F29" s="1"/>
      <c r="G29" s="1"/>
      <c r="I29" s="5"/>
      <c r="J29" s="12"/>
      <c r="M29" s="5"/>
      <c r="N29" s="12"/>
    </row>
    <row r="30" spans="2:14" x14ac:dyDescent="0.25">
      <c r="B30" s="1"/>
      <c r="C30" s="1"/>
      <c r="D30" s="1"/>
      <c r="E30" s="8"/>
      <c r="F30" s="1"/>
      <c r="G30" s="1"/>
      <c r="I30" s="5"/>
      <c r="J30" s="5"/>
    </row>
    <row r="31" spans="2:14" ht="18.75" x14ac:dyDescent="0.4">
      <c r="B31" s="1"/>
      <c r="C31" s="1"/>
      <c r="D31" s="1"/>
      <c r="E31" s="8"/>
      <c r="F31" s="1"/>
      <c r="G31" s="1"/>
      <c r="I31" s="13" t="s">
        <v>22</v>
      </c>
      <c r="J31" s="15">
        <f>SUM(Tabela278121519222528313437404346495255586164677073767926912172023262932353841444750535659626568717477832691217202326293235384144475053565962[valor])</f>
        <v>0</v>
      </c>
      <c r="M31" s="13" t="s">
        <v>42</v>
      </c>
      <c r="N31" s="15">
        <f>SUM(Tabela2781213172023262932353841444750535659626568717477803710131821242730333639424548515457606366697275788437101318212427303336394245485154576063[Valor])</f>
        <v>0</v>
      </c>
    </row>
    <row r="32" spans="2:14" x14ac:dyDescent="0.25">
      <c r="B32" s="1"/>
      <c r="C32" s="1"/>
      <c r="D32" s="1"/>
      <c r="E32" s="8"/>
      <c r="F32" s="1"/>
      <c r="G32" s="1"/>
      <c r="I32" s="5"/>
      <c r="J32" s="5"/>
    </row>
    <row r="33" spans="2:11" x14ac:dyDescent="0.25">
      <c r="B33" s="1"/>
      <c r="C33" s="1"/>
      <c r="D33" s="1"/>
      <c r="E33" s="8"/>
      <c r="F33" s="1"/>
      <c r="G33" s="1"/>
      <c r="I33" s="5"/>
      <c r="J33" s="5"/>
    </row>
    <row r="34" spans="2:11" x14ac:dyDescent="0.25">
      <c r="B34" s="1"/>
      <c r="C34" s="1"/>
      <c r="D34" s="1"/>
      <c r="E34" s="8"/>
      <c r="F34" s="1"/>
      <c r="G34" s="1"/>
      <c r="I34" s="5"/>
      <c r="J34" s="5"/>
    </row>
    <row r="35" spans="2:11" x14ac:dyDescent="0.25">
      <c r="B35" s="1"/>
      <c r="C35" s="1"/>
      <c r="D35" s="1"/>
      <c r="E35" s="8"/>
      <c r="F35" s="1"/>
      <c r="G35" s="1"/>
      <c r="I35" s="5"/>
      <c r="J35" s="5"/>
    </row>
    <row r="36" spans="2:11" x14ac:dyDescent="0.25">
      <c r="B36" s="1"/>
      <c r="C36" s="1"/>
      <c r="D36" s="1"/>
      <c r="E36" s="8"/>
      <c r="F36" s="1"/>
      <c r="G36" s="1"/>
      <c r="J36" s="5"/>
    </row>
    <row r="37" spans="2:11" x14ac:dyDescent="0.25">
      <c r="I37" s="5"/>
    </row>
    <row r="39" spans="2:11" x14ac:dyDescent="0.25">
      <c r="I39" s="9"/>
    </row>
    <row r="40" spans="2:11" x14ac:dyDescent="0.25">
      <c r="I40" t="s">
        <v>20</v>
      </c>
    </row>
    <row r="41" spans="2:11" x14ac:dyDescent="0.25">
      <c r="B41" s="4" t="s">
        <v>10</v>
      </c>
      <c r="C41" s="2">
        <f>SUMIF(Tabela16511182124273033363942454851545760636669727578815811151922252831343740434649525558616467707376828558111519222528313437404346495255586164[Forma de Pagamento],"Dinheiro",Tabela16511182124273033363942454851545760636669727578815811151922252831343740434649525558616467707376828558111519222528313437404346495255586164[Valor])</f>
        <v>218</v>
      </c>
      <c r="D41" s="4" t="s">
        <v>16</v>
      </c>
      <c r="E41" s="2">
        <f>SUMIF(Tabela16511182124273033363942454851545760636669727578815811151922252831343740434649525558616467707376828558111519222528313437404346495255586164[Item],"Gás",Tabela16511182124273033363942454851545760636669727578815811151922252831343740434649525558616467707376828558111519222528313437404346495255586164[QUANTIDADE])+G41</f>
        <v>6</v>
      </c>
      <c r="F41" s="4" t="s">
        <v>25</v>
      </c>
      <c r="G41" s="2">
        <f>SUMIF(Tabela16511182124273033363942454851545760636669727578815811151922252831343740434649525558616467707376828558111519222528313437404346495255586164[Item],"Gás completo",Tabela16511182124273033363942454851545760636669727578815811151922252831343740434649525558616467707376828558111519222528313437404346495255586164[QUANTIDADE])</f>
        <v>0</v>
      </c>
    </row>
    <row r="42" spans="2:11" x14ac:dyDescent="0.25">
      <c r="B42" s="4" t="s">
        <v>11</v>
      </c>
      <c r="C42" s="2">
        <f>SUMIF(Tabela16511182124273033363942454851545760636669727578815811151922252831343740434649525558616467707376828558111519222528313437404346495255586164[Forma de Pagamento],"Cartão",Tabela16511182124273033363942454851545760636669727578815811151922252831343740434649525558616467707376828558111519222528313437404346495255586164[Valor])</f>
        <v>109</v>
      </c>
      <c r="D42" s="4" t="s">
        <v>17</v>
      </c>
      <c r="E42" s="2">
        <f>SUMIF(Tabela16511182124273033363942454851545760636669727578815811151922252831343740434649525558616467707376828558111519222528313437404346495255586164[Item],"Água",Tabela16511182124273033363942454851545760636669727578815811151922252831343740434649525558616467707376828558111519222528313437404346495255586164[QUANTIDADE])+G42</f>
        <v>5</v>
      </c>
      <c r="F42" s="4" t="s">
        <v>27</v>
      </c>
      <c r="G42" s="2">
        <f>SUMIF(Tabela16511182124273033363942454851545760636669727578815811151922252831343740434649525558616467707376828558111519222528313437404346495255586164[Item],"Água completa",Tabela16511182124273033363942454851545760636669727578815811151922252831343740434649525558616467707376828558111519222528313437404346495255586164[QUANTIDADE])</f>
        <v>0</v>
      </c>
      <c r="J42" s="4" t="s">
        <v>5</v>
      </c>
      <c r="K42" s="4" t="s">
        <v>8</v>
      </c>
    </row>
    <row r="43" spans="2:11" x14ac:dyDescent="0.25">
      <c r="B43" s="4" t="s">
        <v>12</v>
      </c>
      <c r="C43" s="2">
        <f>SUMIF(Tabela16511182124273033363942454851545760636669727578815811151922252831343740434649525558616467707376828558111519222528313437404346495255586164[Forma de Pagamento],"Pix",Tabela16511182124273033363942454851545760636669727578815811151922252831343740434649525558616467707376828558111519222528313437404346495255586164[Valor])</f>
        <v>193</v>
      </c>
      <c r="I43" s="4" t="s">
        <v>6</v>
      </c>
      <c r="J43" s="1">
        <f>SUM(J7-E41+N7)</f>
        <v>34</v>
      </c>
      <c r="K43" s="2">
        <f>SUM(K7-E42+O7)</f>
        <v>12</v>
      </c>
    </row>
    <row r="44" spans="2:11" x14ac:dyDescent="0.25">
      <c r="B44" s="4" t="s">
        <v>13</v>
      </c>
      <c r="C44" s="2">
        <f>SUMIF(Tabela16511182124273033363942454851545760636669727578815811151922252831343740434649525558616467707376828558111519222528313437404346495255586164[Forma de Pagamento],"Fiado",Tabela16511182124273033363942454851545760636669727578815811151922252831343740434649525558616467707376828558111519222528313437404346495255586164[Valor])</f>
        <v>0</v>
      </c>
      <c r="D44" s="4" t="s">
        <v>14</v>
      </c>
      <c r="E44" s="7">
        <f>SUM(F3-J31+C41+N31)</f>
        <v>218</v>
      </c>
      <c r="I44" s="4" t="s">
        <v>7</v>
      </c>
      <c r="J44" s="2">
        <f>SUM(J8+E41-N7)-G41</f>
        <v>7</v>
      </c>
      <c r="K44" s="2">
        <f>SUM(K8+E42-O7)-G42</f>
        <v>5</v>
      </c>
    </row>
  </sheetData>
  <dataValidations count="2">
    <dataValidation type="list" allowBlank="1" showInputMessage="1" showErrorMessage="1" sqref="B7:B16 B18:B36" xr:uid="{23FBB76B-8F85-4D8C-BD42-C5ABD8B05A6A}">
      <formula1>"Gás,Água,Gás completo,Água completa,Gás e Água, Recebimento"</formula1>
    </dataValidation>
    <dataValidation type="list" allowBlank="1" showInputMessage="1" showErrorMessage="1" sqref="F7:F36" xr:uid="{99E46F55-856D-4D8C-B464-15D6F51BEFF5}">
      <formula1>"Dinheiro,Cartão,Pix,Fiado,Pago"</formula1>
    </dataValidation>
  </dataValidations>
  <pageMargins left="0.511811024" right="0.511811024" top="0.78740157499999996" bottom="0.78740157499999996" header="0.31496062000000002" footer="0.31496062000000002"/>
  <pageSetup paperSize="0" orientation="portrait" horizontalDpi="203" verticalDpi="203" r:id="rId1"/>
  <drawing r:id="rId2"/>
  <tableParts count="3">
    <tablePart r:id="rId3"/>
    <tablePart r:id="rId4"/>
    <tablePart r:id="rId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A823E-DDAC-48BB-B144-8C60CA383D02}">
  <dimension ref="B2:O44"/>
  <sheetViews>
    <sheetView showGridLines="0" topLeftCell="A13" workbookViewId="0">
      <selection activeCell="C30" sqref="C30"/>
    </sheetView>
  </sheetViews>
  <sheetFormatPr defaultRowHeight="15" x14ac:dyDescent="0.25"/>
  <cols>
    <col min="2" max="2" width="14.7109375" customWidth="1"/>
    <col min="3" max="3" width="38.140625" customWidth="1"/>
    <col min="4" max="4" width="19.85546875" customWidth="1"/>
    <col min="5" max="5" width="21.85546875" customWidth="1"/>
    <col min="6" max="6" width="25.85546875" customWidth="1"/>
    <col min="7" max="7" width="16.7109375" customWidth="1"/>
    <col min="8" max="8" width="11.28515625" customWidth="1"/>
    <col min="9" max="9" width="21.85546875" customWidth="1"/>
    <col min="10" max="10" width="13.5703125" customWidth="1"/>
    <col min="11" max="11" width="12.28515625" customWidth="1"/>
    <col min="12" max="12" width="8.5703125" customWidth="1"/>
    <col min="13" max="13" width="19.7109375" customWidth="1"/>
    <col min="14" max="14" width="15.5703125" customWidth="1"/>
    <col min="15" max="15" width="13" customWidth="1"/>
  </cols>
  <sheetData>
    <row r="2" spans="2:15" ht="15.75" x14ac:dyDescent="0.25">
      <c r="E2" s="10" t="s">
        <v>4</v>
      </c>
      <c r="F2" s="3">
        <v>45189</v>
      </c>
    </row>
    <row r="3" spans="2:15" ht="15.75" x14ac:dyDescent="0.25">
      <c r="E3" s="10" t="s">
        <v>15</v>
      </c>
      <c r="F3" s="7"/>
    </row>
    <row r="4" spans="2:15" x14ac:dyDescent="0.25">
      <c r="J4" t="s">
        <v>19</v>
      </c>
      <c r="M4" t="s">
        <v>24</v>
      </c>
    </row>
    <row r="6" spans="2:15" x14ac:dyDescent="0.25">
      <c r="B6" s="6" t="s">
        <v>9</v>
      </c>
      <c r="C6" s="6" t="s">
        <v>0</v>
      </c>
      <c r="D6" s="6" t="s">
        <v>1</v>
      </c>
      <c r="E6" s="6" t="s">
        <v>2</v>
      </c>
      <c r="F6" s="6" t="s">
        <v>3</v>
      </c>
      <c r="G6" s="6" t="s">
        <v>26</v>
      </c>
      <c r="J6" s="4" t="s">
        <v>5</v>
      </c>
      <c r="K6" s="4" t="s">
        <v>8</v>
      </c>
      <c r="N6" s="4" t="s">
        <v>5</v>
      </c>
      <c r="O6" s="4" t="s">
        <v>8</v>
      </c>
    </row>
    <row r="7" spans="2:15" x14ac:dyDescent="0.25">
      <c r="B7" s="1" t="s">
        <v>5</v>
      </c>
      <c r="C7" s="1" t="s">
        <v>362</v>
      </c>
      <c r="D7" s="1"/>
      <c r="E7" s="8">
        <v>100</v>
      </c>
      <c r="F7" s="1"/>
      <c r="G7" s="1">
        <v>1</v>
      </c>
      <c r="I7" s="4" t="s">
        <v>6</v>
      </c>
      <c r="J7" s="1">
        <v>31</v>
      </c>
      <c r="K7" s="11">
        <v>17</v>
      </c>
      <c r="M7" s="4" t="s">
        <v>23</v>
      </c>
      <c r="N7" s="11">
        <v>10</v>
      </c>
      <c r="O7" s="11">
        <v>13</v>
      </c>
    </row>
    <row r="8" spans="2:15" x14ac:dyDescent="0.25">
      <c r="B8" s="1" t="s">
        <v>5</v>
      </c>
      <c r="C8" s="1" t="s">
        <v>144</v>
      </c>
      <c r="D8" s="1"/>
      <c r="E8" s="8">
        <v>95</v>
      </c>
      <c r="F8" s="1" t="s">
        <v>10</v>
      </c>
      <c r="G8" s="1">
        <v>1</v>
      </c>
      <c r="I8" s="4" t="s">
        <v>7</v>
      </c>
      <c r="J8" s="11">
        <v>10</v>
      </c>
      <c r="K8" s="11">
        <v>4</v>
      </c>
    </row>
    <row r="9" spans="2:15" x14ac:dyDescent="0.25">
      <c r="B9" s="1" t="s">
        <v>5</v>
      </c>
      <c r="C9" s="1" t="s">
        <v>363</v>
      </c>
      <c r="D9" s="1"/>
      <c r="E9" s="8">
        <v>95</v>
      </c>
      <c r="F9" s="1" t="s">
        <v>12</v>
      </c>
      <c r="G9" s="1">
        <v>1</v>
      </c>
    </row>
    <row r="10" spans="2:15" x14ac:dyDescent="0.25">
      <c r="B10" s="1" t="s">
        <v>8</v>
      </c>
      <c r="C10" s="1" t="s">
        <v>364</v>
      </c>
      <c r="D10" s="1"/>
      <c r="E10" s="8">
        <v>9</v>
      </c>
      <c r="F10" s="1"/>
      <c r="G10" s="1">
        <v>1</v>
      </c>
    </row>
    <row r="11" spans="2:15" x14ac:dyDescent="0.25">
      <c r="B11" s="1" t="s">
        <v>5</v>
      </c>
      <c r="C11" s="1" t="s">
        <v>365</v>
      </c>
      <c r="D11" s="1"/>
      <c r="E11" s="8">
        <v>100</v>
      </c>
      <c r="F11" s="1" t="s">
        <v>10</v>
      </c>
      <c r="G11" s="1">
        <v>1</v>
      </c>
    </row>
    <row r="12" spans="2:15" x14ac:dyDescent="0.25">
      <c r="B12" s="1" t="s">
        <v>8</v>
      </c>
      <c r="C12" s="1" t="s">
        <v>366</v>
      </c>
      <c r="D12" s="1"/>
      <c r="E12" s="8">
        <v>9</v>
      </c>
      <c r="F12" s="1"/>
      <c r="G12" s="1">
        <v>1</v>
      </c>
    </row>
    <row r="13" spans="2:15" x14ac:dyDescent="0.25">
      <c r="B13" s="1" t="s">
        <v>8</v>
      </c>
      <c r="C13" s="1"/>
      <c r="D13" s="1"/>
      <c r="E13" s="8">
        <v>9</v>
      </c>
      <c r="F13" s="1"/>
      <c r="G13" s="1">
        <v>1</v>
      </c>
      <c r="I13" t="s">
        <v>21</v>
      </c>
    </row>
    <row r="14" spans="2:15" x14ac:dyDescent="0.25">
      <c r="B14" s="1" t="s">
        <v>5</v>
      </c>
      <c r="C14" s="1">
        <v>169</v>
      </c>
      <c r="D14" s="1">
        <v>12</v>
      </c>
      <c r="E14" s="8">
        <v>100</v>
      </c>
      <c r="F14" s="1" t="s">
        <v>13</v>
      </c>
      <c r="G14" s="1">
        <v>1</v>
      </c>
    </row>
    <row r="15" spans="2:15" x14ac:dyDescent="0.25">
      <c r="B15" s="1" t="s">
        <v>5</v>
      </c>
      <c r="C15" s="1" t="s">
        <v>353</v>
      </c>
      <c r="D15" s="1"/>
      <c r="E15" s="8">
        <v>100</v>
      </c>
      <c r="F15" s="1" t="s">
        <v>13</v>
      </c>
      <c r="G15" s="1">
        <v>1</v>
      </c>
    </row>
    <row r="16" spans="2:15" x14ac:dyDescent="0.25">
      <c r="B16" s="1" t="s">
        <v>5</v>
      </c>
      <c r="C16" s="1"/>
      <c r="D16" s="1"/>
      <c r="E16" s="8">
        <v>80</v>
      </c>
      <c r="F16" s="1"/>
      <c r="G16" s="1">
        <v>1</v>
      </c>
      <c r="I16" s="5" t="s">
        <v>43</v>
      </c>
      <c r="J16" s="5" t="s">
        <v>44</v>
      </c>
      <c r="M16" s="5" t="s">
        <v>18</v>
      </c>
      <c r="N16" s="5" t="s">
        <v>2</v>
      </c>
    </row>
    <row r="17" spans="2:14" x14ac:dyDescent="0.25">
      <c r="B17" s="1" t="s">
        <v>5</v>
      </c>
      <c r="C17" s="1" t="s">
        <v>240</v>
      </c>
      <c r="D17" s="1"/>
      <c r="E17" s="8">
        <v>87</v>
      </c>
      <c r="F17" s="1" t="s">
        <v>10</v>
      </c>
      <c r="G17" s="1">
        <v>1</v>
      </c>
      <c r="I17" s="5"/>
      <c r="J17" s="7"/>
      <c r="M17" s="5"/>
      <c r="N17" s="12"/>
    </row>
    <row r="18" spans="2:14" x14ac:dyDescent="0.25">
      <c r="B18" s="1" t="s">
        <v>5</v>
      </c>
      <c r="C18" s="1" t="s">
        <v>354</v>
      </c>
      <c r="D18" s="1" t="s">
        <v>159</v>
      </c>
      <c r="E18" s="8">
        <v>150</v>
      </c>
      <c r="F18" s="1" t="s">
        <v>10</v>
      </c>
      <c r="G18" s="1">
        <v>2</v>
      </c>
      <c r="I18" s="5"/>
      <c r="J18" s="12"/>
      <c r="M18" s="5"/>
      <c r="N18" s="12"/>
    </row>
    <row r="19" spans="2:14" x14ac:dyDescent="0.25">
      <c r="B19" s="1" t="s">
        <v>5</v>
      </c>
      <c r="C19" s="1" t="s">
        <v>355</v>
      </c>
      <c r="D19" s="1"/>
      <c r="E19" s="8">
        <v>100</v>
      </c>
      <c r="F19" s="1" t="s">
        <v>13</v>
      </c>
      <c r="G19" s="1">
        <v>1</v>
      </c>
      <c r="I19" s="5"/>
      <c r="J19" s="12"/>
      <c r="M19" s="5"/>
      <c r="N19" s="12"/>
    </row>
    <row r="20" spans="2:14" x14ac:dyDescent="0.25">
      <c r="B20" s="1" t="s">
        <v>8</v>
      </c>
      <c r="C20" s="1"/>
      <c r="D20" s="1"/>
      <c r="E20" s="8">
        <v>18</v>
      </c>
      <c r="F20" s="1"/>
      <c r="G20" s="1">
        <v>2</v>
      </c>
      <c r="I20" s="5"/>
      <c r="J20" s="12"/>
      <c r="M20" s="5"/>
      <c r="N20" s="12"/>
    </row>
    <row r="21" spans="2:14" x14ac:dyDescent="0.25">
      <c r="B21" s="1" t="s">
        <v>8</v>
      </c>
      <c r="C21" s="1"/>
      <c r="D21" s="1"/>
      <c r="E21" s="8">
        <v>9</v>
      </c>
      <c r="F21" s="1"/>
      <c r="G21" s="1">
        <v>1</v>
      </c>
      <c r="I21" s="5"/>
      <c r="J21" s="12"/>
      <c r="M21" s="5"/>
      <c r="N21" s="12"/>
    </row>
    <row r="22" spans="2:14" x14ac:dyDescent="0.25">
      <c r="B22" s="1" t="s">
        <v>5</v>
      </c>
      <c r="C22" s="1" t="s">
        <v>357</v>
      </c>
      <c r="D22" s="1" t="s">
        <v>358</v>
      </c>
      <c r="E22" s="8">
        <v>97</v>
      </c>
      <c r="F22" s="1" t="s">
        <v>12</v>
      </c>
      <c r="G22" s="1">
        <v>1</v>
      </c>
      <c r="I22" s="5"/>
      <c r="J22" s="12"/>
      <c r="M22" s="5"/>
      <c r="N22" s="12"/>
    </row>
    <row r="23" spans="2:14" x14ac:dyDescent="0.25">
      <c r="B23" s="1" t="s">
        <v>5</v>
      </c>
      <c r="C23" s="1" t="s">
        <v>356</v>
      </c>
      <c r="D23" s="1" t="s">
        <v>182</v>
      </c>
      <c r="E23" s="8">
        <v>100</v>
      </c>
      <c r="F23" s="1" t="s">
        <v>10</v>
      </c>
      <c r="G23" s="1">
        <v>1</v>
      </c>
      <c r="I23" s="5"/>
      <c r="J23" s="12"/>
      <c r="M23" s="5"/>
      <c r="N23" s="12"/>
    </row>
    <row r="24" spans="2:14" x14ac:dyDescent="0.25">
      <c r="B24" s="1" t="s">
        <v>8</v>
      </c>
      <c r="C24" s="1" t="s">
        <v>218</v>
      </c>
      <c r="D24" s="1"/>
      <c r="E24" s="8">
        <v>9</v>
      </c>
      <c r="F24" s="1" t="s">
        <v>10</v>
      </c>
      <c r="G24" s="25">
        <v>1</v>
      </c>
      <c r="I24" s="5"/>
      <c r="J24" s="12"/>
      <c r="L24" s="14"/>
      <c r="M24" s="5"/>
      <c r="N24" s="12"/>
    </row>
    <row r="25" spans="2:14" x14ac:dyDescent="0.25">
      <c r="B25" s="1" t="s">
        <v>8</v>
      </c>
      <c r="C25" s="1" t="s">
        <v>359</v>
      </c>
      <c r="D25" s="1"/>
      <c r="E25" s="8">
        <v>9</v>
      </c>
      <c r="F25" s="1" t="s">
        <v>12</v>
      </c>
      <c r="G25" s="1">
        <v>1</v>
      </c>
      <c r="I25" s="5"/>
      <c r="J25" s="12"/>
      <c r="M25" s="5"/>
      <c r="N25" s="12"/>
    </row>
    <row r="26" spans="2:14" x14ac:dyDescent="0.25">
      <c r="B26" s="1" t="s">
        <v>8</v>
      </c>
      <c r="C26" s="1" t="s">
        <v>360</v>
      </c>
      <c r="D26" s="1"/>
      <c r="E26" s="8">
        <v>9</v>
      </c>
      <c r="F26" s="1" t="s">
        <v>10</v>
      </c>
      <c r="G26" s="1">
        <v>1</v>
      </c>
      <c r="I26" s="5"/>
      <c r="J26" s="12"/>
      <c r="M26" s="5"/>
      <c r="N26" s="12"/>
    </row>
    <row r="27" spans="2:14" x14ac:dyDescent="0.25">
      <c r="B27" s="1" t="s">
        <v>5</v>
      </c>
      <c r="C27" s="1" t="s">
        <v>361</v>
      </c>
      <c r="D27" s="1"/>
      <c r="E27" s="8">
        <v>100</v>
      </c>
      <c r="F27" s="1" t="s">
        <v>11</v>
      </c>
      <c r="G27" s="1">
        <v>1</v>
      </c>
      <c r="I27" s="5"/>
      <c r="J27" s="12"/>
      <c r="M27" s="5"/>
      <c r="N27" s="12"/>
    </row>
    <row r="28" spans="2:14" x14ac:dyDescent="0.25">
      <c r="B28" s="1" t="s">
        <v>5</v>
      </c>
      <c r="C28" s="1"/>
      <c r="D28" s="1"/>
      <c r="E28" s="8">
        <v>100</v>
      </c>
      <c r="F28" s="1" t="s">
        <v>11</v>
      </c>
      <c r="G28" s="1">
        <v>1</v>
      </c>
      <c r="I28" s="5"/>
      <c r="J28" s="12"/>
      <c r="M28" s="5"/>
      <c r="N28" s="12"/>
    </row>
    <row r="29" spans="2:14" x14ac:dyDescent="0.25">
      <c r="B29" s="1"/>
      <c r="C29" s="1"/>
      <c r="D29" s="1"/>
      <c r="E29" s="8"/>
      <c r="F29" s="1"/>
      <c r="G29" s="1"/>
      <c r="I29" s="5"/>
      <c r="J29" s="12"/>
      <c r="M29" s="5"/>
      <c r="N29" s="12"/>
    </row>
    <row r="30" spans="2:14" x14ac:dyDescent="0.25">
      <c r="B30" s="1"/>
      <c r="C30" s="1"/>
      <c r="D30" s="1"/>
      <c r="E30" s="8"/>
      <c r="F30" s="1"/>
      <c r="G30" s="1"/>
      <c r="I30" s="5"/>
      <c r="J30" s="5"/>
    </row>
    <row r="31" spans="2:14" ht="18.75" x14ac:dyDescent="0.4">
      <c r="B31" s="1"/>
      <c r="C31" s="1"/>
      <c r="D31" s="1"/>
      <c r="E31" s="8"/>
      <c r="F31" s="1"/>
      <c r="G31" s="1"/>
      <c r="I31" s="13" t="s">
        <v>22</v>
      </c>
      <c r="J31" s="15">
        <f>SUM(Tabela2781215192225283134374043464952555861646770737679269121720232629323538414447505356596265687174778326912172023262932353841444750535659[valor])</f>
        <v>0</v>
      </c>
      <c r="M31" s="13" t="s">
        <v>42</v>
      </c>
      <c r="N31" s="15">
        <f>SUM(Tabela27812131720232629323538414447505356596265687174778037101318212427303336394245485154576063666972757884371013182124273033363942454851545760[Valor])</f>
        <v>0</v>
      </c>
    </row>
    <row r="32" spans="2:14" x14ac:dyDescent="0.25">
      <c r="B32" s="1"/>
      <c r="C32" s="1"/>
      <c r="D32" s="1"/>
      <c r="E32" s="8"/>
      <c r="F32" s="1"/>
      <c r="G32" s="1"/>
      <c r="I32" s="5"/>
      <c r="J32" s="5"/>
    </row>
    <row r="33" spans="2:11" x14ac:dyDescent="0.25">
      <c r="B33" s="1"/>
      <c r="C33" s="1"/>
      <c r="D33" s="1"/>
      <c r="E33" s="8"/>
      <c r="F33" s="1"/>
      <c r="G33" s="1"/>
      <c r="I33" s="5"/>
      <c r="J33" s="5"/>
    </row>
    <row r="34" spans="2:11" x14ac:dyDescent="0.25">
      <c r="B34" s="1"/>
      <c r="C34" s="1"/>
      <c r="D34" s="1"/>
      <c r="E34" s="8"/>
      <c r="F34" s="1"/>
      <c r="G34" s="1"/>
      <c r="I34" s="5"/>
      <c r="J34" s="5"/>
    </row>
    <row r="35" spans="2:11" x14ac:dyDescent="0.25">
      <c r="B35" s="1"/>
      <c r="C35" s="1"/>
      <c r="D35" s="1"/>
      <c r="E35" s="8"/>
      <c r="F35" s="1"/>
      <c r="G35" s="1"/>
      <c r="I35" s="5"/>
      <c r="J35" s="5"/>
    </row>
    <row r="36" spans="2:11" x14ac:dyDescent="0.25">
      <c r="B36" s="1"/>
      <c r="C36" s="1"/>
      <c r="D36" s="1"/>
      <c r="E36" s="8"/>
      <c r="F36" s="1"/>
      <c r="G36" s="1"/>
      <c r="J36" s="5"/>
    </row>
    <row r="37" spans="2:11" x14ac:dyDescent="0.25">
      <c r="I37" s="5"/>
    </row>
    <row r="39" spans="2:11" x14ac:dyDescent="0.25">
      <c r="I39" s="9"/>
    </row>
    <row r="40" spans="2:11" x14ac:dyDescent="0.25">
      <c r="I40" t="s">
        <v>20</v>
      </c>
    </row>
    <row r="41" spans="2:11" x14ac:dyDescent="0.25">
      <c r="B41" s="4" t="s">
        <v>10</v>
      </c>
      <c r="C41" s="2">
        <f>SUMIF(Tabela165111821242730333639424548515457606366697275788158111519222528313437404346495255586164677073768285581115192225283134374043464952555861[Forma de Pagamento],"Dinheiro",Tabela165111821242730333639424548515457606366697275788158111519222528313437404346495255586164677073768285581115192225283134374043464952555861[Valor])</f>
        <v>550</v>
      </c>
      <c r="D41" s="4" t="s">
        <v>16</v>
      </c>
      <c r="E41" s="2">
        <f>SUMIF(Tabela165111821242730333639424548515457606366697275788158111519222528313437404346495255586164677073768285581115192225283134374043464952555861[Item],"Gás",Tabela165111821242730333639424548515457606366697275788158111519222528313437404346495255586164677073768285581115192225283134374043464952555861[QUANTIDADE])+G41</f>
        <v>15</v>
      </c>
      <c r="F41" s="4" t="s">
        <v>25</v>
      </c>
      <c r="G41" s="2">
        <f>SUMIF(Tabela165111821242730333639424548515457606366697275788158111519222528313437404346495255586164677073768285581115192225283134374043464952555861[Item],"Gás completo",Tabela165111821242730333639424548515457606366697275788158111519222528313437404346495255586164677073768285581115192225283134374043464952555861[QUANTIDADE])</f>
        <v>0</v>
      </c>
    </row>
    <row r="42" spans="2:11" x14ac:dyDescent="0.25">
      <c r="B42" s="4" t="s">
        <v>11</v>
      </c>
      <c r="C42" s="2">
        <f>SUMIF(Tabela165111821242730333639424548515457606366697275788158111519222528313437404346495255586164677073768285581115192225283134374043464952555861[Forma de Pagamento],"Cartão",Tabela165111821242730333639424548515457606366697275788158111519222528313437404346495255586164677073768285581115192225283134374043464952555861[Valor])</f>
        <v>200</v>
      </c>
      <c r="D42" s="4" t="s">
        <v>17</v>
      </c>
      <c r="E42" s="2">
        <f>SUMIF(Tabela165111821242730333639424548515457606366697275788158111519222528313437404346495255586164677073768285581115192225283134374043464952555861[Item],"Água",Tabela165111821242730333639424548515457606366697275788158111519222528313437404346495255586164677073768285581115192225283134374043464952555861[QUANTIDADE])+G42</f>
        <v>9</v>
      </c>
      <c r="F42" s="4" t="s">
        <v>27</v>
      </c>
      <c r="G42" s="2">
        <f>SUMIF(Tabela165111821242730333639424548515457606366697275788158111519222528313437404346495255586164677073768285581115192225283134374043464952555861[Item],"Água completa",Tabela165111821242730333639424548515457606366697275788158111519222528313437404346495255586164677073768285581115192225283134374043464952555861[QUANTIDADE])</f>
        <v>0</v>
      </c>
      <c r="J42" s="4" t="s">
        <v>5</v>
      </c>
      <c r="K42" s="4" t="s">
        <v>8</v>
      </c>
    </row>
    <row r="43" spans="2:11" x14ac:dyDescent="0.25">
      <c r="B43" s="4" t="s">
        <v>12</v>
      </c>
      <c r="C43" s="2">
        <f>SUMIF(Tabela165111821242730333639424548515457606366697275788158111519222528313437404346495255586164677073768285581115192225283134374043464952555861[Forma de Pagamento],"Pix",Tabela165111821242730333639424548515457606366697275788158111519222528313437404346495255586164677073768285581115192225283134374043464952555861[Valor])</f>
        <v>201</v>
      </c>
      <c r="I43" s="4" t="s">
        <v>6</v>
      </c>
      <c r="J43" s="1">
        <f>SUM(J7-E41+N7)</f>
        <v>26</v>
      </c>
      <c r="K43" s="2">
        <f>SUM(K7-E42+O7)</f>
        <v>21</v>
      </c>
    </row>
    <row r="44" spans="2:11" x14ac:dyDescent="0.25">
      <c r="B44" s="4" t="s">
        <v>13</v>
      </c>
      <c r="C44" s="2">
        <f>SUMIF(Tabela165111821242730333639424548515457606366697275788158111519222528313437404346495255586164677073768285581115192225283134374043464952555861[Forma de Pagamento],"Fiado",Tabela165111821242730333639424548515457606366697275788158111519222528313437404346495255586164677073768285581115192225283134374043464952555861[Valor])</f>
        <v>300</v>
      </c>
      <c r="D44" s="4" t="s">
        <v>14</v>
      </c>
      <c r="E44" s="7">
        <f>SUM(F3-J31+C41+N31)</f>
        <v>550</v>
      </c>
      <c r="I44" s="4" t="s">
        <v>7</v>
      </c>
      <c r="J44" s="2">
        <f>SUM(J8+E41-N7)-G41</f>
        <v>15</v>
      </c>
      <c r="K44" s="2">
        <f>SUM(K8+E42-O7)-G42</f>
        <v>0</v>
      </c>
    </row>
  </sheetData>
  <dataValidations count="2">
    <dataValidation type="list" allowBlank="1" showInputMessage="1" showErrorMessage="1" sqref="F7:F36" xr:uid="{FB289AB4-AD4E-4842-B879-3DD2020DC9E6}">
      <formula1>"Dinheiro,Cartão,Pix,Fiado,Pago"</formula1>
    </dataValidation>
    <dataValidation type="list" allowBlank="1" showInputMessage="1" showErrorMessage="1" sqref="B7:B16 B18:B36" xr:uid="{C70AB5CA-0DE1-476C-9DAD-CC162A72678C}">
      <formula1>"Gás,Água,Gás completo,Água completa,Gás e Água, Recebimento"</formula1>
    </dataValidation>
  </dataValidations>
  <pageMargins left="0.511811024" right="0.511811024" top="0.78740157499999996" bottom="0.78740157499999996" header="0.31496062000000002" footer="0.31496062000000002"/>
  <pageSetup paperSize="0" orientation="portrait" horizontalDpi="203" verticalDpi="203" r:id="rId1"/>
  <drawing r:id="rId2"/>
  <tableParts count="3">
    <tablePart r:id="rId3"/>
    <tablePart r:id="rId4"/>
    <tablePart r:id="rId5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81871-47C4-42A2-8CC0-6108BFBB15DF}">
  <dimension ref="B2:O44"/>
  <sheetViews>
    <sheetView showGridLines="0" topLeftCell="A4" workbookViewId="0">
      <selection activeCell="C18" sqref="C18"/>
    </sheetView>
  </sheetViews>
  <sheetFormatPr defaultRowHeight="15" x14ac:dyDescent="0.25"/>
  <cols>
    <col min="2" max="2" width="14.7109375" customWidth="1"/>
    <col min="3" max="3" width="38.140625" customWidth="1"/>
    <col min="4" max="4" width="19.85546875" customWidth="1"/>
    <col min="5" max="5" width="21.85546875" customWidth="1"/>
    <col min="6" max="6" width="25.85546875" customWidth="1"/>
    <col min="7" max="7" width="16.7109375" customWidth="1"/>
    <col min="8" max="8" width="11.28515625" customWidth="1"/>
    <col min="9" max="9" width="21.85546875" customWidth="1"/>
    <col min="10" max="10" width="13.5703125" customWidth="1"/>
    <col min="11" max="11" width="12.28515625" customWidth="1"/>
    <col min="12" max="12" width="8.5703125" customWidth="1"/>
    <col min="13" max="13" width="19.7109375" customWidth="1"/>
    <col min="14" max="14" width="15.5703125" customWidth="1"/>
    <col min="15" max="15" width="13" customWidth="1"/>
  </cols>
  <sheetData>
    <row r="2" spans="2:15" ht="15.75" x14ac:dyDescent="0.25">
      <c r="E2" s="10" t="s">
        <v>4</v>
      </c>
      <c r="F2" s="3">
        <v>45187</v>
      </c>
    </row>
    <row r="3" spans="2:15" ht="15.75" x14ac:dyDescent="0.25">
      <c r="E3" s="10" t="s">
        <v>15</v>
      </c>
      <c r="F3" s="7"/>
    </row>
    <row r="4" spans="2:15" x14ac:dyDescent="0.25">
      <c r="J4" t="s">
        <v>19</v>
      </c>
      <c r="M4" t="s">
        <v>24</v>
      </c>
    </row>
    <row r="6" spans="2:15" x14ac:dyDescent="0.25">
      <c r="B6" s="6" t="s">
        <v>9</v>
      </c>
      <c r="C6" s="6" t="s">
        <v>0</v>
      </c>
      <c r="D6" s="6" t="s">
        <v>1</v>
      </c>
      <c r="E6" s="6" t="s">
        <v>2</v>
      </c>
      <c r="F6" s="6" t="s">
        <v>3</v>
      </c>
      <c r="G6" s="6" t="s">
        <v>26</v>
      </c>
      <c r="J6" s="4" t="s">
        <v>5</v>
      </c>
      <c r="K6" s="4" t="s">
        <v>8</v>
      </c>
      <c r="N6" s="4" t="s">
        <v>5</v>
      </c>
      <c r="O6" s="4" t="s">
        <v>8</v>
      </c>
    </row>
    <row r="7" spans="2:15" x14ac:dyDescent="0.25">
      <c r="B7" s="1" t="s">
        <v>8</v>
      </c>
      <c r="C7" s="1" t="s">
        <v>350</v>
      </c>
      <c r="D7" s="1"/>
      <c r="E7" s="8">
        <v>9</v>
      </c>
      <c r="F7" s="1"/>
      <c r="G7" s="1">
        <v>1</v>
      </c>
      <c r="I7" s="4" t="s">
        <v>6</v>
      </c>
      <c r="J7" s="1">
        <v>20</v>
      </c>
      <c r="K7" s="11">
        <v>7</v>
      </c>
      <c r="M7" s="4" t="s">
        <v>23</v>
      </c>
      <c r="N7" s="11">
        <v>19</v>
      </c>
      <c r="O7" s="11"/>
    </row>
    <row r="8" spans="2:15" x14ac:dyDescent="0.25">
      <c r="B8" s="1" t="s">
        <v>8</v>
      </c>
      <c r="C8" s="1" t="s">
        <v>349</v>
      </c>
      <c r="D8" s="1"/>
      <c r="E8" s="8">
        <v>27</v>
      </c>
      <c r="F8" s="1" t="s">
        <v>12</v>
      </c>
      <c r="G8" s="1">
        <v>1</v>
      </c>
      <c r="I8" s="4" t="s">
        <v>7</v>
      </c>
      <c r="J8" s="11">
        <v>21</v>
      </c>
      <c r="K8" s="11">
        <v>8</v>
      </c>
    </row>
    <row r="9" spans="2:15" x14ac:dyDescent="0.25">
      <c r="B9" s="1" t="s">
        <v>5</v>
      </c>
      <c r="C9" s="1" t="s">
        <v>348</v>
      </c>
      <c r="D9" s="1"/>
      <c r="E9" s="8">
        <v>100</v>
      </c>
      <c r="F9" s="1" t="s">
        <v>12</v>
      </c>
      <c r="G9" s="1">
        <v>1</v>
      </c>
    </row>
    <row r="10" spans="2:15" x14ac:dyDescent="0.25">
      <c r="B10" s="1" t="s">
        <v>5</v>
      </c>
      <c r="C10" s="1" t="s">
        <v>347</v>
      </c>
      <c r="D10" s="1"/>
      <c r="E10" s="8">
        <v>100</v>
      </c>
      <c r="F10" s="1" t="s">
        <v>11</v>
      </c>
      <c r="G10" s="1">
        <v>1</v>
      </c>
    </row>
    <row r="11" spans="2:15" x14ac:dyDescent="0.25">
      <c r="B11" s="1" t="s">
        <v>8</v>
      </c>
      <c r="C11" s="1" t="s">
        <v>49</v>
      </c>
      <c r="D11" s="1"/>
      <c r="E11" s="8">
        <v>9</v>
      </c>
      <c r="F11" s="1" t="s">
        <v>12</v>
      </c>
      <c r="G11" s="1">
        <v>1</v>
      </c>
    </row>
    <row r="12" spans="2:15" x14ac:dyDescent="0.25">
      <c r="B12" s="1" t="s">
        <v>5</v>
      </c>
      <c r="C12" s="1">
        <v>115</v>
      </c>
      <c r="D12" s="1"/>
      <c r="E12" s="8">
        <v>100</v>
      </c>
      <c r="F12" s="1" t="s">
        <v>12</v>
      </c>
      <c r="G12" s="1">
        <v>1</v>
      </c>
    </row>
    <row r="13" spans="2:15" x14ac:dyDescent="0.25">
      <c r="B13" s="1" t="s">
        <v>5</v>
      </c>
      <c r="C13" s="1" t="s">
        <v>346</v>
      </c>
      <c r="D13" s="1"/>
      <c r="E13" s="8">
        <v>100</v>
      </c>
      <c r="F13" s="1" t="s">
        <v>12</v>
      </c>
      <c r="G13" s="1">
        <v>1</v>
      </c>
      <c r="I13" t="s">
        <v>21</v>
      </c>
    </row>
    <row r="14" spans="2:15" x14ac:dyDescent="0.25">
      <c r="B14" s="1" t="s">
        <v>5</v>
      </c>
      <c r="C14" s="1" t="s">
        <v>345</v>
      </c>
      <c r="D14" s="1"/>
      <c r="E14" s="8">
        <v>95</v>
      </c>
      <c r="F14" s="1" t="s">
        <v>11</v>
      </c>
      <c r="G14" s="1">
        <v>1</v>
      </c>
    </row>
    <row r="15" spans="2:15" x14ac:dyDescent="0.25">
      <c r="B15" s="1" t="s">
        <v>8</v>
      </c>
      <c r="C15" s="1" t="s">
        <v>285</v>
      </c>
      <c r="D15" s="1"/>
      <c r="E15" s="8">
        <v>9</v>
      </c>
      <c r="F15" s="1"/>
      <c r="G15" s="1">
        <v>1</v>
      </c>
    </row>
    <row r="16" spans="2:15" x14ac:dyDescent="0.25">
      <c r="B16" s="1" t="s">
        <v>5</v>
      </c>
      <c r="C16" s="1" t="s">
        <v>91</v>
      </c>
      <c r="D16" s="1"/>
      <c r="E16" s="8">
        <v>95</v>
      </c>
      <c r="F16" s="1" t="s">
        <v>11</v>
      </c>
      <c r="G16" s="1">
        <v>1</v>
      </c>
      <c r="I16" s="5" t="s">
        <v>43</v>
      </c>
      <c r="J16" s="5" t="s">
        <v>44</v>
      </c>
      <c r="M16" s="5" t="s">
        <v>18</v>
      </c>
      <c r="N16" s="5" t="s">
        <v>2</v>
      </c>
    </row>
    <row r="17" spans="2:14" x14ac:dyDescent="0.25">
      <c r="B17" s="1" t="s">
        <v>5</v>
      </c>
      <c r="C17" s="1" t="s">
        <v>351</v>
      </c>
      <c r="D17" s="1"/>
      <c r="E17" s="8">
        <v>100</v>
      </c>
      <c r="F17" s="1" t="s">
        <v>13</v>
      </c>
      <c r="G17" s="1">
        <v>1</v>
      </c>
      <c r="I17" s="5"/>
      <c r="J17" s="7"/>
      <c r="M17" s="5"/>
      <c r="N17" s="12"/>
    </row>
    <row r="18" spans="2:14" x14ac:dyDescent="0.25">
      <c r="B18" s="1" t="s">
        <v>5</v>
      </c>
      <c r="C18" s="1" t="s">
        <v>352</v>
      </c>
      <c r="D18" s="1"/>
      <c r="E18" s="8">
        <v>100</v>
      </c>
      <c r="F18" s="1" t="s">
        <v>13</v>
      </c>
      <c r="G18" s="1">
        <v>1</v>
      </c>
      <c r="I18" s="5"/>
      <c r="J18" s="12"/>
      <c r="M18" s="5"/>
      <c r="N18" s="12"/>
    </row>
    <row r="19" spans="2:14" x14ac:dyDescent="0.25">
      <c r="B19" s="1"/>
      <c r="C19" s="1"/>
      <c r="D19" s="1"/>
      <c r="E19" s="8"/>
      <c r="F19" s="1"/>
      <c r="G19" s="1"/>
      <c r="I19" s="5"/>
      <c r="J19" s="12"/>
      <c r="M19" s="5"/>
      <c r="N19" s="12"/>
    </row>
    <row r="20" spans="2:14" x14ac:dyDescent="0.25">
      <c r="B20" s="1"/>
      <c r="C20" s="1"/>
      <c r="D20" s="1"/>
      <c r="E20" s="8"/>
      <c r="F20" s="1"/>
      <c r="G20" s="1"/>
      <c r="I20" s="5"/>
      <c r="J20" s="12"/>
      <c r="M20" s="5"/>
      <c r="N20" s="12"/>
    </row>
    <row r="21" spans="2:14" x14ac:dyDescent="0.25">
      <c r="B21" s="1"/>
      <c r="C21" s="1"/>
      <c r="D21" s="1"/>
      <c r="E21" s="8"/>
      <c r="F21" s="1"/>
      <c r="G21" s="1"/>
      <c r="I21" s="5"/>
      <c r="J21" s="12"/>
      <c r="M21" s="5"/>
      <c r="N21" s="12"/>
    </row>
    <row r="22" spans="2:14" x14ac:dyDescent="0.25">
      <c r="B22" s="1"/>
      <c r="C22" s="1"/>
      <c r="D22" s="1"/>
      <c r="E22" s="8"/>
      <c r="F22" s="1"/>
      <c r="G22" s="1"/>
      <c r="I22" s="5"/>
      <c r="J22" s="12"/>
      <c r="M22" s="5"/>
      <c r="N22" s="12"/>
    </row>
    <row r="23" spans="2:14" x14ac:dyDescent="0.25">
      <c r="B23" s="1"/>
      <c r="C23" s="1"/>
      <c r="D23" s="1"/>
      <c r="E23" s="8"/>
      <c r="F23" s="1"/>
      <c r="G23" s="1"/>
      <c r="I23" s="5"/>
      <c r="J23" s="12"/>
      <c r="M23" s="5"/>
      <c r="N23" s="12"/>
    </row>
    <row r="24" spans="2:14" x14ac:dyDescent="0.25">
      <c r="B24" s="1"/>
      <c r="C24" s="1"/>
      <c r="D24" s="1"/>
      <c r="E24" s="8"/>
      <c r="F24" s="1"/>
      <c r="G24" s="25"/>
      <c r="I24" s="5"/>
      <c r="J24" s="12"/>
      <c r="L24" s="14"/>
      <c r="M24" s="5"/>
      <c r="N24" s="12"/>
    </row>
    <row r="25" spans="2:14" x14ac:dyDescent="0.25">
      <c r="B25" s="1"/>
      <c r="C25" s="1"/>
      <c r="D25" s="1"/>
      <c r="E25" s="8"/>
      <c r="F25" s="1"/>
      <c r="G25" s="1"/>
      <c r="I25" s="5"/>
      <c r="J25" s="12"/>
      <c r="M25" s="5"/>
      <c r="N25" s="12"/>
    </row>
    <row r="26" spans="2:14" x14ac:dyDescent="0.25">
      <c r="B26" s="1"/>
      <c r="C26" s="1"/>
      <c r="D26" s="1"/>
      <c r="E26" s="8"/>
      <c r="F26" s="1"/>
      <c r="G26" s="1"/>
      <c r="I26" s="5"/>
      <c r="J26" s="12"/>
      <c r="M26" s="5"/>
      <c r="N26" s="12"/>
    </row>
    <row r="27" spans="2:14" x14ac:dyDescent="0.25">
      <c r="B27" s="1"/>
      <c r="C27" s="1"/>
      <c r="D27" s="1"/>
      <c r="E27" s="8"/>
      <c r="F27" s="1"/>
      <c r="G27" s="1"/>
      <c r="I27" s="5"/>
      <c r="J27" s="12"/>
      <c r="M27" s="5"/>
      <c r="N27" s="12"/>
    </row>
    <row r="28" spans="2:14" x14ac:dyDescent="0.25">
      <c r="B28" s="1"/>
      <c r="C28" s="1"/>
      <c r="D28" s="1"/>
      <c r="E28" s="8"/>
      <c r="F28" s="1"/>
      <c r="G28" s="1"/>
      <c r="I28" s="5"/>
      <c r="J28" s="12"/>
      <c r="M28" s="5"/>
      <c r="N28" s="12"/>
    </row>
    <row r="29" spans="2:14" x14ac:dyDescent="0.25">
      <c r="B29" s="1"/>
      <c r="C29" s="1"/>
      <c r="D29" s="1"/>
      <c r="E29" s="8"/>
      <c r="F29" s="1"/>
      <c r="G29" s="1"/>
      <c r="I29" s="5"/>
      <c r="J29" s="12"/>
      <c r="M29" s="5"/>
      <c r="N29" s="12"/>
    </row>
    <row r="30" spans="2:14" x14ac:dyDescent="0.25">
      <c r="B30" s="1"/>
      <c r="C30" s="1"/>
      <c r="D30" s="1"/>
      <c r="E30" s="8"/>
      <c r="F30" s="1"/>
      <c r="G30" s="1"/>
      <c r="I30" s="5"/>
      <c r="J30" s="5"/>
    </row>
    <row r="31" spans="2:14" ht="18.75" x14ac:dyDescent="0.4">
      <c r="B31" s="1"/>
      <c r="C31" s="1"/>
      <c r="D31" s="1"/>
      <c r="E31" s="8"/>
      <c r="F31" s="1"/>
      <c r="G31" s="1"/>
      <c r="I31" s="13" t="s">
        <v>22</v>
      </c>
      <c r="J31" s="15">
        <f>SUM(Tabela27812151922252831343740434649525558616467707376792691217202326293235384144475053565962656871747783269121720232629323538414447505356[valor])</f>
        <v>0</v>
      </c>
      <c r="M31" s="13" t="s">
        <v>42</v>
      </c>
      <c r="N31" s="15">
        <f>SUM(Tabela278121317202326293235384144475053565962656871747780371013182124273033363942454851545760636669727578843710131821242730333639424548515457[Valor])</f>
        <v>0</v>
      </c>
    </row>
    <row r="32" spans="2:14" x14ac:dyDescent="0.25">
      <c r="B32" s="1"/>
      <c r="C32" s="1"/>
      <c r="D32" s="1"/>
      <c r="E32" s="8"/>
      <c r="F32" s="1"/>
      <c r="G32" s="1"/>
      <c r="I32" s="5"/>
      <c r="J32" s="5"/>
    </row>
    <row r="33" spans="2:11" x14ac:dyDescent="0.25">
      <c r="B33" s="1"/>
      <c r="C33" s="1"/>
      <c r="D33" s="1"/>
      <c r="E33" s="8"/>
      <c r="F33" s="1"/>
      <c r="G33" s="1"/>
      <c r="I33" s="5"/>
      <c r="J33" s="5"/>
    </row>
    <row r="34" spans="2:11" x14ac:dyDescent="0.25">
      <c r="B34" s="1"/>
      <c r="C34" s="1"/>
      <c r="D34" s="1"/>
      <c r="E34" s="8"/>
      <c r="F34" s="1"/>
      <c r="G34" s="1"/>
      <c r="I34" s="5"/>
      <c r="J34" s="5"/>
    </row>
    <row r="35" spans="2:11" x14ac:dyDescent="0.25">
      <c r="B35" s="1"/>
      <c r="C35" s="1"/>
      <c r="D35" s="1"/>
      <c r="E35" s="8"/>
      <c r="F35" s="1"/>
      <c r="G35" s="1"/>
      <c r="I35" s="5"/>
      <c r="J35" s="5"/>
    </row>
    <row r="36" spans="2:11" x14ac:dyDescent="0.25">
      <c r="B36" s="1"/>
      <c r="C36" s="1"/>
      <c r="D36" s="1"/>
      <c r="E36" s="8"/>
      <c r="F36" s="1"/>
      <c r="G36" s="1"/>
      <c r="J36" s="5"/>
    </row>
    <row r="37" spans="2:11" x14ac:dyDescent="0.25">
      <c r="I37" s="5"/>
    </row>
    <row r="39" spans="2:11" x14ac:dyDescent="0.25">
      <c r="I39" s="9"/>
    </row>
    <row r="40" spans="2:11" x14ac:dyDescent="0.25">
      <c r="I40" t="s">
        <v>20</v>
      </c>
    </row>
    <row r="41" spans="2:11" x14ac:dyDescent="0.25">
      <c r="B41" s="4" t="s">
        <v>10</v>
      </c>
      <c r="C41" s="2">
        <f>SUMIF(Tabela1651118212427303336394245485154576063666972757881581115192225283134374043464952555861646770737682855811151922252831343740434649525558[Forma de Pagamento],"Dinheiro",Tabela1651118212427303336394245485154576063666972757881581115192225283134374043464952555861646770737682855811151922252831343740434649525558[Valor])</f>
        <v>0</v>
      </c>
      <c r="D41" s="4" t="s">
        <v>16</v>
      </c>
      <c r="E41" s="2">
        <f>SUMIF(Tabela1651118212427303336394245485154576063666972757881581115192225283134374043464952555861646770737682855811151922252831343740434649525558[Item],"Gás",Tabela1651118212427303336394245485154576063666972757881581115192225283134374043464952555861646770737682855811151922252831343740434649525558[QUANTIDADE])+G41</f>
        <v>8</v>
      </c>
      <c r="F41" s="4" t="s">
        <v>25</v>
      </c>
      <c r="G41" s="2">
        <f>SUMIF(Tabela1651118212427303336394245485154576063666972757881581115192225283134374043464952555861646770737682855811151922252831343740434649525558[Item],"Gás completo",Tabela1651118212427303336394245485154576063666972757881581115192225283134374043464952555861646770737682855811151922252831343740434649525558[QUANTIDADE])</f>
        <v>0</v>
      </c>
    </row>
    <row r="42" spans="2:11" x14ac:dyDescent="0.25">
      <c r="B42" s="4" t="s">
        <v>11</v>
      </c>
      <c r="C42" s="2">
        <f>SUMIF(Tabela1651118212427303336394245485154576063666972757881581115192225283134374043464952555861646770737682855811151922252831343740434649525558[Forma de Pagamento],"Cartão",Tabela1651118212427303336394245485154576063666972757881581115192225283134374043464952555861646770737682855811151922252831343740434649525558[Valor])</f>
        <v>290</v>
      </c>
      <c r="D42" s="4" t="s">
        <v>17</v>
      </c>
      <c r="E42" s="2">
        <f>SUMIF(Tabela1651118212427303336394245485154576063666972757881581115192225283134374043464952555861646770737682855811151922252831343740434649525558[Item],"Água",Tabela1651118212427303336394245485154576063666972757881581115192225283134374043464952555861646770737682855811151922252831343740434649525558[QUANTIDADE])+G42</f>
        <v>4</v>
      </c>
      <c r="F42" s="4" t="s">
        <v>27</v>
      </c>
      <c r="G42" s="2">
        <f>SUMIF(Tabela1651118212427303336394245485154576063666972757881581115192225283134374043464952555861646770737682855811151922252831343740434649525558[Item],"Água completa",Tabela1651118212427303336394245485154576063666972757881581115192225283134374043464952555861646770737682855811151922252831343740434649525558[QUANTIDADE])</f>
        <v>0</v>
      </c>
      <c r="J42" s="4" t="s">
        <v>5</v>
      </c>
      <c r="K42" s="4" t="s">
        <v>8</v>
      </c>
    </row>
    <row r="43" spans="2:11" x14ac:dyDescent="0.25">
      <c r="B43" s="4" t="s">
        <v>12</v>
      </c>
      <c r="C43" s="2">
        <f>SUMIF(Tabela1651118212427303336394245485154576063666972757881581115192225283134374043464952555861646770737682855811151922252831343740434649525558[Forma de Pagamento],"Pix",Tabela1651118212427303336394245485154576063666972757881581115192225283134374043464952555861646770737682855811151922252831343740434649525558[Valor])</f>
        <v>336</v>
      </c>
      <c r="I43" s="4" t="s">
        <v>6</v>
      </c>
      <c r="J43" s="1">
        <f>SUM(J7-E41+N7)</f>
        <v>31</v>
      </c>
      <c r="K43" s="2">
        <f>SUM(K7-E42+O7)</f>
        <v>3</v>
      </c>
    </row>
    <row r="44" spans="2:11" x14ac:dyDescent="0.25">
      <c r="B44" s="4" t="s">
        <v>13</v>
      </c>
      <c r="C44" s="2">
        <f>SUMIF(Tabela1651118212427303336394245485154576063666972757881581115192225283134374043464952555861646770737682855811151922252831343740434649525558[Forma de Pagamento],"Fiado",Tabela1651118212427303336394245485154576063666972757881581115192225283134374043464952555861646770737682855811151922252831343740434649525558[Valor])</f>
        <v>200</v>
      </c>
      <c r="D44" s="4" t="s">
        <v>14</v>
      </c>
      <c r="E44" s="7">
        <f>SUM(F3-J31+C41+N31)</f>
        <v>0</v>
      </c>
      <c r="I44" s="4" t="s">
        <v>7</v>
      </c>
      <c r="J44" s="2">
        <f>SUM(J8+E41-N7)-G41</f>
        <v>10</v>
      </c>
      <c r="K44" s="2">
        <f>SUM(K8+E42-O7)-G42</f>
        <v>12</v>
      </c>
    </row>
  </sheetData>
  <dataValidations count="2">
    <dataValidation type="list" allowBlank="1" showInputMessage="1" showErrorMessage="1" sqref="B7:B16 B18:B36" xr:uid="{F33885F3-8F1E-4944-9345-8B429E0A3610}">
      <formula1>"Gás,Água,Gás completo,Água completa,Gás e Água, Recebimento"</formula1>
    </dataValidation>
    <dataValidation type="list" allowBlank="1" showInputMessage="1" showErrorMessage="1" sqref="F7:F36" xr:uid="{53C61AC1-E00A-4C70-93E3-3731B6B24EA4}">
      <formula1>"Dinheiro,Cartão,Pix,Fiado,Pago"</formula1>
    </dataValidation>
  </dataValidations>
  <pageMargins left="0.511811024" right="0.511811024" top="0.78740157499999996" bottom="0.78740157499999996" header="0.31496062000000002" footer="0.31496062000000002"/>
  <pageSetup paperSize="0" orientation="portrait" horizontalDpi="203" verticalDpi="203" r:id="rId1"/>
  <drawing r:id="rId2"/>
  <tableParts count="3">
    <tablePart r:id="rId3"/>
    <tablePart r:id="rId4"/>
    <tablePart r:id="rId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443E8-AD65-4860-A5E2-16878D8EB376}">
  <dimension ref="B2:O44"/>
  <sheetViews>
    <sheetView showGridLines="0" topLeftCell="A4" workbookViewId="0">
      <selection activeCell="D31" sqref="D31"/>
    </sheetView>
  </sheetViews>
  <sheetFormatPr defaultRowHeight="15" x14ac:dyDescent="0.25"/>
  <cols>
    <col min="2" max="2" width="14.7109375" customWidth="1"/>
    <col min="3" max="3" width="38.140625" customWidth="1"/>
    <col min="4" max="4" width="19.85546875" customWidth="1"/>
    <col min="5" max="5" width="21.85546875" customWidth="1"/>
    <col min="6" max="6" width="25.85546875" customWidth="1"/>
    <col min="7" max="7" width="16.7109375" customWidth="1"/>
    <col min="8" max="8" width="11.28515625" customWidth="1"/>
    <col min="9" max="9" width="21.85546875" customWidth="1"/>
    <col min="10" max="10" width="13.5703125" customWidth="1"/>
    <col min="11" max="11" width="12.28515625" customWidth="1"/>
    <col min="12" max="12" width="8.5703125" customWidth="1"/>
    <col min="13" max="13" width="19.7109375" customWidth="1"/>
    <col min="14" max="14" width="15.5703125" customWidth="1"/>
    <col min="15" max="15" width="13" customWidth="1"/>
  </cols>
  <sheetData>
    <row r="2" spans="2:15" ht="15.75" x14ac:dyDescent="0.25">
      <c r="E2" s="10" t="s">
        <v>4</v>
      </c>
      <c r="F2" s="3">
        <v>45187</v>
      </c>
    </row>
    <row r="3" spans="2:15" ht="15.75" x14ac:dyDescent="0.25">
      <c r="E3" s="10" t="s">
        <v>15</v>
      </c>
      <c r="F3" s="7"/>
    </row>
    <row r="4" spans="2:15" x14ac:dyDescent="0.25">
      <c r="J4" t="s">
        <v>19</v>
      </c>
      <c r="M4" t="s">
        <v>24</v>
      </c>
    </row>
    <row r="6" spans="2:15" x14ac:dyDescent="0.25">
      <c r="B6" s="6" t="s">
        <v>9</v>
      </c>
      <c r="C6" s="6" t="s">
        <v>0</v>
      </c>
      <c r="D6" s="6" t="s">
        <v>1</v>
      </c>
      <c r="E6" s="6" t="s">
        <v>2</v>
      </c>
      <c r="F6" s="6" t="s">
        <v>3</v>
      </c>
      <c r="G6" s="6" t="s">
        <v>26</v>
      </c>
      <c r="J6" s="4" t="s">
        <v>5</v>
      </c>
      <c r="K6" s="4" t="s">
        <v>8</v>
      </c>
      <c r="N6" s="4" t="s">
        <v>5</v>
      </c>
      <c r="O6" s="4" t="s">
        <v>8</v>
      </c>
    </row>
    <row r="7" spans="2:15" x14ac:dyDescent="0.25">
      <c r="B7" s="1" t="s">
        <v>5</v>
      </c>
      <c r="C7" s="1" t="s">
        <v>337</v>
      </c>
      <c r="D7" s="1"/>
      <c r="E7" s="8">
        <v>100</v>
      </c>
      <c r="F7" s="1" t="s">
        <v>10</v>
      </c>
      <c r="G7" s="1">
        <v>1</v>
      </c>
      <c r="I7" s="4" t="s">
        <v>6</v>
      </c>
      <c r="J7" s="1">
        <v>9</v>
      </c>
      <c r="K7" s="11">
        <v>5</v>
      </c>
      <c r="M7" s="4" t="s">
        <v>23</v>
      </c>
      <c r="N7" s="11">
        <v>20</v>
      </c>
      <c r="O7" s="11"/>
    </row>
    <row r="8" spans="2:15" x14ac:dyDescent="0.25">
      <c r="B8" s="1" t="s">
        <v>8</v>
      </c>
      <c r="C8" s="1" t="s">
        <v>336</v>
      </c>
      <c r="D8" s="1"/>
      <c r="E8" s="8">
        <v>7</v>
      </c>
      <c r="F8" s="1"/>
      <c r="G8" s="1">
        <v>1</v>
      </c>
      <c r="I8" s="4" t="s">
        <v>7</v>
      </c>
      <c r="J8" s="11">
        <v>33</v>
      </c>
      <c r="K8" s="11">
        <v>4</v>
      </c>
    </row>
    <row r="9" spans="2:15" x14ac:dyDescent="0.25">
      <c r="B9" s="1" t="s">
        <v>8</v>
      </c>
      <c r="C9" s="1" t="s">
        <v>144</v>
      </c>
      <c r="D9" s="1"/>
      <c r="E9" s="8">
        <v>14</v>
      </c>
      <c r="F9" s="1"/>
      <c r="G9" s="1">
        <v>2</v>
      </c>
    </row>
    <row r="10" spans="2:15" x14ac:dyDescent="0.25">
      <c r="B10" s="1" t="s">
        <v>5</v>
      </c>
      <c r="C10" s="1" t="s">
        <v>332</v>
      </c>
      <c r="D10" s="1" t="s">
        <v>333</v>
      </c>
      <c r="E10" s="8">
        <v>95</v>
      </c>
      <c r="F10" s="1" t="s">
        <v>12</v>
      </c>
      <c r="G10" s="1">
        <v>1</v>
      </c>
    </row>
    <row r="11" spans="2:15" x14ac:dyDescent="0.25">
      <c r="B11" s="1" t="s">
        <v>8</v>
      </c>
      <c r="C11" s="1" t="s">
        <v>170</v>
      </c>
      <c r="D11" s="1"/>
      <c r="E11" s="8">
        <v>9</v>
      </c>
      <c r="F11" s="1" t="s">
        <v>12</v>
      </c>
      <c r="G11" s="1">
        <v>1</v>
      </c>
    </row>
    <row r="12" spans="2:15" x14ac:dyDescent="0.25">
      <c r="B12" s="1" t="s">
        <v>8</v>
      </c>
      <c r="C12" s="1">
        <v>115</v>
      </c>
      <c r="D12" s="1"/>
      <c r="E12" s="8">
        <v>9</v>
      </c>
      <c r="F12" s="1" t="s">
        <v>12</v>
      </c>
      <c r="G12" s="1">
        <v>1</v>
      </c>
    </row>
    <row r="13" spans="2:15" x14ac:dyDescent="0.25">
      <c r="B13" s="1" t="s">
        <v>5</v>
      </c>
      <c r="C13" s="1" t="s">
        <v>91</v>
      </c>
      <c r="D13" s="1"/>
      <c r="E13" s="8">
        <v>100</v>
      </c>
      <c r="F13" s="1" t="s">
        <v>13</v>
      </c>
      <c r="G13" s="1">
        <v>1</v>
      </c>
      <c r="I13" t="s">
        <v>21</v>
      </c>
    </row>
    <row r="14" spans="2:15" x14ac:dyDescent="0.25">
      <c r="B14" s="1" t="s">
        <v>5</v>
      </c>
      <c r="C14" s="1" t="s">
        <v>334</v>
      </c>
      <c r="D14" s="1"/>
      <c r="E14" s="8">
        <v>100</v>
      </c>
      <c r="F14" s="1"/>
      <c r="G14" s="1">
        <v>1</v>
      </c>
    </row>
    <row r="15" spans="2:15" x14ac:dyDescent="0.25">
      <c r="B15" s="1" t="s">
        <v>5</v>
      </c>
      <c r="C15" s="1" t="s">
        <v>335</v>
      </c>
      <c r="D15" s="1"/>
      <c r="E15" s="8">
        <v>100</v>
      </c>
      <c r="F15" s="1" t="s">
        <v>10</v>
      </c>
      <c r="G15" s="1">
        <v>1</v>
      </c>
    </row>
    <row r="16" spans="2:15" x14ac:dyDescent="0.25">
      <c r="B16" s="1" t="s">
        <v>5</v>
      </c>
      <c r="C16" s="1" t="s">
        <v>338</v>
      </c>
      <c r="D16" s="1"/>
      <c r="E16" s="8">
        <v>118</v>
      </c>
      <c r="F16" s="1" t="s">
        <v>12</v>
      </c>
      <c r="G16" s="1">
        <v>1</v>
      </c>
      <c r="I16" s="5" t="s">
        <v>43</v>
      </c>
      <c r="J16" s="5" t="s">
        <v>44</v>
      </c>
      <c r="M16" s="5" t="s">
        <v>18</v>
      </c>
      <c r="N16" s="5" t="s">
        <v>2</v>
      </c>
    </row>
    <row r="17" spans="2:14" x14ac:dyDescent="0.25">
      <c r="B17" s="1" t="s">
        <v>5</v>
      </c>
      <c r="C17" s="1" t="s">
        <v>93</v>
      </c>
      <c r="D17" s="1"/>
      <c r="E17" s="8">
        <v>100</v>
      </c>
      <c r="F17" s="1" t="s">
        <v>13</v>
      </c>
      <c r="G17" s="1">
        <v>1</v>
      </c>
      <c r="I17" s="5"/>
      <c r="J17" s="7"/>
      <c r="M17" s="5"/>
      <c r="N17" s="12">
        <v>100</v>
      </c>
    </row>
    <row r="18" spans="2:14" x14ac:dyDescent="0.25">
      <c r="B18" s="1" t="s">
        <v>8</v>
      </c>
      <c r="C18" s="1" t="s">
        <v>339</v>
      </c>
      <c r="D18" s="1"/>
      <c r="E18" s="8">
        <v>9</v>
      </c>
      <c r="F18" s="1"/>
      <c r="G18" s="1">
        <v>1</v>
      </c>
      <c r="I18" s="5"/>
      <c r="J18" s="12"/>
      <c r="M18" s="5"/>
      <c r="N18" s="12"/>
    </row>
    <row r="19" spans="2:14" x14ac:dyDescent="0.25">
      <c r="B19" s="1" t="s">
        <v>8</v>
      </c>
      <c r="C19" s="1" t="s">
        <v>340</v>
      </c>
      <c r="D19" s="1"/>
      <c r="E19" s="8">
        <v>9</v>
      </c>
      <c r="F19" s="1"/>
      <c r="G19" s="1">
        <v>1</v>
      </c>
      <c r="I19" s="5"/>
      <c r="J19" s="12"/>
      <c r="M19" s="5"/>
      <c r="N19" s="12"/>
    </row>
    <row r="20" spans="2:14" x14ac:dyDescent="0.25">
      <c r="B20" s="1" t="s">
        <v>8</v>
      </c>
      <c r="C20" s="1" t="s">
        <v>341</v>
      </c>
      <c r="D20" s="1"/>
      <c r="E20" s="8">
        <v>9</v>
      </c>
      <c r="F20" s="1"/>
      <c r="G20" s="1">
        <v>1</v>
      </c>
      <c r="I20" s="5"/>
      <c r="J20" s="12"/>
      <c r="M20" s="5"/>
      <c r="N20" s="12"/>
    </row>
    <row r="21" spans="2:14" x14ac:dyDescent="0.25">
      <c r="B21" s="1" t="s">
        <v>5</v>
      </c>
      <c r="C21" s="1" t="s">
        <v>342</v>
      </c>
      <c r="D21" s="1"/>
      <c r="E21" s="8">
        <v>100</v>
      </c>
      <c r="F21" s="1" t="s">
        <v>12</v>
      </c>
      <c r="G21" s="1">
        <v>1</v>
      </c>
      <c r="I21" s="5"/>
      <c r="J21" s="12"/>
      <c r="M21" s="5"/>
      <c r="N21" s="12"/>
    </row>
    <row r="22" spans="2:14" x14ac:dyDescent="0.25">
      <c r="B22" s="1" t="s">
        <v>8</v>
      </c>
      <c r="C22" s="1" t="s">
        <v>343</v>
      </c>
      <c r="D22" s="1"/>
      <c r="E22" s="8">
        <v>9</v>
      </c>
      <c r="F22" s="1" t="s">
        <v>11</v>
      </c>
      <c r="G22" s="1">
        <v>1</v>
      </c>
      <c r="I22" s="5"/>
      <c r="J22" s="12"/>
      <c r="M22" s="5"/>
      <c r="N22" s="12"/>
    </row>
    <row r="23" spans="2:14" x14ac:dyDescent="0.25">
      <c r="B23" s="1" t="s">
        <v>5</v>
      </c>
      <c r="C23" s="1" t="s">
        <v>344</v>
      </c>
      <c r="D23" s="1"/>
      <c r="E23" s="8">
        <v>100</v>
      </c>
      <c r="F23" s="1" t="s">
        <v>13</v>
      </c>
      <c r="G23" s="1">
        <v>1</v>
      </c>
      <c r="I23" s="5"/>
      <c r="J23" s="12"/>
      <c r="M23" s="5"/>
      <c r="N23" s="12"/>
    </row>
    <row r="24" spans="2:14" x14ac:dyDescent="0.25">
      <c r="B24" s="1"/>
      <c r="C24" s="1"/>
      <c r="D24" s="1"/>
      <c r="E24" s="8"/>
      <c r="F24" s="1"/>
      <c r="G24" s="25"/>
      <c r="I24" s="5"/>
      <c r="J24" s="12"/>
      <c r="L24" s="14"/>
      <c r="M24" s="5"/>
      <c r="N24" s="12"/>
    </row>
    <row r="25" spans="2:14" x14ac:dyDescent="0.25">
      <c r="B25" s="1"/>
      <c r="C25" s="1"/>
      <c r="D25" s="1"/>
      <c r="E25" s="8"/>
      <c r="F25" s="1"/>
      <c r="G25" s="1"/>
      <c r="I25" s="5"/>
      <c r="J25" s="12"/>
      <c r="M25" s="5"/>
      <c r="N25" s="12"/>
    </row>
    <row r="26" spans="2:14" x14ac:dyDescent="0.25">
      <c r="B26" s="1"/>
      <c r="C26" s="1"/>
      <c r="D26" s="1"/>
      <c r="E26" s="8"/>
      <c r="F26" s="1"/>
      <c r="G26" s="1"/>
      <c r="I26" s="5"/>
      <c r="J26" s="12"/>
      <c r="M26" s="5"/>
      <c r="N26" s="12"/>
    </row>
    <row r="27" spans="2:14" x14ac:dyDescent="0.25">
      <c r="B27" s="1"/>
      <c r="C27" s="1"/>
      <c r="D27" s="1"/>
      <c r="E27" s="8"/>
      <c r="F27" s="1"/>
      <c r="G27" s="1"/>
      <c r="I27" s="5"/>
      <c r="J27" s="12"/>
      <c r="M27" s="5"/>
      <c r="N27" s="12"/>
    </row>
    <row r="28" spans="2:14" x14ac:dyDescent="0.25">
      <c r="B28" s="1"/>
      <c r="C28" s="1"/>
      <c r="D28" s="1"/>
      <c r="E28" s="8"/>
      <c r="F28" s="1"/>
      <c r="G28" s="1"/>
      <c r="I28" s="5"/>
      <c r="J28" s="12"/>
      <c r="M28" s="5"/>
      <c r="N28" s="12"/>
    </row>
    <row r="29" spans="2:14" x14ac:dyDescent="0.25">
      <c r="B29" s="1"/>
      <c r="C29" s="1"/>
      <c r="D29" s="1"/>
      <c r="E29" s="8"/>
      <c r="F29" s="1"/>
      <c r="G29" s="1"/>
      <c r="I29" s="5"/>
      <c r="J29" s="12"/>
      <c r="M29" s="5"/>
      <c r="N29" s="12"/>
    </row>
    <row r="30" spans="2:14" x14ac:dyDescent="0.25">
      <c r="B30" s="1"/>
      <c r="C30" s="1"/>
      <c r="D30" s="1"/>
      <c r="E30" s="8"/>
      <c r="F30" s="1"/>
      <c r="G30" s="1"/>
      <c r="I30" s="5"/>
      <c r="J30" s="5"/>
    </row>
    <row r="31" spans="2:14" ht="18.75" x14ac:dyDescent="0.4">
      <c r="B31" s="1"/>
      <c r="C31" s="1"/>
      <c r="D31" s="1"/>
      <c r="E31" s="8"/>
      <c r="F31" s="1"/>
      <c r="G31" s="1"/>
      <c r="I31" s="13" t="s">
        <v>22</v>
      </c>
      <c r="J31" s="15">
        <f>SUM(Tabela278121519222528313437404346495255586164677073767926912172023262932353841444750535659626568717477832691217202326293235384144475053[valor])</f>
        <v>0</v>
      </c>
      <c r="M31" s="13" t="s">
        <v>42</v>
      </c>
      <c r="N31" s="15">
        <f>SUM(Tabela2781213172023262932353841444750535659626568717477803710131821242730333639424548515457606366697275788437101318212427303336394245485154[Valor])</f>
        <v>100</v>
      </c>
    </row>
    <row r="32" spans="2:14" x14ac:dyDescent="0.25">
      <c r="B32" s="1"/>
      <c r="C32" s="1"/>
      <c r="D32" s="1"/>
      <c r="E32" s="8"/>
      <c r="F32" s="1"/>
      <c r="G32" s="1"/>
      <c r="I32" s="5"/>
      <c r="J32" s="5"/>
    </row>
    <row r="33" spans="2:11" x14ac:dyDescent="0.25">
      <c r="B33" s="1"/>
      <c r="C33" s="1"/>
      <c r="D33" s="1"/>
      <c r="E33" s="8"/>
      <c r="F33" s="1"/>
      <c r="G33" s="1"/>
      <c r="I33" s="5"/>
      <c r="J33" s="5"/>
    </row>
    <row r="34" spans="2:11" x14ac:dyDescent="0.25">
      <c r="B34" s="1"/>
      <c r="C34" s="1"/>
      <c r="D34" s="1"/>
      <c r="E34" s="8"/>
      <c r="F34" s="1"/>
      <c r="G34" s="1"/>
      <c r="I34" s="5"/>
      <c r="J34" s="5"/>
    </row>
    <row r="35" spans="2:11" x14ac:dyDescent="0.25">
      <c r="B35" s="1"/>
      <c r="C35" s="1"/>
      <c r="D35" s="1"/>
      <c r="E35" s="8"/>
      <c r="F35" s="1"/>
      <c r="G35" s="1"/>
      <c r="I35" s="5"/>
      <c r="J35" s="5"/>
    </row>
    <row r="36" spans="2:11" x14ac:dyDescent="0.25">
      <c r="B36" s="1"/>
      <c r="C36" s="1"/>
      <c r="D36" s="1"/>
      <c r="E36" s="8"/>
      <c r="F36" s="1"/>
      <c r="G36" s="1"/>
      <c r="J36" s="5"/>
    </row>
    <row r="37" spans="2:11" x14ac:dyDescent="0.25">
      <c r="I37" s="5"/>
    </row>
    <row r="39" spans="2:11" x14ac:dyDescent="0.25">
      <c r="I39" s="9"/>
    </row>
    <row r="40" spans="2:11" x14ac:dyDescent="0.25">
      <c r="I40" t="s">
        <v>20</v>
      </c>
    </row>
    <row r="41" spans="2:11" x14ac:dyDescent="0.25">
      <c r="B41" s="4" t="s">
        <v>10</v>
      </c>
      <c r="C41" s="2">
        <f>SUMIF(Tabela16511182124273033363942454851545760636669727578815811151922252831343740434649525558616467707376828558111519222528313437404346495255[Forma de Pagamento],"Dinheiro",Tabela16511182124273033363942454851545760636669727578815811151922252831343740434649525558616467707376828558111519222528313437404346495255[Valor])</f>
        <v>200</v>
      </c>
      <c r="D41" s="4" t="s">
        <v>16</v>
      </c>
      <c r="E41" s="2">
        <f>SUMIF(Tabela16511182124273033363942454851545760636669727578815811151922252831343740434649525558616467707376828558111519222528313437404346495255[Item],"Gás",Tabela16511182124273033363942454851545760636669727578815811151922252831343740434649525558616467707376828558111519222528313437404346495255[QUANTIDADE])+G41</f>
        <v>9</v>
      </c>
      <c r="F41" s="4" t="s">
        <v>25</v>
      </c>
      <c r="G41" s="2">
        <f>SUMIF(Tabela16511182124273033363942454851545760636669727578815811151922252831343740434649525558616467707376828558111519222528313437404346495255[Item],"Gás completo",Tabela16511182124273033363942454851545760636669727578815811151922252831343740434649525558616467707376828558111519222528313437404346495255[QUANTIDADE])</f>
        <v>0</v>
      </c>
    </row>
    <row r="42" spans="2:11" x14ac:dyDescent="0.25">
      <c r="B42" s="4" t="s">
        <v>11</v>
      </c>
      <c r="C42" s="2">
        <f>SUMIF(Tabela16511182124273033363942454851545760636669727578815811151922252831343740434649525558616467707376828558111519222528313437404346495255[Forma de Pagamento],"Cartão",Tabela16511182124273033363942454851545760636669727578815811151922252831343740434649525558616467707376828558111519222528313437404346495255[Valor])</f>
        <v>9</v>
      </c>
      <c r="D42" s="4" t="s">
        <v>17</v>
      </c>
      <c r="E42" s="2">
        <f>SUMIF(Tabela16511182124273033363942454851545760636669727578815811151922252831343740434649525558616467707376828558111519222528313437404346495255[Item],"Água",Tabela16511182124273033363942454851545760636669727578815811151922252831343740434649525558616467707376828558111519222528313437404346495255[QUANTIDADE])+G42</f>
        <v>9</v>
      </c>
      <c r="F42" s="4" t="s">
        <v>27</v>
      </c>
      <c r="G42" s="2">
        <f>SUMIF(Tabela16511182124273033363942454851545760636669727578815811151922252831343740434649525558616467707376828558111519222528313437404346495255[Item],"Água completa",Tabela16511182124273033363942454851545760636669727578815811151922252831343740434649525558616467707376828558111519222528313437404346495255[QUANTIDADE])</f>
        <v>0</v>
      </c>
      <c r="J42" s="4" t="s">
        <v>5</v>
      </c>
      <c r="K42" s="4" t="s">
        <v>8</v>
      </c>
    </row>
    <row r="43" spans="2:11" x14ac:dyDescent="0.25">
      <c r="B43" s="4" t="s">
        <v>12</v>
      </c>
      <c r="C43" s="2">
        <f>SUMIF(Tabela16511182124273033363942454851545760636669727578815811151922252831343740434649525558616467707376828558111519222528313437404346495255[Forma de Pagamento],"Pix",Tabela16511182124273033363942454851545760636669727578815811151922252831343740434649525558616467707376828558111519222528313437404346495255[Valor])</f>
        <v>331</v>
      </c>
      <c r="I43" s="4" t="s">
        <v>6</v>
      </c>
      <c r="J43" s="1">
        <f>SUM(J7-E41+N7)</f>
        <v>20</v>
      </c>
      <c r="K43" s="2">
        <f>SUM(K7-E42+O7)</f>
        <v>-4</v>
      </c>
    </row>
    <row r="44" spans="2:11" x14ac:dyDescent="0.25">
      <c r="B44" s="4" t="s">
        <v>13</v>
      </c>
      <c r="C44" s="2">
        <f>SUMIF(Tabela16511182124273033363942454851545760636669727578815811151922252831343740434649525558616467707376828558111519222528313437404346495255[Forma de Pagamento],"Fiado",Tabela16511182124273033363942454851545760636669727578815811151922252831343740434649525558616467707376828558111519222528313437404346495255[Valor])</f>
        <v>300</v>
      </c>
      <c r="D44" s="4" t="s">
        <v>14</v>
      </c>
      <c r="E44" s="7">
        <f>SUM(F3-J31+C41+N31)</f>
        <v>300</v>
      </c>
      <c r="I44" s="4" t="s">
        <v>7</v>
      </c>
      <c r="J44" s="2">
        <f>SUM(J8+E41-N7)-G41</f>
        <v>22</v>
      </c>
      <c r="K44" s="2">
        <f>SUM(K8+E42-O7)-G42</f>
        <v>13</v>
      </c>
    </row>
  </sheetData>
  <dataValidations count="2">
    <dataValidation type="list" allowBlank="1" showInputMessage="1" showErrorMessage="1" sqref="F7:F36" xr:uid="{893D902C-092B-4326-BDD1-A7D0F94D6C84}">
      <formula1>"Dinheiro,Cartão,Pix,Fiado,Pago"</formula1>
    </dataValidation>
    <dataValidation type="list" allowBlank="1" showInputMessage="1" showErrorMessage="1" sqref="B7:B16 B18:B36" xr:uid="{89140086-357E-4A56-A4AD-874E9C227916}">
      <formula1>"Gás,Água,Gás completo,Água completa,Gás e Água, Recebimento"</formula1>
    </dataValidation>
  </dataValidations>
  <pageMargins left="0.511811024" right="0.511811024" top="0.78740157499999996" bottom="0.78740157499999996" header="0.31496062000000002" footer="0.31496062000000002"/>
  <pageSetup paperSize="0" orientation="portrait" horizontalDpi="203" verticalDpi="203" r:id="rId1"/>
  <drawing r:id="rId2"/>
  <tableParts count="3">
    <tablePart r:id="rId3"/>
    <tablePart r:id="rId4"/>
    <tablePart r:id="rId5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2800F-3056-4934-A4DF-6BCB70178F69}">
  <dimension ref="B2:O44"/>
  <sheetViews>
    <sheetView showGridLines="0" topLeftCell="A13" workbookViewId="0">
      <selection activeCell="C50" sqref="C50"/>
    </sheetView>
  </sheetViews>
  <sheetFormatPr defaultRowHeight="15" x14ac:dyDescent="0.25"/>
  <cols>
    <col min="2" max="2" width="14.7109375" customWidth="1"/>
    <col min="3" max="3" width="38.140625" customWidth="1"/>
    <col min="4" max="4" width="19.85546875" customWidth="1"/>
    <col min="5" max="5" width="21.85546875" customWidth="1"/>
    <col min="6" max="6" width="25.85546875" customWidth="1"/>
    <col min="7" max="7" width="16.7109375" customWidth="1"/>
    <col min="8" max="8" width="11.28515625" customWidth="1"/>
    <col min="9" max="9" width="21.85546875" customWidth="1"/>
    <col min="10" max="10" width="13.5703125" customWidth="1"/>
    <col min="11" max="11" width="12.28515625" customWidth="1"/>
    <col min="12" max="12" width="8.5703125" customWidth="1"/>
    <col min="13" max="13" width="19.7109375" customWidth="1"/>
    <col min="14" max="14" width="15.5703125" customWidth="1"/>
    <col min="15" max="15" width="13" customWidth="1"/>
  </cols>
  <sheetData>
    <row r="2" spans="2:15" ht="15.75" x14ac:dyDescent="0.25">
      <c r="E2" s="10" t="s">
        <v>4</v>
      </c>
      <c r="F2" s="3">
        <v>45184</v>
      </c>
    </row>
    <row r="3" spans="2:15" ht="15.75" x14ac:dyDescent="0.25">
      <c r="E3" s="10" t="s">
        <v>15</v>
      </c>
      <c r="F3" s="7">
        <v>680</v>
      </c>
    </row>
    <row r="4" spans="2:15" x14ac:dyDescent="0.25">
      <c r="J4" t="s">
        <v>19</v>
      </c>
      <c r="M4" t="s">
        <v>24</v>
      </c>
    </row>
    <row r="6" spans="2:15" x14ac:dyDescent="0.25">
      <c r="B6" s="6" t="s">
        <v>9</v>
      </c>
      <c r="C6" s="6" t="s">
        <v>0</v>
      </c>
      <c r="D6" s="6" t="s">
        <v>1</v>
      </c>
      <c r="E6" s="6" t="s">
        <v>2</v>
      </c>
      <c r="F6" s="6" t="s">
        <v>3</v>
      </c>
      <c r="G6" s="6" t="s">
        <v>26</v>
      </c>
      <c r="J6" s="4" t="s">
        <v>5</v>
      </c>
      <c r="K6" s="4" t="s">
        <v>8</v>
      </c>
      <c r="N6" s="4" t="s">
        <v>5</v>
      </c>
      <c r="O6" s="4" t="s">
        <v>8</v>
      </c>
    </row>
    <row r="7" spans="2:15" x14ac:dyDescent="0.25">
      <c r="B7" s="1" t="s">
        <v>8</v>
      </c>
      <c r="C7" s="1" t="s">
        <v>320</v>
      </c>
      <c r="D7" s="1"/>
      <c r="E7" s="8">
        <v>10</v>
      </c>
      <c r="F7" s="1" t="s">
        <v>11</v>
      </c>
      <c r="G7" s="1">
        <v>1</v>
      </c>
      <c r="I7" s="4" t="s">
        <v>6</v>
      </c>
      <c r="J7" s="1">
        <v>34</v>
      </c>
      <c r="K7" s="11"/>
      <c r="M7" s="4" t="s">
        <v>23</v>
      </c>
      <c r="N7" s="11">
        <v>12</v>
      </c>
      <c r="O7" s="11"/>
    </row>
    <row r="8" spans="2:15" x14ac:dyDescent="0.25">
      <c r="B8" s="1" t="s">
        <v>5</v>
      </c>
      <c r="C8" s="1" t="s">
        <v>319</v>
      </c>
      <c r="D8" s="1" t="s">
        <v>323</v>
      </c>
      <c r="E8" s="8">
        <v>95</v>
      </c>
      <c r="F8" s="1" t="s">
        <v>12</v>
      </c>
      <c r="G8" s="1">
        <v>1</v>
      </c>
      <c r="I8" s="4" t="s">
        <v>7</v>
      </c>
      <c r="J8" s="11">
        <v>8</v>
      </c>
      <c r="K8" s="11"/>
    </row>
    <row r="9" spans="2:15" x14ac:dyDescent="0.25">
      <c r="B9" s="1" t="s">
        <v>8</v>
      </c>
      <c r="C9" s="1" t="s">
        <v>318</v>
      </c>
      <c r="D9" s="1"/>
      <c r="E9" s="8">
        <v>9</v>
      </c>
      <c r="F9" s="1"/>
      <c r="G9" s="1">
        <v>1</v>
      </c>
    </row>
    <row r="10" spans="2:15" x14ac:dyDescent="0.25">
      <c r="B10" s="1" t="s">
        <v>5</v>
      </c>
      <c r="C10" s="1" t="s">
        <v>321</v>
      </c>
      <c r="D10" s="1"/>
      <c r="E10" s="8">
        <v>95</v>
      </c>
      <c r="F10" s="1" t="s">
        <v>13</v>
      </c>
      <c r="G10" s="1">
        <v>1</v>
      </c>
    </row>
    <row r="11" spans="2:15" x14ac:dyDescent="0.25">
      <c r="B11" s="1" t="s">
        <v>5</v>
      </c>
      <c r="C11" s="1" t="s">
        <v>322</v>
      </c>
      <c r="D11" s="1"/>
      <c r="E11" s="8">
        <v>100</v>
      </c>
      <c r="F11" s="1" t="s">
        <v>12</v>
      </c>
      <c r="G11" s="1">
        <v>1</v>
      </c>
    </row>
    <row r="12" spans="2:15" x14ac:dyDescent="0.25">
      <c r="B12" s="1" t="s">
        <v>5</v>
      </c>
      <c r="C12" s="1" t="s">
        <v>314</v>
      </c>
      <c r="D12" s="1"/>
      <c r="E12" s="8">
        <v>110</v>
      </c>
      <c r="F12" s="1" t="s">
        <v>10</v>
      </c>
      <c r="G12" s="1">
        <v>1</v>
      </c>
    </row>
    <row r="13" spans="2:15" x14ac:dyDescent="0.25">
      <c r="B13" s="1" t="s">
        <v>5</v>
      </c>
      <c r="C13" s="1" t="s">
        <v>317</v>
      </c>
      <c r="D13" s="1"/>
      <c r="E13" s="8">
        <v>100</v>
      </c>
      <c r="F13" s="1" t="s">
        <v>13</v>
      </c>
      <c r="G13" s="1">
        <v>1</v>
      </c>
      <c r="I13" t="s">
        <v>21</v>
      </c>
    </row>
    <row r="14" spans="2:15" x14ac:dyDescent="0.25">
      <c r="B14" s="1" t="s">
        <v>5</v>
      </c>
      <c r="C14" s="1" t="s">
        <v>316</v>
      </c>
      <c r="D14" s="1"/>
      <c r="E14" s="8">
        <v>100</v>
      </c>
      <c r="F14" s="1" t="s">
        <v>10</v>
      </c>
      <c r="G14" s="1">
        <v>1</v>
      </c>
    </row>
    <row r="15" spans="2:15" x14ac:dyDescent="0.25">
      <c r="B15" s="1" t="s">
        <v>5</v>
      </c>
      <c r="C15" s="1" t="s">
        <v>315</v>
      </c>
      <c r="D15" s="1"/>
      <c r="E15" s="8">
        <v>100</v>
      </c>
      <c r="F15" s="1" t="s">
        <v>11</v>
      </c>
      <c r="G15" s="1">
        <v>1</v>
      </c>
    </row>
    <row r="16" spans="2:15" x14ac:dyDescent="0.25">
      <c r="B16" s="1" t="s">
        <v>8</v>
      </c>
      <c r="C16" s="1" t="s">
        <v>314</v>
      </c>
      <c r="D16" s="1"/>
      <c r="E16" s="8">
        <v>48</v>
      </c>
      <c r="F16" s="1"/>
      <c r="G16" s="1">
        <v>4</v>
      </c>
      <c r="I16" s="5" t="s">
        <v>43</v>
      </c>
      <c r="J16" s="5" t="s">
        <v>44</v>
      </c>
      <c r="M16" s="5" t="s">
        <v>18</v>
      </c>
      <c r="N16" s="5" t="s">
        <v>2</v>
      </c>
    </row>
    <row r="17" spans="2:14" x14ac:dyDescent="0.25">
      <c r="B17" s="1" t="s">
        <v>8</v>
      </c>
      <c r="C17" s="1" t="s">
        <v>313</v>
      </c>
      <c r="D17" s="1"/>
      <c r="E17" s="8">
        <v>18</v>
      </c>
      <c r="F17" s="1" t="s">
        <v>12</v>
      </c>
      <c r="G17" s="1">
        <v>2</v>
      </c>
      <c r="I17" s="5"/>
      <c r="J17" s="7">
        <v>845</v>
      </c>
      <c r="M17" s="5"/>
      <c r="N17" s="12">
        <v>30</v>
      </c>
    </row>
    <row r="18" spans="2:14" x14ac:dyDescent="0.25">
      <c r="B18" s="1" t="s">
        <v>5</v>
      </c>
      <c r="C18" s="1" t="s">
        <v>312</v>
      </c>
      <c r="D18" s="1"/>
      <c r="E18" s="8">
        <v>100</v>
      </c>
      <c r="F18" s="1" t="s">
        <v>12</v>
      </c>
      <c r="G18" s="1">
        <v>1</v>
      </c>
      <c r="I18" s="5"/>
      <c r="J18" s="12"/>
      <c r="M18" s="5"/>
      <c r="N18" s="12"/>
    </row>
    <row r="19" spans="2:14" x14ac:dyDescent="0.25">
      <c r="B19" s="1" t="s">
        <v>8</v>
      </c>
      <c r="C19" s="1" t="s">
        <v>311</v>
      </c>
      <c r="D19" s="1"/>
      <c r="E19" s="8">
        <v>18</v>
      </c>
      <c r="F19" s="1"/>
      <c r="G19" s="1">
        <v>2</v>
      </c>
      <c r="I19" s="5"/>
      <c r="J19" s="12"/>
      <c r="M19" s="5"/>
      <c r="N19" s="12"/>
    </row>
    <row r="20" spans="2:14" x14ac:dyDescent="0.25">
      <c r="B20" s="1" t="s">
        <v>5</v>
      </c>
      <c r="C20" s="1" t="s">
        <v>324</v>
      </c>
      <c r="D20" s="1"/>
      <c r="E20" s="8">
        <v>100</v>
      </c>
      <c r="F20" s="1" t="s">
        <v>325</v>
      </c>
      <c r="G20" s="1">
        <v>1</v>
      </c>
      <c r="I20" s="5"/>
      <c r="J20" s="12"/>
      <c r="M20" s="5"/>
      <c r="N20" s="12"/>
    </row>
    <row r="21" spans="2:14" x14ac:dyDescent="0.25">
      <c r="B21" s="1" t="s">
        <v>5</v>
      </c>
      <c r="C21" s="1" t="s">
        <v>326</v>
      </c>
      <c r="D21" s="1"/>
      <c r="E21" s="8">
        <v>100</v>
      </c>
      <c r="F21" s="1" t="s">
        <v>11</v>
      </c>
      <c r="G21" s="1">
        <v>1</v>
      </c>
      <c r="I21" s="5"/>
      <c r="J21" s="12"/>
      <c r="M21" s="5"/>
      <c r="N21" s="12"/>
    </row>
    <row r="22" spans="2:14" x14ac:dyDescent="0.25">
      <c r="B22" s="1" t="s">
        <v>5</v>
      </c>
      <c r="C22" s="1" t="s">
        <v>327</v>
      </c>
      <c r="D22" s="1"/>
      <c r="E22" s="8">
        <v>100</v>
      </c>
      <c r="F22" s="1" t="s">
        <v>11</v>
      </c>
      <c r="G22" s="1">
        <v>1</v>
      </c>
      <c r="I22" s="5"/>
      <c r="J22" s="12"/>
      <c r="M22" s="5"/>
      <c r="N22" s="12"/>
    </row>
    <row r="23" spans="2:14" x14ac:dyDescent="0.25">
      <c r="B23" s="1" t="s">
        <v>5</v>
      </c>
      <c r="C23" s="1" t="s">
        <v>328</v>
      </c>
      <c r="D23" s="1"/>
      <c r="E23" s="8">
        <v>70</v>
      </c>
      <c r="F23" s="1" t="s">
        <v>12</v>
      </c>
      <c r="G23" s="1">
        <v>1</v>
      </c>
      <c r="I23" s="5"/>
      <c r="J23" s="12"/>
      <c r="M23" s="5"/>
      <c r="N23" s="12"/>
    </row>
    <row r="24" spans="2:14" x14ac:dyDescent="0.25">
      <c r="B24" s="1" t="s">
        <v>5</v>
      </c>
      <c r="C24" s="1" t="s">
        <v>329</v>
      </c>
      <c r="D24" s="1" t="s">
        <v>330</v>
      </c>
      <c r="E24" s="8">
        <v>100</v>
      </c>
      <c r="F24" s="1" t="s">
        <v>11</v>
      </c>
      <c r="G24" s="25">
        <v>1</v>
      </c>
      <c r="I24" s="5"/>
      <c r="J24" s="12"/>
      <c r="L24" s="14"/>
      <c r="M24" s="5"/>
      <c r="N24" s="12"/>
    </row>
    <row r="25" spans="2:14" x14ac:dyDescent="0.25">
      <c r="B25" s="1" t="s">
        <v>5</v>
      </c>
      <c r="C25" s="1" t="s">
        <v>331</v>
      </c>
      <c r="D25" s="1"/>
      <c r="E25" s="8">
        <v>100</v>
      </c>
      <c r="F25" s="1" t="s">
        <v>11</v>
      </c>
      <c r="G25" s="1">
        <v>1</v>
      </c>
      <c r="I25" s="5"/>
      <c r="J25" s="12"/>
      <c r="M25" s="5"/>
      <c r="N25" s="12"/>
    </row>
    <row r="26" spans="2:14" x14ac:dyDescent="0.25">
      <c r="B26" s="1" t="s">
        <v>5</v>
      </c>
      <c r="C26" s="1"/>
      <c r="D26" s="1"/>
      <c r="E26" s="8">
        <v>100</v>
      </c>
      <c r="F26" s="1" t="s">
        <v>10</v>
      </c>
      <c r="G26" s="1">
        <v>1</v>
      </c>
      <c r="I26" s="5"/>
      <c r="J26" s="12"/>
      <c r="M26" s="5"/>
      <c r="N26" s="12"/>
    </row>
    <row r="27" spans="2:14" x14ac:dyDescent="0.25">
      <c r="B27" s="1" t="s">
        <v>5</v>
      </c>
      <c r="C27" s="1"/>
      <c r="D27" s="1"/>
      <c r="E27" s="8">
        <v>100</v>
      </c>
      <c r="F27" s="1" t="s">
        <v>10</v>
      </c>
      <c r="G27" s="1">
        <v>1</v>
      </c>
      <c r="I27" s="5"/>
      <c r="J27" s="12"/>
      <c r="M27" s="5"/>
      <c r="N27" s="12"/>
    </row>
    <row r="28" spans="2:14" x14ac:dyDescent="0.25">
      <c r="B28" s="1" t="s">
        <v>5</v>
      </c>
      <c r="C28" s="1"/>
      <c r="D28" s="1"/>
      <c r="E28" s="8">
        <v>100</v>
      </c>
      <c r="F28" s="1" t="s">
        <v>10</v>
      </c>
      <c r="G28" s="1">
        <v>1</v>
      </c>
      <c r="I28" s="5"/>
      <c r="J28" s="12"/>
      <c r="M28" s="5"/>
      <c r="N28" s="12"/>
    </row>
    <row r="29" spans="2:14" x14ac:dyDescent="0.25">
      <c r="B29" s="1"/>
      <c r="C29" s="1"/>
      <c r="D29" s="1"/>
      <c r="E29" s="8"/>
      <c r="F29" s="1"/>
      <c r="G29" s="1"/>
      <c r="I29" s="5"/>
      <c r="J29" s="12"/>
      <c r="M29" s="5"/>
      <c r="N29" s="12"/>
    </row>
    <row r="30" spans="2:14" x14ac:dyDescent="0.25">
      <c r="B30" s="1"/>
      <c r="C30" s="1"/>
      <c r="D30" s="1"/>
      <c r="E30" s="8"/>
      <c r="F30" s="1"/>
      <c r="G30" s="1"/>
      <c r="I30" s="5"/>
      <c r="J30" s="5"/>
    </row>
    <row r="31" spans="2:14" ht="18.75" x14ac:dyDescent="0.4">
      <c r="B31" s="1"/>
      <c r="C31" s="1"/>
      <c r="D31" s="1"/>
      <c r="E31" s="8"/>
      <c r="F31" s="1"/>
      <c r="G31" s="1"/>
      <c r="I31" s="13" t="s">
        <v>22</v>
      </c>
      <c r="J31" s="15">
        <f>SUM(Tabela2781215192225283134374043464952555861646770737679269121720232629323538414447505356596265687174778326912172023262932353841444750[valor])</f>
        <v>845</v>
      </c>
      <c r="M31" s="13" t="s">
        <v>42</v>
      </c>
      <c r="N31" s="15">
        <f>SUM(Tabela27812131720232629323538414447505356596265687174778037101318212427303336394245485154576063666972757884371013182124273033363942454851[Valor])</f>
        <v>30</v>
      </c>
    </row>
    <row r="32" spans="2:14" x14ac:dyDescent="0.25">
      <c r="B32" s="1"/>
      <c r="C32" s="1"/>
      <c r="D32" s="1"/>
      <c r="E32" s="8"/>
      <c r="F32" s="1"/>
      <c r="G32" s="1"/>
      <c r="I32" s="5"/>
      <c r="J32" s="5"/>
    </row>
    <row r="33" spans="2:11" x14ac:dyDescent="0.25">
      <c r="B33" s="1"/>
      <c r="C33" s="1"/>
      <c r="D33" s="1"/>
      <c r="E33" s="8"/>
      <c r="F33" s="1"/>
      <c r="G33" s="1"/>
      <c r="I33" s="5"/>
      <c r="J33" s="5"/>
    </row>
    <row r="34" spans="2:11" x14ac:dyDescent="0.25">
      <c r="B34" s="1"/>
      <c r="C34" s="1"/>
      <c r="D34" s="1"/>
      <c r="E34" s="8"/>
      <c r="F34" s="1"/>
      <c r="G34" s="1"/>
      <c r="I34" s="5"/>
      <c r="J34" s="5"/>
    </row>
    <row r="35" spans="2:11" x14ac:dyDescent="0.25">
      <c r="B35" s="1"/>
      <c r="C35" s="1"/>
      <c r="D35" s="1"/>
      <c r="E35" s="8"/>
      <c r="F35" s="1"/>
      <c r="G35" s="1"/>
      <c r="I35" s="5"/>
      <c r="J35" s="5"/>
    </row>
    <row r="36" spans="2:11" x14ac:dyDescent="0.25">
      <c r="B36" s="1"/>
      <c r="C36" s="1"/>
      <c r="D36" s="1"/>
      <c r="E36" s="8"/>
      <c r="F36" s="1"/>
      <c r="G36" s="1"/>
      <c r="J36" s="5"/>
    </row>
    <row r="37" spans="2:11" x14ac:dyDescent="0.25">
      <c r="I37" s="5"/>
    </row>
    <row r="39" spans="2:11" x14ac:dyDescent="0.25">
      <c r="I39" s="9"/>
    </row>
    <row r="40" spans="2:11" x14ac:dyDescent="0.25">
      <c r="I40" t="s">
        <v>20</v>
      </c>
    </row>
    <row r="41" spans="2:11" x14ac:dyDescent="0.25">
      <c r="B41" s="4" t="s">
        <v>10</v>
      </c>
      <c r="C41" s="2">
        <f>SUMIF(Tabela165111821242730333639424548515457606366697275788158111519222528313437404346495255586164677073768285581115192225283134374043464952[Forma de Pagamento],"Dinheiro",Tabela165111821242730333639424548515457606366697275788158111519222528313437404346495255586164677073768285581115192225283134374043464952[Valor])</f>
        <v>510</v>
      </c>
      <c r="D41" s="4" t="s">
        <v>16</v>
      </c>
      <c r="E41" s="2">
        <f>SUMIF(Tabela165111821242730333639424548515457606366697275788158111519222528313437404346495255586164677073768285581115192225283134374043464952[Item],"Gás",Tabela165111821242730333639424548515457606366697275788158111519222528313437404346495255586164677073768285581115192225283134374043464952[QUANTIDADE])+G41</f>
        <v>17</v>
      </c>
      <c r="F41" s="4" t="s">
        <v>25</v>
      </c>
      <c r="G41" s="2">
        <f>SUMIF(Tabela165111821242730333639424548515457606366697275788158111519222528313437404346495255586164677073768285581115192225283134374043464952[Item],"Gás completo",Tabela165111821242730333639424548515457606366697275788158111519222528313437404346495255586164677073768285581115192225283134374043464952[QUANTIDADE])</f>
        <v>0</v>
      </c>
    </row>
    <row r="42" spans="2:11" x14ac:dyDescent="0.25">
      <c r="B42" s="4" t="s">
        <v>11</v>
      </c>
      <c r="C42" s="2">
        <f>SUMIF(Tabela165111821242730333639424548515457606366697275788158111519222528313437404346495255586164677073768285581115192225283134374043464952[Forma de Pagamento],"Cartão",Tabela165111821242730333639424548515457606366697275788158111519222528313437404346495255586164677073768285581115192225283134374043464952[Valor])</f>
        <v>510</v>
      </c>
      <c r="D42" s="4" t="s">
        <v>17</v>
      </c>
      <c r="E42" s="2">
        <f>SUMIF(Tabela165111821242730333639424548515457606366697275788158111519222528313437404346495255586164677073768285581115192225283134374043464952[Item],"Água",Tabela165111821242730333639424548515457606366697275788158111519222528313437404346495255586164677073768285581115192225283134374043464952[QUANTIDADE])+G42</f>
        <v>10</v>
      </c>
      <c r="F42" s="4" t="s">
        <v>27</v>
      </c>
      <c r="G42" s="2">
        <f>SUMIF(Tabela165111821242730333639424548515457606366697275788158111519222528313437404346495255586164677073768285581115192225283134374043464952[Item],"Água completa",Tabela165111821242730333639424548515457606366697275788158111519222528313437404346495255586164677073768285581115192225283134374043464952[QUANTIDADE])</f>
        <v>0</v>
      </c>
      <c r="J42" s="4" t="s">
        <v>5</v>
      </c>
      <c r="K42" s="4" t="s">
        <v>8</v>
      </c>
    </row>
    <row r="43" spans="2:11" x14ac:dyDescent="0.25">
      <c r="B43" s="4" t="s">
        <v>12</v>
      </c>
      <c r="C43" s="2">
        <f>SUMIF(Tabela165111821242730333639424548515457606366697275788158111519222528313437404346495255586164677073768285581115192225283134374043464952[Forma de Pagamento],"Pix",Tabela165111821242730333639424548515457606366697275788158111519222528313437404346495255586164677073768285581115192225283134374043464952[Valor])</f>
        <v>383</v>
      </c>
      <c r="I43" s="4" t="s">
        <v>6</v>
      </c>
      <c r="J43" s="1">
        <f>SUM(J7-E41+N7)</f>
        <v>29</v>
      </c>
      <c r="K43" s="2">
        <f>SUM(K7-E42+O7)</f>
        <v>-10</v>
      </c>
    </row>
    <row r="44" spans="2:11" x14ac:dyDescent="0.25">
      <c r="B44" s="4" t="s">
        <v>13</v>
      </c>
      <c r="C44" s="2">
        <f>SUMIF(Tabela165111821242730333639424548515457606366697275788158111519222528313437404346495255586164677073768285581115192225283134374043464952[Forma de Pagamento],"Fiado",Tabela165111821242730333639424548515457606366697275788158111519222528313437404346495255586164677073768285581115192225283134374043464952[Valor])</f>
        <v>195</v>
      </c>
      <c r="D44" s="4" t="s">
        <v>14</v>
      </c>
      <c r="E44" s="7">
        <f>SUM(F3-J31+C41+N31)</f>
        <v>375</v>
      </c>
      <c r="I44" s="4" t="s">
        <v>7</v>
      </c>
      <c r="J44" s="2">
        <f>SUM(J8+E41-N7)-G41</f>
        <v>13</v>
      </c>
      <c r="K44" s="2">
        <f>SUM(K8+E42-O7)-G42</f>
        <v>10</v>
      </c>
    </row>
  </sheetData>
  <dataValidations count="2">
    <dataValidation type="list" allowBlank="1" showInputMessage="1" showErrorMessage="1" sqref="B7:B16 B18:B36" xr:uid="{6A727289-B55C-4734-A447-E097A7880E5D}">
      <formula1>"Gás,Água,Gás completo,Água completa,Gás e Água, Recebimento"</formula1>
    </dataValidation>
    <dataValidation type="list" allowBlank="1" showInputMessage="1" showErrorMessage="1" sqref="F7:F36" xr:uid="{BF9FF9F4-DE33-4173-990F-B49F92EF11B6}">
      <formula1>"Dinheiro,Cartão,Pix,Fiado,Pago"</formula1>
    </dataValidation>
  </dataValidations>
  <pageMargins left="0.511811024" right="0.511811024" top="0.78740157499999996" bottom="0.78740157499999996" header="0.31496062000000002" footer="0.31496062000000002"/>
  <pageSetup paperSize="0" orientation="portrait" horizontalDpi="203" verticalDpi="203" r:id="rId1"/>
  <drawing r:id="rId2"/>
  <tableParts count="3">
    <tablePart r:id="rId3"/>
    <tablePart r:id="rId4"/>
    <tablePart r:id="rId5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BA5CE-29CD-45D7-848E-D0C18722E8F0}">
  <dimension ref="B2:O44"/>
  <sheetViews>
    <sheetView showGridLines="0" topLeftCell="A13" workbookViewId="0">
      <selection activeCell="F27" sqref="F27"/>
    </sheetView>
  </sheetViews>
  <sheetFormatPr defaultRowHeight="15" x14ac:dyDescent="0.25"/>
  <cols>
    <col min="2" max="2" width="14.7109375" customWidth="1"/>
    <col min="3" max="3" width="38.140625" customWidth="1"/>
    <col min="4" max="4" width="19.85546875" customWidth="1"/>
    <col min="5" max="5" width="21.85546875" customWidth="1"/>
    <col min="6" max="6" width="25.85546875" customWidth="1"/>
    <col min="7" max="7" width="16.7109375" customWidth="1"/>
    <col min="8" max="8" width="11.28515625" customWidth="1"/>
    <col min="9" max="9" width="21.85546875" customWidth="1"/>
    <col min="10" max="10" width="13.5703125" customWidth="1"/>
    <col min="11" max="11" width="12.28515625" customWidth="1"/>
    <col min="12" max="12" width="8.5703125" customWidth="1"/>
    <col min="13" max="13" width="19.7109375" customWidth="1"/>
    <col min="14" max="14" width="15.5703125" customWidth="1"/>
    <col min="15" max="15" width="13" customWidth="1"/>
  </cols>
  <sheetData>
    <row r="2" spans="2:15" ht="15.75" x14ac:dyDescent="0.25">
      <c r="E2" s="10" t="s">
        <v>4</v>
      </c>
      <c r="F2" s="3">
        <v>45184</v>
      </c>
    </row>
    <row r="3" spans="2:15" ht="15.75" x14ac:dyDescent="0.25">
      <c r="E3" s="10" t="s">
        <v>15</v>
      </c>
      <c r="F3" s="7">
        <v>680</v>
      </c>
    </row>
    <row r="4" spans="2:15" x14ac:dyDescent="0.25">
      <c r="J4" t="s">
        <v>19</v>
      </c>
      <c r="M4" t="s">
        <v>24</v>
      </c>
    </row>
    <row r="6" spans="2:15" x14ac:dyDescent="0.25">
      <c r="B6" s="6" t="s">
        <v>9</v>
      </c>
      <c r="C6" s="6" t="s">
        <v>0</v>
      </c>
      <c r="D6" s="6" t="s">
        <v>1</v>
      </c>
      <c r="E6" s="6" t="s">
        <v>2</v>
      </c>
      <c r="F6" s="6" t="s">
        <v>3</v>
      </c>
      <c r="G6" s="6" t="s">
        <v>26</v>
      </c>
      <c r="J6" s="4" t="s">
        <v>5</v>
      </c>
      <c r="K6" s="4" t="s">
        <v>8</v>
      </c>
      <c r="N6" s="4" t="s">
        <v>5</v>
      </c>
      <c r="O6" s="4" t="s">
        <v>8</v>
      </c>
    </row>
    <row r="7" spans="2:15" x14ac:dyDescent="0.25">
      <c r="B7" s="1" t="s">
        <v>8</v>
      </c>
      <c r="C7" s="1" t="s">
        <v>320</v>
      </c>
      <c r="D7" s="1"/>
      <c r="E7" s="8">
        <v>10</v>
      </c>
      <c r="F7" s="1" t="s">
        <v>11</v>
      </c>
      <c r="G7" s="1">
        <v>1</v>
      </c>
      <c r="I7" s="4" t="s">
        <v>6</v>
      </c>
      <c r="J7" s="1">
        <v>34</v>
      </c>
      <c r="K7" s="11"/>
      <c r="M7" s="4" t="s">
        <v>23</v>
      </c>
      <c r="N7" s="11">
        <v>12</v>
      </c>
      <c r="O7" s="11"/>
    </row>
    <row r="8" spans="2:15" x14ac:dyDescent="0.25">
      <c r="B8" s="1" t="s">
        <v>5</v>
      </c>
      <c r="C8" s="1" t="s">
        <v>319</v>
      </c>
      <c r="D8" s="1" t="s">
        <v>323</v>
      </c>
      <c r="E8" s="8">
        <v>95</v>
      </c>
      <c r="F8" s="1" t="s">
        <v>12</v>
      </c>
      <c r="G8" s="1">
        <v>1</v>
      </c>
      <c r="I8" s="4" t="s">
        <v>7</v>
      </c>
      <c r="J8" s="11">
        <v>8</v>
      </c>
      <c r="K8" s="11"/>
    </row>
    <row r="9" spans="2:15" x14ac:dyDescent="0.25">
      <c r="B9" s="1" t="s">
        <v>8</v>
      </c>
      <c r="C9" s="1" t="s">
        <v>318</v>
      </c>
      <c r="D9" s="1"/>
      <c r="E9" s="8">
        <v>9</v>
      </c>
      <c r="F9" s="1"/>
      <c r="G9" s="1">
        <v>1</v>
      </c>
    </row>
    <row r="10" spans="2:15" x14ac:dyDescent="0.25">
      <c r="B10" s="1" t="s">
        <v>5</v>
      </c>
      <c r="C10" s="1" t="s">
        <v>321</v>
      </c>
      <c r="D10" s="1"/>
      <c r="E10" s="8">
        <v>95</v>
      </c>
      <c r="F10" s="1" t="s">
        <v>13</v>
      </c>
      <c r="G10" s="1">
        <v>1</v>
      </c>
    </row>
    <row r="11" spans="2:15" x14ac:dyDescent="0.25">
      <c r="B11" s="1" t="s">
        <v>5</v>
      </c>
      <c r="C11" s="1" t="s">
        <v>322</v>
      </c>
      <c r="D11" s="1"/>
      <c r="E11" s="8">
        <v>100</v>
      </c>
      <c r="F11" s="1" t="s">
        <v>12</v>
      </c>
      <c r="G11" s="1">
        <v>1</v>
      </c>
    </row>
    <row r="12" spans="2:15" x14ac:dyDescent="0.25">
      <c r="B12" s="1" t="s">
        <v>5</v>
      </c>
      <c r="C12" s="1" t="s">
        <v>314</v>
      </c>
      <c r="D12" s="1"/>
      <c r="E12" s="8">
        <v>110</v>
      </c>
      <c r="F12" s="1" t="s">
        <v>10</v>
      </c>
      <c r="G12" s="1">
        <v>1</v>
      </c>
    </row>
    <row r="13" spans="2:15" x14ac:dyDescent="0.25">
      <c r="B13" s="1" t="s">
        <v>5</v>
      </c>
      <c r="C13" s="1" t="s">
        <v>317</v>
      </c>
      <c r="D13" s="1"/>
      <c r="E13" s="8">
        <v>100</v>
      </c>
      <c r="F13" s="1" t="s">
        <v>13</v>
      </c>
      <c r="G13" s="1">
        <v>1</v>
      </c>
      <c r="I13" t="s">
        <v>21</v>
      </c>
    </row>
    <row r="14" spans="2:15" x14ac:dyDescent="0.25">
      <c r="B14" s="1" t="s">
        <v>5</v>
      </c>
      <c r="C14" s="1" t="s">
        <v>316</v>
      </c>
      <c r="D14" s="1"/>
      <c r="E14" s="8">
        <v>100</v>
      </c>
      <c r="F14" s="1" t="s">
        <v>10</v>
      </c>
      <c r="G14" s="1">
        <v>1</v>
      </c>
    </row>
    <row r="15" spans="2:15" x14ac:dyDescent="0.25">
      <c r="B15" s="1" t="s">
        <v>5</v>
      </c>
      <c r="C15" s="1" t="s">
        <v>315</v>
      </c>
      <c r="D15" s="1"/>
      <c r="E15" s="8">
        <v>100</v>
      </c>
      <c r="F15" s="1" t="s">
        <v>11</v>
      </c>
      <c r="G15" s="1">
        <v>1</v>
      </c>
    </row>
    <row r="16" spans="2:15" x14ac:dyDescent="0.25">
      <c r="B16" s="1" t="s">
        <v>8</v>
      </c>
      <c r="C16" s="1" t="s">
        <v>314</v>
      </c>
      <c r="D16" s="1"/>
      <c r="E16" s="8">
        <v>48</v>
      </c>
      <c r="F16" s="1"/>
      <c r="G16" s="1">
        <v>4</v>
      </c>
      <c r="I16" s="5" t="s">
        <v>43</v>
      </c>
      <c r="J16" s="5" t="s">
        <v>44</v>
      </c>
      <c r="M16" s="5" t="s">
        <v>18</v>
      </c>
      <c r="N16" s="5" t="s">
        <v>2</v>
      </c>
    </row>
    <row r="17" spans="2:14" x14ac:dyDescent="0.25">
      <c r="B17" s="1" t="s">
        <v>8</v>
      </c>
      <c r="C17" s="1" t="s">
        <v>313</v>
      </c>
      <c r="D17" s="1"/>
      <c r="E17" s="8">
        <v>18</v>
      </c>
      <c r="F17" s="1" t="s">
        <v>12</v>
      </c>
      <c r="G17" s="1">
        <v>2</v>
      </c>
      <c r="I17" s="5"/>
      <c r="J17" s="7">
        <v>845</v>
      </c>
      <c r="M17" s="5"/>
      <c r="N17" s="12">
        <v>30</v>
      </c>
    </row>
    <row r="18" spans="2:14" x14ac:dyDescent="0.25">
      <c r="B18" s="1" t="s">
        <v>5</v>
      </c>
      <c r="C18" s="1" t="s">
        <v>312</v>
      </c>
      <c r="D18" s="1"/>
      <c r="E18" s="8">
        <v>100</v>
      </c>
      <c r="F18" s="1" t="s">
        <v>12</v>
      </c>
      <c r="G18" s="1">
        <v>1</v>
      </c>
      <c r="I18" s="5"/>
      <c r="J18" s="12"/>
      <c r="M18" s="5"/>
      <c r="N18" s="12"/>
    </row>
    <row r="19" spans="2:14" x14ac:dyDescent="0.25">
      <c r="B19" s="1" t="s">
        <v>8</v>
      </c>
      <c r="C19" s="1" t="s">
        <v>311</v>
      </c>
      <c r="D19" s="1"/>
      <c r="E19" s="8">
        <v>18</v>
      </c>
      <c r="F19" s="1"/>
      <c r="G19" s="1">
        <v>2</v>
      </c>
      <c r="I19" s="5"/>
      <c r="J19" s="12"/>
      <c r="M19" s="5"/>
      <c r="N19" s="12"/>
    </row>
    <row r="20" spans="2:14" x14ac:dyDescent="0.25">
      <c r="B20" s="1" t="s">
        <v>5</v>
      </c>
      <c r="C20" s="1" t="s">
        <v>324</v>
      </c>
      <c r="D20" s="1"/>
      <c r="E20" s="8">
        <v>100</v>
      </c>
      <c r="F20" s="1" t="s">
        <v>325</v>
      </c>
      <c r="G20" s="1">
        <v>1</v>
      </c>
      <c r="I20" s="5"/>
      <c r="J20" s="12"/>
      <c r="M20" s="5"/>
      <c r="N20" s="12"/>
    </row>
    <row r="21" spans="2:14" x14ac:dyDescent="0.25">
      <c r="B21" s="1" t="s">
        <v>5</v>
      </c>
      <c r="C21" s="1" t="s">
        <v>326</v>
      </c>
      <c r="D21" s="1"/>
      <c r="E21" s="8">
        <v>100</v>
      </c>
      <c r="F21" s="1" t="s">
        <v>11</v>
      </c>
      <c r="G21" s="1">
        <v>1</v>
      </c>
      <c r="I21" s="5"/>
      <c r="J21" s="12"/>
      <c r="M21" s="5"/>
      <c r="N21" s="12"/>
    </row>
    <row r="22" spans="2:14" x14ac:dyDescent="0.25">
      <c r="B22" s="1" t="s">
        <v>5</v>
      </c>
      <c r="C22" s="1" t="s">
        <v>327</v>
      </c>
      <c r="D22" s="1"/>
      <c r="E22" s="8">
        <v>100</v>
      </c>
      <c r="F22" s="1" t="s">
        <v>11</v>
      </c>
      <c r="G22" s="1">
        <v>1</v>
      </c>
      <c r="I22" s="5"/>
      <c r="J22" s="12"/>
      <c r="M22" s="5"/>
      <c r="N22" s="12"/>
    </row>
    <row r="23" spans="2:14" x14ac:dyDescent="0.25">
      <c r="B23" s="1" t="s">
        <v>5</v>
      </c>
      <c r="C23" s="1" t="s">
        <v>328</v>
      </c>
      <c r="D23" s="1"/>
      <c r="E23" s="8">
        <v>70</v>
      </c>
      <c r="F23" s="1" t="s">
        <v>12</v>
      </c>
      <c r="G23" s="1">
        <v>1</v>
      </c>
      <c r="I23" s="5"/>
      <c r="J23" s="12"/>
      <c r="M23" s="5"/>
      <c r="N23" s="12"/>
    </row>
    <row r="24" spans="2:14" x14ac:dyDescent="0.25">
      <c r="B24" s="1" t="s">
        <v>5</v>
      </c>
      <c r="C24" s="1" t="s">
        <v>329</v>
      </c>
      <c r="D24" s="1" t="s">
        <v>330</v>
      </c>
      <c r="E24" s="8">
        <v>100</v>
      </c>
      <c r="F24" s="1" t="s">
        <v>11</v>
      </c>
      <c r="G24" s="25">
        <v>1</v>
      </c>
      <c r="I24" s="5"/>
      <c r="J24" s="12"/>
      <c r="L24" s="14"/>
      <c r="M24" s="5"/>
      <c r="N24" s="12"/>
    </row>
    <row r="25" spans="2:14" x14ac:dyDescent="0.25">
      <c r="B25" s="1" t="s">
        <v>5</v>
      </c>
      <c r="C25" s="1" t="s">
        <v>331</v>
      </c>
      <c r="D25" s="1"/>
      <c r="E25" s="8">
        <v>100</v>
      </c>
      <c r="F25" s="1" t="s">
        <v>11</v>
      </c>
      <c r="G25" s="1">
        <v>1</v>
      </c>
      <c r="I25" s="5"/>
      <c r="J25" s="12"/>
      <c r="M25" s="5"/>
      <c r="N25" s="12"/>
    </row>
    <row r="26" spans="2:14" x14ac:dyDescent="0.25">
      <c r="B26" s="1" t="s">
        <v>5</v>
      </c>
      <c r="C26" s="1"/>
      <c r="D26" s="1"/>
      <c r="E26" s="8">
        <v>100</v>
      </c>
      <c r="F26" s="1" t="s">
        <v>10</v>
      </c>
      <c r="G26" s="1">
        <v>1</v>
      </c>
      <c r="I26" s="5"/>
      <c r="J26" s="12"/>
      <c r="M26" s="5"/>
      <c r="N26" s="12"/>
    </row>
    <row r="27" spans="2:14" x14ac:dyDescent="0.25">
      <c r="B27" s="1" t="s">
        <v>5</v>
      </c>
      <c r="C27" s="1"/>
      <c r="D27" s="1"/>
      <c r="E27" s="8">
        <v>100</v>
      </c>
      <c r="F27" s="1" t="s">
        <v>10</v>
      </c>
      <c r="G27" s="1">
        <v>1</v>
      </c>
      <c r="I27" s="5"/>
      <c r="J27" s="12"/>
      <c r="M27" s="5"/>
      <c r="N27" s="12"/>
    </row>
    <row r="28" spans="2:14" x14ac:dyDescent="0.25">
      <c r="B28" s="1" t="s">
        <v>5</v>
      </c>
      <c r="C28" s="1"/>
      <c r="D28" s="1"/>
      <c r="E28" s="8">
        <v>100</v>
      </c>
      <c r="F28" s="1" t="s">
        <v>10</v>
      </c>
      <c r="G28" s="1">
        <v>1</v>
      </c>
      <c r="I28" s="5"/>
      <c r="J28" s="12"/>
      <c r="M28" s="5"/>
      <c r="N28" s="12"/>
    </row>
    <row r="29" spans="2:14" x14ac:dyDescent="0.25">
      <c r="B29" s="1"/>
      <c r="C29" s="1"/>
      <c r="D29" s="1"/>
      <c r="E29" s="8"/>
      <c r="F29" s="1"/>
      <c r="G29" s="1"/>
      <c r="I29" s="5"/>
      <c r="J29" s="12"/>
      <c r="M29" s="5"/>
      <c r="N29" s="12"/>
    </row>
    <row r="30" spans="2:14" x14ac:dyDescent="0.25">
      <c r="B30" s="1"/>
      <c r="C30" s="1"/>
      <c r="D30" s="1"/>
      <c r="E30" s="8"/>
      <c r="F30" s="1"/>
      <c r="G30" s="1"/>
      <c r="I30" s="5"/>
      <c r="J30" s="5"/>
    </row>
    <row r="31" spans="2:14" ht="18.75" x14ac:dyDescent="0.4">
      <c r="B31" s="1"/>
      <c r="C31" s="1"/>
      <c r="D31" s="1"/>
      <c r="E31" s="8"/>
      <c r="F31" s="1"/>
      <c r="G31" s="1"/>
      <c r="I31" s="13" t="s">
        <v>22</v>
      </c>
      <c r="J31" s="15">
        <f>SUM(Tabela27812151922252831343740434649525558616467707376792691217202326293235384144475053565962656871747783269121720232629323538414447[valor])</f>
        <v>845</v>
      </c>
      <c r="M31" s="13" t="s">
        <v>42</v>
      </c>
      <c r="N31" s="15">
        <f>SUM(Tabela278121317202326293235384144475053565962656871747780371013182124273033363942454851545760636669727578843710131821242730333639424548[Valor])</f>
        <v>30</v>
      </c>
    </row>
    <row r="32" spans="2:14" x14ac:dyDescent="0.25">
      <c r="B32" s="1"/>
      <c r="C32" s="1"/>
      <c r="D32" s="1"/>
      <c r="E32" s="8"/>
      <c r="F32" s="1"/>
      <c r="G32" s="1"/>
      <c r="I32" s="5"/>
      <c r="J32" s="5"/>
    </row>
    <row r="33" spans="2:11" x14ac:dyDescent="0.25">
      <c r="B33" s="1"/>
      <c r="C33" s="1"/>
      <c r="D33" s="1"/>
      <c r="E33" s="8"/>
      <c r="F33" s="1"/>
      <c r="G33" s="1"/>
      <c r="I33" s="5"/>
      <c r="J33" s="5"/>
    </row>
    <row r="34" spans="2:11" x14ac:dyDescent="0.25">
      <c r="B34" s="1"/>
      <c r="C34" s="1"/>
      <c r="D34" s="1"/>
      <c r="E34" s="8"/>
      <c r="F34" s="1"/>
      <c r="G34" s="1"/>
      <c r="I34" s="5"/>
      <c r="J34" s="5"/>
    </row>
    <row r="35" spans="2:11" x14ac:dyDescent="0.25">
      <c r="B35" s="1"/>
      <c r="C35" s="1"/>
      <c r="D35" s="1"/>
      <c r="E35" s="8"/>
      <c r="F35" s="1"/>
      <c r="G35" s="1"/>
      <c r="I35" s="5"/>
      <c r="J35" s="5"/>
    </row>
    <row r="36" spans="2:11" x14ac:dyDescent="0.25">
      <c r="B36" s="1"/>
      <c r="C36" s="1"/>
      <c r="D36" s="1"/>
      <c r="E36" s="8"/>
      <c r="F36" s="1"/>
      <c r="G36" s="1"/>
      <c r="J36" s="5"/>
    </row>
    <row r="37" spans="2:11" x14ac:dyDescent="0.25">
      <c r="I37" s="5"/>
    </row>
    <row r="39" spans="2:11" x14ac:dyDescent="0.25">
      <c r="I39" s="9"/>
    </row>
    <row r="40" spans="2:11" x14ac:dyDescent="0.25">
      <c r="I40" t="s">
        <v>20</v>
      </c>
    </row>
    <row r="41" spans="2:11" x14ac:dyDescent="0.25">
      <c r="B41" s="4" t="s">
        <v>10</v>
      </c>
      <c r="C41" s="2">
        <f>SUMIF(Tabela1651118212427303336394245485154576063666972757881581115192225283134374043464952555861646770737682855811151922252831343740434649[Forma de Pagamento],"Dinheiro",Tabela1651118212427303336394245485154576063666972757881581115192225283134374043464952555861646770737682855811151922252831343740434649[Valor])</f>
        <v>510</v>
      </c>
      <c r="D41" s="4" t="s">
        <v>16</v>
      </c>
      <c r="E41" s="2">
        <f>SUMIF(Tabela1651118212427303336394245485154576063666972757881581115192225283134374043464952555861646770737682855811151922252831343740434649[Item],"Gás",Tabela1651118212427303336394245485154576063666972757881581115192225283134374043464952555861646770737682855811151922252831343740434649[QUANTIDADE])+G41</f>
        <v>17</v>
      </c>
      <c r="F41" s="4" t="s">
        <v>25</v>
      </c>
      <c r="G41" s="2">
        <f>SUMIF(Tabela1651118212427303336394245485154576063666972757881581115192225283134374043464952555861646770737682855811151922252831343740434649[Item],"Gás completo",Tabela1651118212427303336394245485154576063666972757881581115192225283134374043464952555861646770737682855811151922252831343740434649[QUANTIDADE])</f>
        <v>0</v>
      </c>
    </row>
    <row r="42" spans="2:11" x14ac:dyDescent="0.25">
      <c r="B42" s="4" t="s">
        <v>11</v>
      </c>
      <c r="C42" s="2">
        <f>SUMIF(Tabela1651118212427303336394245485154576063666972757881581115192225283134374043464952555861646770737682855811151922252831343740434649[Forma de Pagamento],"Cartão",Tabela1651118212427303336394245485154576063666972757881581115192225283134374043464952555861646770737682855811151922252831343740434649[Valor])</f>
        <v>510</v>
      </c>
      <c r="D42" s="4" t="s">
        <v>17</v>
      </c>
      <c r="E42" s="2">
        <f>SUMIF(Tabela1651118212427303336394245485154576063666972757881581115192225283134374043464952555861646770737682855811151922252831343740434649[Item],"Água",Tabela1651118212427303336394245485154576063666972757881581115192225283134374043464952555861646770737682855811151922252831343740434649[QUANTIDADE])+G42</f>
        <v>10</v>
      </c>
      <c r="F42" s="4" t="s">
        <v>27</v>
      </c>
      <c r="G42" s="2">
        <f>SUMIF(Tabela1651118212427303336394245485154576063666972757881581115192225283134374043464952555861646770737682855811151922252831343740434649[Item],"Água completa",Tabela1651118212427303336394245485154576063666972757881581115192225283134374043464952555861646770737682855811151922252831343740434649[QUANTIDADE])</f>
        <v>0</v>
      </c>
      <c r="J42" s="4" t="s">
        <v>5</v>
      </c>
      <c r="K42" s="4" t="s">
        <v>8</v>
      </c>
    </row>
    <row r="43" spans="2:11" x14ac:dyDescent="0.25">
      <c r="B43" s="4" t="s">
        <v>12</v>
      </c>
      <c r="C43" s="2">
        <f>SUMIF(Tabela1651118212427303336394245485154576063666972757881581115192225283134374043464952555861646770737682855811151922252831343740434649[Forma de Pagamento],"Pix",Tabela1651118212427303336394245485154576063666972757881581115192225283134374043464952555861646770737682855811151922252831343740434649[Valor])</f>
        <v>383</v>
      </c>
      <c r="I43" s="4" t="s">
        <v>6</v>
      </c>
      <c r="J43" s="1">
        <f>SUM(J7-E41+N7)</f>
        <v>29</v>
      </c>
      <c r="K43" s="2">
        <f>SUM(K7-E42+O7)</f>
        <v>-10</v>
      </c>
    </row>
    <row r="44" spans="2:11" x14ac:dyDescent="0.25">
      <c r="B44" s="4" t="s">
        <v>13</v>
      </c>
      <c r="C44" s="2">
        <f>SUMIF(Tabela1651118212427303336394245485154576063666972757881581115192225283134374043464952555861646770737682855811151922252831343740434649[Forma de Pagamento],"Fiado",Tabela1651118212427303336394245485154576063666972757881581115192225283134374043464952555861646770737682855811151922252831343740434649[Valor])</f>
        <v>195</v>
      </c>
      <c r="D44" s="4" t="s">
        <v>14</v>
      </c>
      <c r="E44" s="7">
        <f>SUM(F3-J31+C41+N31)</f>
        <v>375</v>
      </c>
      <c r="I44" s="4" t="s">
        <v>7</v>
      </c>
      <c r="J44" s="2">
        <f>SUM(J8+E41-N7)-G41</f>
        <v>13</v>
      </c>
      <c r="K44" s="2">
        <f>SUM(K8+E42-O7)-G42</f>
        <v>10</v>
      </c>
    </row>
  </sheetData>
  <dataValidations count="2">
    <dataValidation type="list" allowBlank="1" showInputMessage="1" showErrorMessage="1" sqref="F7:F36" xr:uid="{C281F8CE-7E8A-4107-9392-FDBF12B3233D}">
      <formula1>"Dinheiro,Cartão,Pix,Fiado,Pago"</formula1>
    </dataValidation>
    <dataValidation type="list" allowBlank="1" showInputMessage="1" showErrorMessage="1" sqref="B7:B16 B18:B36" xr:uid="{3DBD147C-C490-4A3E-9470-FCFB9C990A74}">
      <formula1>"Gás,Água,Gás completo,Água completa,Gás e Água, Recebimento"</formula1>
    </dataValidation>
  </dataValidations>
  <pageMargins left="0.511811024" right="0.511811024" top="0.78740157499999996" bottom="0.78740157499999996" header="0.31496062000000002" footer="0.31496062000000002"/>
  <pageSetup paperSize="0" orientation="portrait" horizontalDpi="203" verticalDpi="203" r:id="rId1"/>
  <drawing r:id="rId2"/>
  <tableParts count="3">
    <tablePart r:id="rId3"/>
    <tablePart r:id="rId4"/>
    <tablePart r:id="rId5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5E303-C250-49D6-938A-00315901CD9E}">
  <dimension ref="B2:O44"/>
  <sheetViews>
    <sheetView showGridLines="0" topLeftCell="A13" workbookViewId="0">
      <selection activeCell="C37" sqref="C37"/>
    </sheetView>
  </sheetViews>
  <sheetFormatPr defaultRowHeight="15" x14ac:dyDescent="0.25"/>
  <cols>
    <col min="2" max="2" width="14.7109375" customWidth="1"/>
    <col min="3" max="3" width="38.140625" customWidth="1"/>
    <col min="4" max="4" width="19.85546875" customWidth="1"/>
    <col min="5" max="5" width="21.85546875" customWidth="1"/>
    <col min="6" max="6" width="25.85546875" customWidth="1"/>
    <col min="7" max="7" width="16.7109375" customWidth="1"/>
    <col min="8" max="8" width="11.28515625" customWidth="1"/>
    <col min="9" max="9" width="21.85546875" customWidth="1"/>
    <col min="10" max="10" width="13.5703125" customWidth="1"/>
    <col min="11" max="11" width="12.28515625" customWidth="1"/>
    <col min="12" max="12" width="8.5703125" customWidth="1"/>
    <col min="13" max="13" width="19.7109375" customWidth="1"/>
    <col min="14" max="14" width="15.5703125" customWidth="1"/>
    <col min="15" max="15" width="13" customWidth="1"/>
  </cols>
  <sheetData>
    <row r="2" spans="2:15" ht="15.75" x14ac:dyDescent="0.25">
      <c r="E2" s="10" t="s">
        <v>4</v>
      </c>
      <c r="F2" s="3">
        <v>45184</v>
      </c>
    </row>
    <row r="3" spans="2:15" ht="15.75" x14ac:dyDescent="0.25">
      <c r="E3" s="10" t="s">
        <v>15</v>
      </c>
      <c r="F3" s="7">
        <v>270</v>
      </c>
    </row>
    <row r="4" spans="2:15" x14ac:dyDescent="0.25">
      <c r="J4" t="s">
        <v>19</v>
      </c>
      <c r="M4" t="s">
        <v>24</v>
      </c>
    </row>
    <row r="6" spans="2:15" x14ac:dyDescent="0.25">
      <c r="B6" s="6" t="s">
        <v>9</v>
      </c>
      <c r="C6" s="6" t="s">
        <v>0</v>
      </c>
      <c r="D6" s="6" t="s">
        <v>1</v>
      </c>
      <c r="E6" s="6" t="s">
        <v>2</v>
      </c>
      <c r="F6" s="6" t="s">
        <v>3</v>
      </c>
      <c r="G6" s="6" t="s">
        <v>26</v>
      </c>
      <c r="J6" s="4" t="s">
        <v>5</v>
      </c>
      <c r="K6" s="4" t="s">
        <v>8</v>
      </c>
      <c r="N6" s="4" t="s">
        <v>5</v>
      </c>
      <c r="O6" s="4" t="s">
        <v>8</v>
      </c>
    </row>
    <row r="7" spans="2:15" x14ac:dyDescent="0.25">
      <c r="B7" s="1" t="s">
        <v>5</v>
      </c>
      <c r="C7" s="1" t="s">
        <v>142</v>
      </c>
      <c r="D7" s="1"/>
      <c r="E7" s="8">
        <v>95</v>
      </c>
      <c r="F7" s="1" t="s">
        <v>10</v>
      </c>
      <c r="G7" s="1">
        <v>1</v>
      </c>
      <c r="I7" s="4" t="s">
        <v>6</v>
      </c>
      <c r="J7" s="1">
        <v>32</v>
      </c>
      <c r="K7" s="11">
        <v>15</v>
      </c>
      <c r="M7" s="4" t="s">
        <v>23</v>
      </c>
      <c r="N7" s="11">
        <v>18</v>
      </c>
      <c r="O7" s="11"/>
    </row>
    <row r="8" spans="2:15" x14ac:dyDescent="0.25">
      <c r="B8" s="1" t="s">
        <v>5</v>
      </c>
      <c r="C8" s="1" t="s">
        <v>305</v>
      </c>
      <c r="D8" s="1"/>
      <c r="E8" s="8">
        <v>100</v>
      </c>
      <c r="F8" s="1" t="s">
        <v>10</v>
      </c>
      <c r="G8" s="1">
        <v>1</v>
      </c>
      <c r="I8" s="4" t="s">
        <v>7</v>
      </c>
      <c r="J8" s="11">
        <v>10</v>
      </c>
      <c r="K8" s="11">
        <v>3</v>
      </c>
    </row>
    <row r="9" spans="2:15" x14ac:dyDescent="0.25">
      <c r="B9" s="1" t="s">
        <v>5</v>
      </c>
      <c r="C9" s="1" t="s">
        <v>304</v>
      </c>
      <c r="D9" s="1"/>
      <c r="E9" s="8">
        <v>100</v>
      </c>
      <c r="F9" s="1" t="s">
        <v>12</v>
      </c>
      <c r="G9" s="1">
        <v>1</v>
      </c>
    </row>
    <row r="10" spans="2:15" x14ac:dyDescent="0.25">
      <c r="B10" s="1" t="s">
        <v>5</v>
      </c>
      <c r="C10" s="1">
        <v>4</v>
      </c>
      <c r="D10" s="1"/>
      <c r="E10" s="8">
        <v>100</v>
      </c>
      <c r="F10" s="1" t="s">
        <v>13</v>
      </c>
      <c r="G10" s="1">
        <v>1</v>
      </c>
    </row>
    <row r="11" spans="2:15" x14ac:dyDescent="0.25">
      <c r="B11" s="1" t="s">
        <v>5</v>
      </c>
      <c r="C11" s="1" t="s">
        <v>303</v>
      </c>
      <c r="D11" s="1"/>
      <c r="E11" s="8">
        <v>100</v>
      </c>
      <c r="F11" s="1" t="s">
        <v>10</v>
      </c>
      <c r="G11" s="1">
        <v>1</v>
      </c>
    </row>
    <row r="12" spans="2:15" x14ac:dyDescent="0.25">
      <c r="B12" s="1" t="s">
        <v>8</v>
      </c>
      <c r="C12" s="1" t="s">
        <v>302</v>
      </c>
      <c r="D12" s="1"/>
      <c r="E12" s="8">
        <v>14</v>
      </c>
      <c r="F12" s="1"/>
      <c r="G12" s="1">
        <v>2</v>
      </c>
    </row>
    <row r="13" spans="2:15" x14ac:dyDescent="0.25">
      <c r="B13" s="1" t="s">
        <v>5</v>
      </c>
      <c r="C13" s="1" t="s">
        <v>301</v>
      </c>
      <c r="D13" s="1"/>
      <c r="E13" s="8">
        <v>100</v>
      </c>
      <c r="F13" s="1" t="s">
        <v>10</v>
      </c>
      <c r="G13" s="1">
        <v>1</v>
      </c>
      <c r="I13" t="s">
        <v>21</v>
      </c>
    </row>
    <row r="14" spans="2:15" x14ac:dyDescent="0.25">
      <c r="B14" s="1" t="s">
        <v>5</v>
      </c>
      <c r="C14" s="1" t="s">
        <v>144</v>
      </c>
      <c r="D14" s="1"/>
      <c r="E14" s="8">
        <v>100</v>
      </c>
      <c r="F14" s="1" t="s">
        <v>10</v>
      </c>
      <c r="G14" s="1">
        <v>1</v>
      </c>
    </row>
    <row r="15" spans="2:15" x14ac:dyDescent="0.25">
      <c r="B15" s="1" t="s">
        <v>5</v>
      </c>
      <c r="C15" s="1" t="s">
        <v>300</v>
      </c>
      <c r="D15" s="1"/>
      <c r="E15" s="8">
        <v>105</v>
      </c>
      <c r="F15" s="1" t="s">
        <v>11</v>
      </c>
      <c r="G15" s="1">
        <v>1</v>
      </c>
    </row>
    <row r="16" spans="2:15" x14ac:dyDescent="0.25">
      <c r="B16" s="1" t="s">
        <v>5</v>
      </c>
      <c r="C16" s="1" t="s">
        <v>299</v>
      </c>
      <c r="D16" s="1"/>
      <c r="E16" s="8">
        <v>100</v>
      </c>
      <c r="F16" s="1" t="s">
        <v>13</v>
      </c>
      <c r="G16" s="1">
        <v>1</v>
      </c>
      <c r="I16" s="5" t="s">
        <v>43</v>
      </c>
      <c r="J16" s="5" t="s">
        <v>44</v>
      </c>
      <c r="M16" s="5" t="s">
        <v>18</v>
      </c>
      <c r="N16" s="5" t="s">
        <v>2</v>
      </c>
    </row>
    <row r="17" spans="2:14" x14ac:dyDescent="0.25">
      <c r="B17" s="1" t="s">
        <v>8</v>
      </c>
      <c r="C17" s="1" t="s">
        <v>144</v>
      </c>
      <c r="D17" s="1"/>
      <c r="E17" s="8">
        <v>7</v>
      </c>
      <c r="F17" s="1"/>
      <c r="G17" s="1">
        <v>1</v>
      </c>
      <c r="I17" s="5"/>
      <c r="J17" s="7">
        <v>714</v>
      </c>
      <c r="M17" s="5"/>
      <c r="N17" s="12"/>
    </row>
    <row r="18" spans="2:14" x14ac:dyDescent="0.25">
      <c r="B18" s="1" t="s">
        <v>5</v>
      </c>
      <c r="C18" s="1" t="s">
        <v>307</v>
      </c>
      <c r="D18" s="1"/>
      <c r="E18" s="8">
        <v>100</v>
      </c>
      <c r="F18" s="1" t="s">
        <v>13</v>
      </c>
      <c r="G18" s="1">
        <v>1</v>
      </c>
      <c r="I18" s="5"/>
      <c r="J18" s="12"/>
      <c r="M18" s="5"/>
      <c r="N18" s="12"/>
    </row>
    <row r="19" spans="2:14" x14ac:dyDescent="0.25">
      <c r="B19" s="1" t="s">
        <v>5</v>
      </c>
      <c r="C19" s="1" t="s">
        <v>267</v>
      </c>
      <c r="D19" s="1" t="s">
        <v>306</v>
      </c>
      <c r="E19" s="8">
        <v>105</v>
      </c>
      <c r="F19" s="1" t="s">
        <v>11</v>
      </c>
      <c r="G19" s="1">
        <v>1</v>
      </c>
      <c r="I19" s="5"/>
      <c r="J19" s="12"/>
      <c r="M19" s="5"/>
      <c r="N19" s="12"/>
    </row>
    <row r="20" spans="2:14" x14ac:dyDescent="0.25">
      <c r="B20" s="1" t="s">
        <v>5</v>
      </c>
      <c r="C20" s="1" t="s">
        <v>308</v>
      </c>
      <c r="D20" s="1"/>
      <c r="E20" s="8">
        <v>100</v>
      </c>
      <c r="F20" s="1" t="s">
        <v>10</v>
      </c>
      <c r="G20" s="1">
        <v>1</v>
      </c>
      <c r="I20" s="5"/>
      <c r="J20" s="12"/>
      <c r="M20" s="5"/>
      <c r="N20" s="12"/>
    </row>
    <row r="21" spans="2:14" x14ac:dyDescent="0.25">
      <c r="B21" s="1" t="s">
        <v>5</v>
      </c>
      <c r="C21" s="1" t="s">
        <v>309</v>
      </c>
      <c r="D21" s="1"/>
      <c r="E21" s="8">
        <v>100</v>
      </c>
      <c r="F21" s="1" t="s">
        <v>13</v>
      </c>
      <c r="G21" s="1">
        <v>1</v>
      </c>
      <c r="I21" s="5"/>
      <c r="J21" s="12"/>
      <c r="M21" s="5"/>
      <c r="N21" s="12"/>
    </row>
    <row r="22" spans="2:14" x14ac:dyDescent="0.25">
      <c r="B22" s="1" t="s">
        <v>5</v>
      </c>
      <c r="C22" s="1" t="s">
        <v>48</v>
      </c>
      <c r="D22" s="1"/>
      <c r="E22" s="8">
        <v>100</v>
      </c>
      <c r="F22" s="1" t="s">
        <v>13</v>
      </c>
      <c r="G22" s="1">
        <v>1</v>
      </c>
      <c r="I22" s="5"/>
      <c r="J22" s="12"/>
      <c r="M22" s="5"/>
      <c r="N22" s="12"/>
    </row>
    <row r="23" spans="2:14" x14ac:dyDescent="0.25">
      <c r="B23" s="1" t="s">
        <v>8</v>
      </c>
      <c r="C23" s="1" t="s">
        <v>126</v>
      </c>
      <c r="D23" s="1"/>
      <c r="E23" s="8">
        <v>9</v>
      </c>
      <c r="F23" s="1"/>
      <c r="G23" s="1">
        <v>1</v>
      </c>
      <c r="I23" s="5"/>
      <c r="J23" s="12"/>
      <c r="M23" s="5"/>
      <c r="N23" s="12"/>
    </row>
    <row r="24" spans="2:14" x14ac:dyDescent="0.25">
      <c r="B24" s="1" t="s">
        <v>8</v>
      </c>
      <c r="C24" s="1" t="s">
        <v>64</v>
      </c>
      <c r="D24" s="1"/>
      <c r="E24" s="8">
        <v>9</v>
      </c>
      <c r="F24" s="1"/>
      <c r="G24" s="25">
        <v>1</v>
      </c>
      <c r="I24" s="5"/>
      <c r="J24" s="12"/>
      <c r="L24" s="14"/>
      <c r="M24" s="5"/>
      <c r="N24" s="12"/>
    </row>
    <row r="25" spans="2:14" x14ac:dyDescent="0.25">
      <c r="B25" s="1" t="s">
        <v>5</v>
      </c>
      <c r="C25" s="1" t="s">
        <v>310</v>
      </c>
      <c r="D25" s="1"/>
      <c r="E25" s="8">
        <v>100</v>
      </c>
      <c r="F25" s="1" t="s">
        <v>13</v>
      </c>
      <c r="G25" s="1">
        <v>1</v>
      </c>
      <c r="I25" s="5"/>
      <c r="J25" s="12"/>
      <c r="M25" s="5"/>
      <c r="N25" s="12"/>
    </row>
    <row r="26" spans="2:14" x14ac:dyDescent="0.25">
      <c r="B26" s="1"/>
      <c r="C26" s="1"/>
      <c r="D26" s="1"/>
      <c r="E26" s="8"/>
      <c r="F26" s="1"/>
      <c r="G26" s="1"/>
      <c r="I26" s="5"/>
      <c r="J26" s="12"/>
      <c r="M26" s="5"/>
      <c r="N26" s="12"/>
    </row>
    <row r="27" spans="2:14" x14ac:dyDescent="0.25">
      <c r="B27" s="1"/>
      <c r="C27" s="1"/>
      <c r="D27" s="1"/>
      <c r="E27" s="8"/>
      <c r="F27" s="1"/>
      <c r="G27" s="1"/>
      <c r="I27" s="5"/>
      <c r="J27" s="12"/>
      <c r="M27" s="5"/>
      <c r="N27" s="12"/>
    </row>
    <row r="28" spans="2:14" x14ac:dyDescent="0.25">
      <c r="B28" s="1"/>
      <c r="C28" s="1"/>
      <c r="D28" s="1"/>
      <c r="E28" s="8"/>
      <c r="F28" s="1"/>
      <c r="G28" s="1"/>
      <c r="I28" s="5"/>
      <c r="J28" s="12"/>
      <c r="M28" s="5"/>
      <c r="N28" s="12"/>
    </row>
    <row r="29" spans="2:14" x14ac:dyDescent="0.25">
      <c r="B29" s="1"/>
      <c r="C29" s="1"/>
      <c r="D29" s="1"/>
      <c r="E29" s="8"/>
      <c r="F29" s="1"/>
      <c r="G29" s="1"/>
      <c r="I29" s="5"/>
      <c r="J29" s="12"/>
      <c r="M29" s="5"/>
      <c r="N29" s="12"/>
    </row>
    <row r="30" spans="2:14" x14ac:dyDescent="0.25">
      <c r="B30" s="1"/>
      <c r="C30" s="1"/>
      <c r="D30" s="1"/>
      <c r="E30" s="8"/>
      <c r="F30" s="1"/>
      <c r="G30" s="1"/>
      <c r="I30" s="5"/>
      <c r="J30" s="5"/>
    </row>
    <row r="31" spans="2:14" ht="18.75" x14ac:dyDescent="0.4">
      <c r="B31" s="1"/>
      <c r="C31" s="1"/>
      <c r="D31" s="1"/>
      <c r="E31" s="8"/>
      <c r="F31" s="1"/>
      <c r="G31" s="1"/>
      <c r="I31" s="13" t="s">
        <v>22</v>
      </c>
      <c r="J31" s="15">
        <f>SUM(Tabela278121519222528313437404346495255586164677073767926912172023262932353841444750535659626568717477832691217202326293235384144[valor])</f>
        <v>714</v>
      </c>
      <c r="M31" s="13" t="s">
        <v>42</v>
      </c>
      <c r="N31" s="15">
        <f>SUM(Tabela2781213172023262932353841444750535659626568717477803710131821242730333639424548515457606366697275788437101318212427303336394245[Valor])</f>
        <v>0</v>
      </c>
    </row>
    <row r="32" spans="2:14" x14ac:dyDescent="0.25">
      <c r="B32" s="1"/>
      <c r="C32" s="1"/>
      <c r="D32" s="1"/>
      <c r="E32" s="8"/>
      <c r="F32" s="1"/>
      <c r="G32" s="1"/>
      <c r="I32" s="5"/>
      <c r="J32" s="5"/>
    </row>
    <row r="33" spans="2:11" x14ac:dyDescent="0.25">
      <c r="B33" s="1"/>
      <c r="C33" s="1"/>
      <c r="D33" s="1"/>
      <c r="E33" s="8"/>
      <c r="F33" s="1"/>
      <c r="G33" s="1"/>
      <c r="I33" s="5"/>
      <c r="J33" s="5"/>
    </row>
    <row r="34" spans="2:11" x14ac:dyDescent="0.25">
      <c r="B34" s="1"/>
      <c r="C34" s="1"/>
      <c r="D34" s="1"/>
      <c r="E34" s="8"/>
      <c r="F34" s="1"/>
      <c r="G34" s="1"/>
      <c r="I34" s="5"/>
      <c r="J34" s="5"/>
    </row>
    <row r="35" spans="2:11" x14ac:dyDescent="0.25">
      <c r="B35" s="1"/>
      <c r="C35" s="1"/>
      <c r="D35" s="1"/>
      <c r="E35" s="8"/>
      <c r="F35" s="1"/>
      <c r="G35" s="1"/>
      <c r="I35" s="5"/>
      <c r="J35" s="5"/>
    </row>
    <row r="36" spans="2:11" x14ac:dyDescent="0.25">
      <c r="B36" s="1"/>
      <c r="C36" s="1"/>
      <c r="D36" s="1"/>
      <c r="E36" s="8"/>
      <c r="F36" s="1"/>
      <c r="G36" s="1"/>
      <c r="J36" s="5"/>
    </row>
    <row r="37" spans="2:11" x14ac:dyDescent="0.25">
      <c r="I37" s="5"/>
    </row>
    <row r="39" spans="2:11" x14ac:dyDescent="0.25">
      <c r="I39" s="9"/>
    </row>
    <row r="40" spans="2:11" x14ac:dyDescent="0.25">
      <c r="I40" t="s">
        <v>20</v>
      </c>
    </row>
    <row r="41" spans="2:11" x14ac:dyDescent="0.25">
      <c r="B41" s="4" t="s">
        <v>10</v>
      </c>
      <c r="C41" s="2">
        <f>SUMIF(Tabela16511182124273033363942454851545760636669727578815811151922252831343740434649525558616467707376828558111519222528313437404346[Forma de Pagamento],"Dinheiro",Tabela16511182124273033363942454851545760636669727578815811151922252831343740434649525558616467707376828558111519222528313437404346[Valor])</f>
        <v>595</v>
      </c>
      <c r="D41" s="4" t="s">
        <v>16</v>
      </c>
      <c r="E41" s="2">
        <f>SUMIF(Tabela16511182124273033363942454851545760636669727578815811151922252831343740434649525558616467707376828558111519222528313437404346[Item],"Gás",Tabela16511182124273033363942454851545760636669727578815811151922252831343740434649525558616467707376828558111519222528313437404346[QUANTIDADE])+G41</f>
        <v>15</v>
      </c>
      <c r="F41" s="4" t="s">
        <v>25</v>
      </c>
      <c r="G41" s="2">
        <f>SUMIF(Tabela16511182124273033363942454851545760636669727578815811151922252831343740434649525558616467707376828558111519222528313437404346[Item],"Gás completo",Tabela16511182124273033363942454851545760636669727578815811151922252831343740434649525558616467707376828558111519222528313437404346[QUANTIDADE])</f>
        <v>0</v>
      </c>
    </row>
    <row r="42" spans="2:11" x14ac:dyDescent="0.25">
      <c r="B42" s="4" t="s">
        <v>11</v>
      </c>
      <c r="C42" s="2">
        <f>SUMIF(Tabela16511182124273033363942454851545760636669727578815811151922252831343740434649525558616467707376828558111519222528313437404346[Forma de Pagamento],"Cartão",Tabela16511182124273033363942454851545760636669727578815811151922252831343740434649525558616467707376828558111519222528313437404346[Valor])</f>
        <v>210</v>
      </c>
      <c r="D42" s="4" t="s">
        <v>17</v>
      </c>
      <c r="E42" s="2">
        <f>SUMIF(Tabela16511182124273033363942454851545760636669727578815811151922252831343740434649525558616467707376828558111519222528313437404346[Item],"Água",Tabela16511182124273033363942454851545760636669727578815811151922252831343740434649525558616467707376828558111519222528313437404346[QUANTIDADE])+G42</f>
        <v>5</v>
      </c>
      <c r="F42" s="4" t="s">
        <v>27</v>
      </c>
      <c r="G42" s="2">
        <f>SUMIF(Tabela16511182124273033363942454851545760636669727578815811151922252831343740434649525558616467707376828558111519222528313437404346[Item],"Água completa",Tabela16511182124273033363942454851545760636669727578815811151922252831343740434649525558616467707376828558111519222528313437404346[QUANTIDADE])</f>
        <v>0</v>
      </c>
      <c r="J42" s="4" t="s">
        <v>5</v>
      </c>
      <c r="K42" s="4" t="s">
        <v>8</v>
      </c>
    </row>
    <row r="43" spans="2:11" x14ac:dyDescent="0.25">
      <c r="B43" s="4" t="s">
        <v>12</v>
      </c>
      <c r="C43" s="2">
        <f>SUMIF(Tabela16511182124273033363942454851545760636669727578815811151922252831343740434649525558616467707376828558111519222528313437404346[Forma de Pagamento],"Pix",Tabela16511182124273033363942454851545760636669727578815811151922252831343740434649525558616467707376828558111519222528313437404346[Valor])</f>
        <v>100</v>
      </c>
      <c r="I43" s="4" t="s">
        <v>6</v>
      </c>
      <c r="J43" s="1">
        <f>SUM(J7-E41+N7)</f>
        <v>35</v>
      </c>
      <c r="K43" s="2">
        <f>SUM(K7-E42+O7)</f>
        <v>10</v>
      </c>
    </row>
    <row r="44" spans="2:11" x14ac:dyDescent="0.25">
      <c r="B44" s="4" t="s">
        <v>13</v>
      </c>
      <c r="C44" s="2">
        <f>SUMIF(Tabela16511182124273033363942454851545760636669727578815811151922252831343740434649525558616467707376828558111519222528313437404346[Forma de Pagamento],"Fiado",Tabela16511182124273033363942454851545760636669727578815811151922252831343740434649525558616467707376828558111519222528313437404346[Valor])</f>
        <v>600</v>
      </c>
      <c r="D44" s="4" t="s">
        <v>14</v>
      </c>
      <c r="E44" s="7">
        <f>SUM(F3-J31+C41+N31)</f>
        <v>151</v>
      </c>
      <c r="I44" s="4" t="s">
        <v>7</v>
      </c>
      <c r="J44" s="2">
        <f>SUM(J8+E41-N7)-G41</f>
        <v>7</v>
      </c>
      <c r="K44" s="2">
        <f>SUM(K8+E42-O7)-G42</f>
        <v>8</v>
      </c>
    </row>
  </sheetData>
  <dataValidations count="2">
    <dataValidation type="list" allowBlank="1" showInputMessage="1" showErrorMessage="1" sqref="B7:B16 B18:B36" xr:uid="{4AC023ED-C83C-4595-835A-D3BD35A9F646}">
      <formula1>"Gás,Água,Gás completo,Água completa,Gás e Água, Recebimento"</formula1>
    </dataValidation>
    <dataValidation type="list" allowBlank="1" showInputMessage="1" showErrorMessage="1" sqref="F7:F36" xr:uid="{F0410D27-4E06-493C-B564-C362CE22D9E2}">
      <formula1>"Dinheiro,Cartão,Pix,Fiado,Pago"</formula1>
    </dataValidation>
  </dataValidations>
  <pageMargins left="0.511811024" right="0.511811024" top="0.78740157499999996" bottom="0.78740157499999996" header="0.31496062000000002" footer="0.31496062000000002"/>
  <pageSetup paperSize="0" orientation="portrait" horizontalDpi="203" verticalDpi="203" r:id="rId1"/>
  <drawing r:id="rId2"/>
  <tableParts count="3">
    <tablePart r:id="rId3"/>
    <tablePart r:id="rId4"/>
    <tablePart r:id="rId5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23030-97B3-4ACD-914A-82C9FD80D77D}">
  <dimension ref="B2:O44"/>
  <sheetViews>
    <sheetView showGridLines="0" workbookViewId="0">
      <selection activeCell="E41" sqref="E41"/>
    </sheetView>
  </sheetViews>
  <sheetFormatPr defaultRowHeight="15" x14ac:dyDescent="0.25"/>
  <cols>
    <col min="2" max="2" width="14.7109375" customWidth="1"/>
    <col min="3" max="3" width="38.140625" customWidth="1"/>
    <col min="4" max="4" width="19.85546875" customWidth="1"/>
    <col min="5" max="5" width="21.85546875" customWidth="1"/>
    <col min="6" max="6" width="25.85546875" customWidth="1"/>
    <col min="7" max="7" width="16.7109375" customWidth="1"/>
    <col min="8" max="8" width="11.28515625" customWidth="1"/>
    <col min="9" max="9" width="21.85546875" customWidth="1"/>
    <col min="10" max="10" width="13.5703125" customWidth="1"/>
    <col min="11" max="11" width="12.28515625" customWidth="1"/>
    <col min="12" max="12" width="8.5703125" customWidth="1"/>
    <col min="13" max="13" width="19.7109375" customWidth="1"/>
    <col min="14" max="14" width="15.5703125" customWidth="1"/>
    <col min="15" max="15" width="13" customWidth="1"/>
  </cols>
  <sheetData>
    <row r="2" spans="2:15" ht="15.75" x14ac:dyDescent="0.25">
      <c r="E2" s="10" t="s">
        <v>4</v>
      </c>
      <c r="F2" s="3">
        <v>45181</v>
      </c>
    </row>
    <row r="3" spans="2:15" ht="15.75" x14ac:dyDescent="0.25">
      <c r="E3" s="10" t="s">
        <v>15</v>
      </c>
      <c r="F3" s="7">
        <v>210</v>
      </c>
    </row>
    <row r="4" spans="2:15" x14ac:dyDescent="0.25">
      <c r="J4" t="s">
        <v>19</v>
      </c>
      <c r="M4" t="s">
        <v>24</v>
      </c>
    </row>
    <row r="6" spans="2:15" x14ac:dyDescent="0.25">
      <c r="B6" s="6" t="s">
        <v>9</v>
      </c>
      <c r="C6" s="6" t="s">
        <v>0</v>
      </c>
      <c r="D6" s="6" t="s">
        <v>1</v>
      </c>
      <c r="E6" s="6" t="s">
        <v>2</v>
      </c>
      <c r="F6" s="6" t="s">
        <v>3</v>
      </c>
      <c r="G6" s="6" t="s">
        <v>26</v>
      </c>
      <c r="J6" s="4" t="s">
        <v>5</v>
      </c>
      <c r="K6" s="4" t="s">
        <v>8</v>
      </c>
      <c r="N6" s="4" t="s">
        <v>5</v>
      </c>
      <c r="O6" s="4" t="s">
        <v>8</v>
      </c>
    </row>
    <row r="7" spans="2:15" x14ac:dyDescent="0.25">
      <c r="B7" s="1" t="s">
        <v>5</v>
      </c>
      <c r="C7" s="1" t="s">
        <v>292</v>
      </c>
      <c r="D7" s="1"/>
      <c r="E7" s="8">
        <v>100</v>
      </c>
      <c r="F7" s="1" t="s">
        <v>11</v>
      </c>
      <c r="G7" s="1">
        <v>1</v>
      </c>
      <c r="I7" s="4" t="s">
        <v>6</v>
      </c>
      <c r="J7" s="1">
        <v>26</v>
      </c>
      <c r="K7" s="11">
        <v>11</v>
      </c>
      <c r="M7" s="4" t="s">
        <v>23</v>
      </c>
      <c r="N7" s="11">
        <v>15</v>
      </c>
      <c r="O7" s="11"/>
    </row>
    <row r="8" spans="2:15" x14ac:dyDescent="0.25">
      <c r="B8" s="1" t="s">
        <v>8</v>
      </c>
      <c r="C8" s="1" t="s">
        <v>293</v>
      </c>
      <c r="D8" s="1"/>
      <c r="E8" s="8">
        <v>9</v>
      </c>
      <c r="F8" s="1"/>
      <c r="G8" s="1">
        <v>1</v>
      </c>
      <c r="I8" s="4" t="s">
        <v>7</v>
      </c>
      <c r="J8" s="11">
        <v>16</v>
      </c>
      <c r="K8" s="11">
        <v>5</v>
      </c>
    </row>
    <row r="9" spans="2:15" x14ac:dyDescent="0.25">
      <c r="B9" s="1" t="s">
        <v>5</v>
      </c>
      <c r="C9" s="1" t="s">
        <v>294</v>
      </c>
      <c r="D9" s="1"/>
      <c r="E9" s="8">
        <v>105</v>
      </c>
      <c r="F9" s="1" t="s">
        <v>11</v>
      </c>
      <c r="G9" s="1">
        <v>1</v>
      </c>
    </row>
    <row r="10" spans="2:15" x14ac:dyDescent="0.25">
      <c r="B10" s="1" t="s">
        <v>5</v>
      </c>
      <c r="C10" s="1" t="s">
        <v>295</v>
      </c>
      <c r="D10" s="1"/>
      <c r="E10" s="8">
        <v>100</v>
      </c>
      <c r="F10" s="1" t="s">
        <v>10</v>
      </c>
      <c r="G10" s="1">
        <v>1</v>
      </c>
    </row>
    <row r="11" spans="2:15" x14ac:dyDescent="0.25">
      <c r="B11" s="1" t="s">
        <v>5</v>
      </c>
      <c r="C11" s="1" t="s">
        <v>296</v>
      </c>
      <c r="D11" s="1"/>
      <c r="E11" s="8">
        <v>100</v>
      </c>
      <c r="F11" s="1" t="s">
        <v>12</v>
      </c>
      <c r="G11" s="1">
        <v>1</v>
      </c>
    </row>
    <row r="12" spans="2:15" x14ac:dyDescent="0.25">
      <c r="B12" s="1" t="s">
        <v>5</v>
      </c>
      <c r="C12" s="1" t="s">
        <v>297</v>
      </c>
      <c r="D12" s="1"/>
      <c r="E12" s="8">
        <v>95</v>
      </c>
      <c r="F12" s="1" t="s">
        <v>10</v>
      </c>
      <c r="G12" s="1">
        <v>1</v>
      </c>
    </row>
    <row r="13" spans="2:15" x14ac:dyDescent="0.25">
      <c r="B13" s="1" t="s">
        <v>5</v>
      </c>
      <c r="C13" s="1" t="s">
        <v>298</v>
      </c>
      <c r="D13" s="1"/>
      <c r="E13" s="8">
        <v>100</v>
      </c>
      <c r="F13" s="1" t="s">
        <v>12</v>
      </c>
      <c r="G13" s="1">
        <v>1</v>
      </c>
      <c r="I13" t="s">
        <v>21</v>
      </c>
    </row>
    <row r="14" spans="2:15" x14ac:dyDescent="0.25">
      <c r="B14" s="1" t="s">
        <v>8</v>
      </c>
      <c r="C14" s="1" t="s">
        <v>221</v>
      </c>
      <c r="D14" s="1"/>
      <c r="E14" s="8">
        <v>9</v>
      </c>
      <c r="F14" s="1" t="s">
        <v>11</v>
      </c>
      <c r="G14" s="1">
        <v>1</v>
      </c>
    </row>
    <row r="15" spans="2:15" x14ac:dyDescent="0.25">
      <c r="B15" s="1" t="s">
        <v>8</v>
      </c>
      <c r="C15" s="1" t="s">
        <v>285</v>
      </c>
      <c r="D15" s="1"/>
      <c r="E15" s="8">
        <v>9</v>
      </c>
      <c r="F15" s="1"/>
      <c r="G15" s="1">
        <v>1</v>
      </c>
    </row>
    <row r="16" spans="2:15" x14ac:dyDescent="0.25">
      <c r="B16" s="1" t="s">
        <v>8</v>
      </c>
      <c r="C16" s="1" t="s">
        <v>286</v>
      </c>
      <c r="D16" s="1"/>
      <c r="E16" s="8">
        <v>9</v>
      </c>
      <c r="F16" s="1" t="s">
        <v>10</v>
      </c>
      <c r="G16" s="1">
        <v>1</v>
      </c>
      <c r="I16" s="5" t="s">
        <v>43</v>
      </c>
      <c r="J16" s="5" t="s">
        <v>44</v>
      </c>
      <c r="M16" s="5" t="s">
        <v>18</v>
      </c>
      <c r="N16" s="5" t="s">
        <v>2</v>
      </c>
    </row>
    <row r="17" spans="2:14" x14ac:dyDescent="0.25">
      <c r="B17" s="1" t="s">
        <v>5</v>
      </c>
      <c r="C17" s="1" t="s">
        <v>289</v>
      </c>
      <c r="D17" s="1"/>
      <c r="E17" s="8">
        <v>200</v>
      </c>
      <c r="F17" s="1" t="s">
        <v>12</v>
      </c>
      <c r="G17" s="1">
        <v>2</v>
      </c>
      <c r="I17" s="5"/>
      <c r="J17" s="7">
        <v>210</v>
      </c>
      <c r="M17" s="5"/>
      <c r="N17" s="12"/>
    </row>
    <row r="18" spans="2:14" x14ac:dyDescent="0.25">
      <c r="B18" s="1" t="s">
        <v>5</v>
      </c>
      <c r="C18" s="1" t="s">
        <v>287</v>
      </c>
      <c r="D18" s="1" t="s">
        <v>288</v>
      </c>
      <c r="E18" s="8">
        <v>100</v>
      </c>
      <c r="F18" s="1" t="s">
        <v>10</v>
      </c>
      <c r="G18" s="1">
        <v>1</v>
      </c>
      <c r="I18" s="5"/>
      <c r="J18" s="12">
        <v>40</v>
      </c>
      <c r="M18" s="5"/>
      <c r="N18" s="12"/>
    </row>
    <row r="19" spans="2:14" x14ac:dyDescent="0.25">
      <c r="B19" s="1" t="s">
        <v>8</v>
      </c>
      <c r="C19" s="1" t="s">
        <v>290</v>
      </c>
      <c r="D19" s="1"/>
      <c r="E19" s="8">
        <v>9</v>
      </c>
      <c r="F19" s="1" t="s">
        <v>11</v>
      </c>
      <c r="G19" s="1">
        <v>1</v>
      </c>
      <c r="I19" s="5"/>
      <c r="J19" s="12"/>
      <c r="M19" s="5"/>
      <c r="N19" s="12"/>
    </row>
    <row r="20" spans="2:14" x14ac:dyDescent="0.25">
      <c r="B20" s="1" t="s">
        <v>8</v>
      </c>
      <c r="C20" s="1" t="s">
        <v>291</v>
      </c>
      <c r="D20" s="1"/>
      <c r="E20" s="8">
        <v>9</v>
      </c>
      <c r="F20" s="1" t="s">
        <v>13</v>
      </c>
      <c r="G20" s="1">
        <v>1</v>
      </c>
      <c r="I20" s="5"/>
      <c r="J20" s="12"/>
      <c r="M20" s="5"/>
      <c r="N20" s="12"/>
    </row>
    <row r="21" spans="2:14" x14ac:dyDescent="0.25">
      <c r="B21" s="1"/>
      <c r="C21" s="1"/>
      <c r="D21" s="1"/>
      <c r="E21" s="8"/>
      <c r="F21" s="1"/>
      <c r="G21" s="1"/>
      <c r="I21" s="5"/>
      <c r="J21" s="12"/>
      <c r="M21" s="5"/>
      <c r="N21" s="12"/>
    </row>
    <row r="22" spans="2:14" x14ac:dyDescent="0.25">
      <c r="B22" s="1"/>
      <c r="C22" s="1"/>
      <c r="D22" s="1"/>
      <c r="E22" s="8"/>
      <c r="F22" s="1"/>
      <c r="G22" s="1"/>
      <c r="I22" s="5"/>
      <c r="J22" s="12"/>
      <c r="M22" s="5"/>
      <c r="N22" s="12"/>
    </row>
    <row r="23" spans="2:14" x14ac:dyDescent="0.25">
      <c r="B23" s="1"/>
      <c r="C23" s="1"/>
      <c r="D23" s="1"/>
      <c r="E23" s="8"/>
      <c r="F23" s="1"/>
      <c r="G23" s="1"/>
      <c r="I23" s="5"/>
      <c r="J23" s="12"/>
      <c r="M23" s="5"/>
      <c r="N23" s="12"/>
    </row>
    <row r="24" spans="2:14" x14ac:dyDescent="0.25">
      <c r="B24" s="1"/>
      <c r="C24" s="1"/>
      <c r="D24" s="1"/>
      <c r="E24" s="8"/>
      <c r="F24" s="1"/>
      <c r="G24" s="25"/>
      <c r="I24" s="5"/>
      <c r="J24" s="12"/>
      <c r="L24" s="14"/>
      <c r="M24" s="5"/>
      <c r="N24" s="12"/>
    </row>
    <row r="25" spans="2:14" x14ac:dyDescent="0.25">
      <c r="B25" s="1"/>
      <c r="C25" s="1"/>
      <c r="D25" s="1"/>
      <c r="E25" s="8"/>
      <c r="F25" s="1"/>
      <c r="G25" s="1"/>
      <c r="I25" s="5"/>
      <c r="J25" s="12"/>
      <c r="M25" s="5"/>
      <c r="N25" s="12"/>
    </row>
    <row r="26" spans="2:14" x14ac:dyDescent="0.25">
      <c r="B26" s="1"/>
      <c r="C26" s="1"/>
      <c r="D26" s="1"/>
      <c r="E26" s="8"/>
      <c r="F26" s="1"/>
      <c r="G26" s="1"/>
      <c r="I26" s="5"/>
      <c r="J26" s="12"/>
      <c r="M26" s="5"/>
      <c r="N26" s="12"/>
    </row>
    <row r="27" spans="2:14" x14ac:dyDescent="0.25">
      <c r="B27" s="1"/>
      <c r="C27" s="1"/>
      <c r="D27" s="1"/>
      <c r="E27" s="8"/>
      <c r="F27" s="1"/>
      <c r="G27" s="1"/>
      <c r="I27" s="5"/>
      <c r="J27" s="12"/>
      <c r="M27" s="5"/>
      <c r="N27" s="12"/>
    </row>
    <row r="28" spans="2:14" x14ac:dyDescent="0.25">
      <c r="B28" s="1"/>
      <c r="C28" s="1"/>
      <c r="D28" s="1"/>
      <c r="E28" s="8"/>
      <c r="F28" s="1"/>
      <c r="G28" s="1"/>
      <c r="I28" s="5"/>
      <c r="J28" s="12"/>
      <c r="M28" s="5"/>
      <c r="N28" s="12"/>
    </row>
    <row r="29" spans="2:14" x14ac:dyDescent="0.25">
      <c r="B29" s="1"/>
      <c r="C29" s="1"/>
      <c r="D29" s="1"/>
      <c r="E29" s="8"/>
      <c r="F29" s="1"/>
      <c r="G29" s="1"/>
      <c r="I29" s="5"/>
      <c r="J29" s="12"/>
      <c r="M29" s="5"/>
      <c r="N29" s="12"/>
    </row>
    <row r="30" spans="2:14" x14ac:dyDescent="0.25">
      <c r="B30" s="1"/>
      <c r="C30" s="1"/>
      <c r="D30" s="1"/>
      <c r="E30" s="8"/>
      <c r="F30" s="1"/>
      <c r="G30" s="1"/>
      <c r="I30" s="5"/>
      <c r="J30" s="5"/>
    </row>
    <row r="31" spans="2:14" ht="18.75" x14ac:dyDescent="0.4">
      <c r="B31" s="1"/>
      <c r="C31" s="1"/>
      <c r="D31" s="1"/>
      <c r="E31" s="8"/>
      <c r="F31" s="1"/>
      <c r="G31" s="1"/>
      <c r="I31" s="13" t="s">
        <v>22</v>
      </c>
      <c r="J31" s="15">
        <f>SUM(Tabela2781215192225283134374043464952555861646770737679269121720232629323538414447505356596265687174778326912172023262932353841[valor])</f>
        <v>250</v>
      </c>
      <c r="M31" s="13" t="s">
        <v>42</v>
      </c>
      <c r="N31" s="15">
        <f>SUM(Tabela27812131720232629323538414447505356596265687174778037101318212427303336394245485154576063666972757884371013182124273033363942[Valor])</f>
        <v>0</v>
      </c>
    </row>
    <row r="32" spans="2:14" x14ac:dyDescent="0.25">
      <c r="B32" s="1"/>
      <c r="C32" s="1"/>
      <c r="D32" s="1"/>
      <c r="E32" s="8"/>
      <c r="F32" s="1"/>
      <c r="G32" s="1"/>
      <c r="I32" s="5"/>
      <c r="J32" s="5"/>
    </row>
    <row r="33" spans="2:11" x14ac:dyDescent="0.25">
      <c r="B33" s="1"/>
      <c r="C33" s="1"/>
      <c r="D33" s="1"/>
      <c r="E33" s="8"/>
      <c r="F33" s="1"/>
      <c r="G33" s="1"/>
      <c r="I33" s="5"/>
      <c r="J33" s="5"/>
    </row>
    <row r="34" spans="2:11" x14ac:dyDescent="0.25">
      <c r="B34" s="1"/>
      <c r="C34" s="1"/>
      <c r="D34" s="1"/>
      <c r="E34" s="8"/>
      <c r="F34" s="1"/>
      <c r="G34" s="1"/>
      <c r="I34" s="5"/>
      <c r="J34" s="5"/>
    </row>
    <row r="35" spans="2:11" x14ac:dyDescent="0.25">
      <c r="B35" s="1"/>
      <c r="C35" s="1"/>
      <c r="D35" s="1"/>
      <c r="E35" s="8"/>
      <c r="F35" s="1"/>
      <c r="G35" s="1"/>
      <c r="I35" s="5"/>
      <c r="J35" s="5"/>
    </row>
    <row r="36" spans="2:11" x14ac:dyDescent="0.25">
      <c r="B36" s="1"/>
      <c r="C36" s="1"/>
      <c r="D36" s="1"/>
      <c r="E36" s="8"/>
      <c r="F36" s="1"/>
      <c r="G36" s="1"/>
      <c r="J36" s="5"/>
    </row>
    <row r="37" spans="2:11" x14ac:dyDescent="0.25">
      <c r="I37" s="5"/>
    </row>
    <row r="39" spans="2:11" x14ac:dyDescent="0.25">
      <c r="I39" s="9"/>
    </row>
    <row r="40" spans="2:11" x14ac:dyDescent="0.25">
      <c r="I40" t="s">
        <v>20</v>
      </c>
    </row>
    <row r="41" spans="2:11" x14ac:dyDescent="0.25">
      <c r="B41" s="4" t="s">
        <v>10</v>
      </c>
      <c r="C41" s="2">
        <f>SUMIF(Tabela165111821242730333639424548515457606366697275788158111519222528313437404346495255586164677073768285581115192225283134374043[Forma de Pagamento],"Dinheiro",Tabela165111821242730333639424548515457606366697275788158111519222528313437404346495255586164677073768285581115192225283134374043[Valor])</f>
        <v>304</v>
      </c>
      <c r="D41" s="4" t="s">
        <v>16</v>
      </c>
      <c r="E41" s="2">
        <f>SUMIF(Tabela165111821242730333639424548515457606366697275788158111519222528313437404346495255586164677073768285581115192225283134374043[Item],"Gás",Tabela165111821242730333639424548515457606366697275788158111519222528313437404346495255586164677073768285581115192225283134374043[QUANTIDADE])+G41</f>
        <v>9</v>
      </c>
      <c r="F41" s="4" t="s">
        <v>25</v>
      </c>
      <c r="G41" s="2">
        <f>SUMIF(Tabela165111821242730333639424548515457606366697275788158111519222528313437404346495255586164677073768285581115192225283134374043[Item],"Gás completo",Tabela165111821242730333639424548515457606366697275788158111519222528313437404346495255586164677073768285581115192225283134374043[QUANTIDADE])</f>
        <v>0</v>
      </c>
    </row>
    <row r="42" spans="2:11" x14ac:dyDescent="0.25">
      <c r="B42" s="4" t="s">
        <v>11</v>
      </c>
      <c r="C42" s="2">
        <f>SUMIF(Tabela165111821242730333639424548515457606366697275788158111519222528313437404346495255586164677073768285581115192225283134374043[Forma de Pagamento],"Cartão",Tabela165111821242730333639424548515457606366697275788158111519222528313437404346495255586164677073768285581115192225283134374043[Valor])</f>
        <v>223</v>
      </c>
      <c r="D42" s="4" t="s">
        <v>17</v>
      </c>
      <c r="E42" s="2">
        <f>SUMIF(Tabela165111821242730333639424548515457606366697275788158111519222528313437404346495255586164677073768285581115192225283134374043[Item],"Água",Tabela165111821242730333639424548515457606366697275788158111519222528313437404346495255586164677073768285581115192225283134374043[QUANTIDADE])+G42</f>
        <v>6</v>
      </c>
      <c r="F42" s="4" t="s">
        <v>27</v>
      </c>
      <c r="G42" s="2">
        <f>SUMIF(Tabela165111821242730333639424548515457606366697275788158111519222528313437404346495255586164677073768285581115192225283134374043[Item],"Água completa",Tabela165111821242730333639424548515457606366697275788158111519222528313437404346495255586164677073768285581115192225283134374043[QUANTIDADE])</f>
        <v>0</v>
      </c>
      <c r="J42" s="4" t="s">
        <v>5</v>
      </c>
      <c r="K42" s="4" t="s">
        <v>8</v>
      </c>
    </row>
    <row r="43" spans="2:11" x14ac:dyDescent="0.25">
      <c r="B43" s="4" t="s">
        <v>12</v>
      </c>
      <c r="C43" s="2">
        <f>SUMIF(Tabela165111821242730333639424548515457606366697275788158111519222528313437404346495255586164677073768285581115192225283134374043[Forma de Pagamento],"Pix",Tabela165111821242730333639424548515457606366697275788158111519222528313437404346495255586164677073768285581115192225283134374043[Valor])</f>
        <v>400</v>
      </c>
      <c r="I43" s="4" t="s">
        <v>6</v>
      </c>
      <c r="J43" s="1">
        <f>SUM(J7-E41+N7)</f>
        <v>32</v>
      </c>
      <c r="K43" s="2">
        <f>SUM(K7-E42+O7)</f>
        <v>5</v>
      </c>
    </row>
    <row r="44" spans="2:11" x14ac:dyDescent="0.25">
      <c r="B44" s="4" t="s">
        <v>13</v>
      </c>
      <c r="C44" s="2">
        <f>SUMIF(Tabela165111821242730333639424548515457606366697275788158111519222528313437404346495255586164677073768285581115192225283134374043[Forma de Pagamento],"Fiado",Tabela165111821242730333639424548515457606366697275788158111519222528313437404346495255586164677073768285581115192225283134374043[Valor])</f>
        <v>9</v>
      </c>
      <c r="D44" s="4" t="s">
        <v>14</v>
      </c>
      <c r="E44" s="7">
        <f>SUM(F3-J31+C41+N31)</f>
        <v>264</v>
      </c>
      <c r="I44" s="4" t="s">
        <v>7</v>
      </c>
      <c r="J44" s="2">
        <f>SUM(J8+E41-N7)-G41</f>
        <v>10</v>
      </c>
      <c r="K44" s="2">
        <f>SUM(K8+E42-O7)-G42</f>
        <v>11</v>
      </c>
    </row>
  </sheetData>
  <dataValidations count="2">
    <dataValidation type="list" allowBlank="1" showInputMessage="1" showErrorMessage="1" sqref="F7:F36" xr:uid="{8A3529F6-316B-4E24-8400-786CC2DEAE67}">
      <formula1>"Dinheiro,Cartão,Pix,Fiado,Pago"</formula1>
    </dataValidation>
    <dataValidation type="list" allowBlank="1" showInputMessage="1" showErrorMessage="1" sqref="B7:B16 B18:B36" xr:uid="{245950A7-7B2E-4B34-8E08-6581064B0235}">
      <formula1>"Gás,Água,Gás completo,Água completa,Gás e Água, Recebimento"</formula1>
    </dataValidation>
  </dataValidations>
  <pageMargins left="0.511811024" right="0.511811024" top="0.78740157499999996" bottom="0.78740157499999996" header="0.31496062000000002" footer="0.31496062000000002"/>
  <pageSetup paperSize="0" orientation="portrait" horizontalDpi="203" verticalDpi="203" r:id="rId1"/>
  <drawing r:id="rId2"/>
  <tableParts count="3">
    <tablePart r:id="rId3"/>
    <tablePart r:id="rId4"/>
    <tablePart r:id="rId5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7740C-8C3F-489D-A679-9B6D1FC91253}">
  <dimension ref="B2:O44"/>
  <sheetViews>
    <sheetView showGridLines="0" topLeftCell="A4" workbookViewId="0">
      <selection activeCell="F30" sqref="F30"/>
    </sheetView>
  </sheetViews>
  <sheetFormatPr defaultRowHeight="15" x14ac:dyDescent="0.25"/>
  <cols>
    <col min="2" max="2" width="14.7109375" customWidth="1"/>
    <col min="3" max="3" width="38.140625" customWidth="1"/>
    <col min="4" max="4" width="19.85546875" customWidth="1"/>
    <col min="5" max="5" width="21.85546875" customWidth="1"/>
    <col min="6" max="6" width="25.85546875" customWidth="1"/>
    <col min="7" max="7" width="16.7109375" customWidth="1"/>
    <col min="8" max="8" width="11.28515625" customWidth="1"/>
    <col min="9" max="9" width="21.85546875" customWidth="1"/>
    <col min="10" max="10" width="13.5703125" customWidth="1"/>
    <col min="11" max="11" width="12.28515625" customWidth="1"/>
    <col min="12" max="12" width="8.5703125" customWidth="1"/>
    <col min="13" max="13" width="19.7109375" customWidth="1"/>
    <col min="14" max="14" width="15.5703125" customWidth="1"/>
    <col min="15" max="15" width="13" customWidth="1"/>
  </cols>
  <sheetData>
    <row r="2" spans="2:15" ht="15.75" x14ac:dyDescent="0.25">
      <c r="E2" s="10" t="s">
        <v>4</v>
      </c>
      <c r="F2" s="3">
        <v>45181</v>
      </c>
    </row>
    <row r="3" spans="2:15" ht="15.75" x14ac:dyDescent="0.25">
      <c r="E3" s="10" t="s">
        <v>15</v>
      </c>
      <c r="F3" s="7">
        <v>500</v>
      </c>
    </row>
    <row r="4" spans="2:15" x14ac:dyDescent="0.25">
      <c r="J4" t="s">
        <v>19</v>
      </c>
      <c r="M4" t="s">
        <v>24</v>
      </c>
    </row>
    <row r="6" spans="2:15" x14ac:dyDescent="0.25">
      <c r="B6" s="6" t="s">
        <v>9</v>
      </c>
      <c r="C6" s="6" t="s">
        <v>0</v>
      </c>
      <c r="D6" s="6" t="s">
        <v>1</v>
      </c>
      <c r="E6" s="6" t="s">
        <v>2</v>
      </c>
      <c r="F6" s="6" t="s">
        <v>3</v>
      </c>
      <c r="G6" s="6" t="s">
        <v>26</v>
      </c>
      <c r="J6" s="4" t="s">
        <v>5</v>
      </c>
      <c r="K6" s="4" t="s">
        <v>8</v>
      </c>
      <c r="N6" s="4" t="s">
        <v>5</v>
      </c>
      <c r="O6" s="4" t="s">
        <v>8</v>
      </c>
    </row>
    <row r="7" spans="2:15" x14ac:dyDescent="0.25">
      <c r="B7" s="1" t="s">
        <v>5</v>
      </c>
      <c r="C7" s="1" t="s">
        <v>266</v>
      </c>
      <c r="D7" s="1"/>
      <c r="E7" s="8">
        <v>100</v>
      </c>
      <c r="F7" s="1" t="s">
        <v>11</v>
      </c>
      <c r="G7" s="1">
        <v>1</v>
      </c>
      <c r="I7" s="4" t="s">
        <v>6</v>
      </c>
      <c r="J7" s="1">
        <v>31</v>
      </c>
      <c r="K7" s="11">
        <v>10</v>
      </c>
      <c r="M7" s="4" t="s">
        <v>23</v>
      </c>
      <c r="N7" s="11">
        <v>10</v>
      </c>
      <c r="O7" s="11"/>
    </row>
    <row r="8" spans="2:15" x14ac:dyDescent="0.25">
      <c r="B8" s="1" t="s">
        <v>8</v>
      </c>
      <c r="C8" s="1" t="s">
        <v>267</v>
      </c>
      <c r="D8" s="1"/>
      <c r="E8" s="8">
        <v>9</v>
      </c>
      <c r="F8" s="1" t="s">
        <v>11</v>
      </c>
      <c r="G8" s="1">
        <v>1</v>
      </c>
      <c r="I8" s="4" t="s">
        <v>7</v>
      </c>
      <c r="J8" s="11">
        <v>11</v>
      </c>
      <c r="K8" s="11">
        <v>6</v>
      </c>
    </row>
    <row r="9" spans="2:15" x14ac:dyDescent="0.25">
      <c r="B9" s="1" t="s">
        <v>5</v>
      </c>
      <c r="C9" s="1" t="s">
        <v>268</v>
      </c>
      <c r="D9" s="1"/>
      <c r="E9" s="8">
        <v>100</v>
      </c>
      <c r="F9" s="1" t="s">
        <v>11</v>
      </c>
      <c r="G9" s="1">
        <v>1</v>
      </c>
    </row>
    <row r="10" spans="2:15" x14ac:dyDescent="0.25">
      <c r="B10" s="1" t="s">
        <v>8</v>
      </c>
      <c r="C10" s="1" t="s">
        <v>269</v>
      </c>
      <c r="D10" s="1"/>
      <c r="E10" s="8">
        <v>9</v>
      </c>
      <c r="F10" s="1"/>
      <c r="G10" s="1">
        <v>1</v>
      </c>
    </row>
    <row r="11" spans="2:15" x14ac:dyDescent="0.25">
      <c r="B11" s="1" t="s">
        <v>5</v>
      </c>
      <c r="C11" s="1" t="s">
        <v>270</v>
      </c>
      <c r="D11" s="1"/>
      <c r="E11" s="8">
        <v>200</v>
      </c>
      <c r="F11" s="1" t="s">
        <v>10</v>
      </c>
      <c r="G11" s="1">
        <v>2</v>
      </c>
    </row>
    <row r="12" spans="2:15" x14ac:dyDescent="0.25">
      <c r="B12" s="1" t="s">
        <v>5</v>
      </c>
      <c r="C12" s="1" t="s">
        <v>271</v>
      </c>
      <c r="D12" s="1"/>
      <c r="E12" s="8">
        <v>100</v>
      </c>
      <c r="F12" s="1" t="s">
        <v>11</v>
      </c>
      <c r="G12" s="1">
        <v>1</v>
      </c>
    </row>
    <row r="13" spans="2:15" x14ac:dyDescent="0.25">
      <c r="B13" s="1" t="s">
        <v>5</v>
      </c>
      <c r="C13" s="1" t="s">
        <v>272</v>
      </c>
      <c r="D13" s="1"/>
      <c r="E13" s="8">
        <v>100</v>
      </c>
      <c r="F13" s="1" t="s">
        <v>11</v>
      </c>
      <c r="G13" s="1">
        <v>1</v>
      </c>
      <c r="I13" t="s">
        <v>21</v>
      </c>
    </row>
    <row r="14" spans="2:15" x14ac:dyDescent="0.25">
      <c r="B14" s="1" t="s">
        <v>8</v>
      </c>
      <c r="C14" s="1" t="s">
        <v>273</v>
      </c>
      <c r="D14" s="1"/>
      <c r="E14" s="8">
        <v>9</v>
      </c>
      <c r="F14" s="1"/>
      <c r="G14" s="1">
        <v>1</v>
      </c>
    </row>
    <row r="15" spans="2:15" x14ac:dyDescent="0.25">
      <c r="B15" s="1" t="s">
        <v>8</v>
      </c>
      <c r="C15" s="1" t="s">
        <v>274</v>
      </c>
      <c r="D15" s="1"/>
      <c r="E15" s="8">
        <v>18</v>
      </c>
      <c r="F15" s="1" t="s">
        <v>13</v>
      </c>
      <c r="G15" s="1">
        <v>2</v>
      </c>
    </row>
    <row r="16" spans="2:15" x14ac:dyDescent="0.25">
      <c r="B16" s="1" t="s">
        <v>8</v>
      </c>
      <c r="C16" s="1" t="s">
        <v>275</v>
      </c>
      <c r="D16" s="1"/>
      <c r="E16" s="8">
        <v>8</v>
      </c>
      <c r="F16" s="1" t="s">
        <v>10</v>
      </c>
      <c r="G16" s="1">
        <v>1</v>
      </c>
      <c r="I16" s="5" t="s">
        <v>43</v>
      </c>
      <c r="J16" s="5" t="s">
        <v>44</v>
      </c>
      <c r="M16" s="5" t="s">
        <v>18</v>
      </c>
      <c r="N16" s="5" t="s">
        <v>2</v>
      </c>
    </row>
    <row r="17" spans="2:14" x14ac:dyDescent="0.25">
      <c r="B17" s="1" t="s">
        <v>8</v>
      </c>
      <c r="C17" s="1" t="s">
        <v>276</v>
      </c>
      <c r="D17" s="1"/>
      <c r="E17" s="8">
        <v>9</v>
      </c>
      <c r="F17" s="1" t="s">
        <v>10</v>
      </c>
      <c r="G17" s="1">
        <v>1</v>
      </c>
      <c r="I17" s="5"/>
      <c r="J17" s="7">
        <v>100</v>
      </c>
      <c r="M17" s="5"/>
      <c r="N17" s="12"/>
    </row>
    <row r="18" spans="2:14" x14ac:dyDescent="0.25">
      <c r="B18" s="1" t="s">
        <v>5</v>
      </c>
      <c r="C18" s="1" t="s">
        <v>91</v>
      </c>
      <c r="D18" s="1"/>
      <c r="E18" s="8">
        <v>90</v>
      </c>
      <c r="F18" s="1" t="s">
        <v>12</v>
      </c>
      <c r="G18" s="1">
        <v>1</v>
      </c>
      <c r="I18" s="5"/>
      <c r="J18" s="12">
        <v>90</v>
      </c>
      <c r="M18" s="5"/>
      <c r="N18" s="12"/>
    </row>
    <row r="19" spans="2:14" x14ac:dyDescent="0.25">
      <c r="B19" s="1" t="s">
        <v>5</v>
      </c>
      <c r="C19" s="1" t="s">
        <v>277</v>
      </c>
      <c r="D19" s="1"/>
      <c r="E19" s="8">
        <v>90</v>
      </c>
      <c r="F19" s="1" t="s">
        <v>12</v>
      </c>
      <c r="G19" s="1">
        <v>1</v>
      </c>
      <c r="I19" s="5"/>
      <c r="J19" s="12">
        <v>590</v>
      </c>
      <c r="M19" s="5"/>
      <c r="N19" s="12"/>
    </row>
    <row r="20" spans="2:14" x14ac:dyDescent="0.25">
      <c r="B20" s="1" t="s">
        <v>8</v>
      </c>
      <c r="C20" s="1" t="s">
        <v>278</v>
      </c>
      <c r="D20" s="1"/>
      <c r="E20" s="8">
        <v>18</v>
      </c>
      <c r="F20" s="1" t="s">
        <v>11</v>
      </c>
      <c r="G20" s="1">
        <v>2</v>
      </c>
      <c r="I20" s="5"/>
      <c r="J20" s="12">
        <v>20</v>
      </c>
      <c r="M20" s="5"/>
      <c r="N20" s="12"/>
    </row>
    <row r="21" spans="2:14" x14ac:dyDescent="0.25">
      <c r="B21" s="1" t="s">
        <v>5</v>
      </c>
      <c r="C21" s="1" t="s">
        <v>279</v>
      </c>
      <c r="D21" s="1"/>
      <c r="E21" s="8">
        <v>100</v>
      </c>
      <c r="F21" s="1" t="s">
        <v>11</v>
      </c>
      <c r="G21" s="1">
        <v>1</v>
      </c>
      <c r="I21" s="5"/>
      <c r="J21" s="12"/>
      <c r="M21" s="5"/>
      <c r="N21" s="12"/>
    </row>
    <row r="22" spans="2:14" x14ac:dyDescent="0.25">
      <c r="B22" s="1" t="s">
        <v>8</v>
      </c>
      <c r="C22" s="1" t="s">
        <v>280</v>
      </c>
      <c r="D22" s="1"/>
      <c r="E22" s="8">
        <v>18</v>
      </c>
      <c r="F22" s="1" t="s">
        <v>13</v>
      </c>
      <c r="G22" s="1">
        <v>2</v>
      </c>
      <c r="I22" s="5"/>
      <c r="J22" s="12"/>
      <c r="M22" s="5"/>
      <c r="N22" s="12"/>
    </row>
    <row r="23" spans="2:14" x14ac:dyDescent="0.25">
      <c r="B23" s="1" t="s">
        <v>8</v>
      </c>
      <c r="C23" s="1" t="s">
        <v>126</v>
      </c>
      <c r="D23" s="1"/>
      <c r="E23" s="8">
        <v>9</v>
      </c>
      <c r="F23" s="1" t="s">
        <v>10</v>
      </c>
      <c r="G23" s="1">
        <v>1</v>
      </c>
      <c r="I23" s="5"/>
      <c r="J23" s="12"/>
      <c r="M23" s="5"/>
      <c r="N23" s="12"/>
    </row>
    <row r="24" spans="2:14" x14ac:dyDescent="0.25">
      <c r="B24" s="1" t="s">
        <v>5</v>
      </c>
      <c r="C24" s="1" t="s">
        <v>281</v>
      </c>
      <c r="D24" s="1"/>
      <c r="E24" s="8">
        <v>100</v>
      </c>
      <c r="F24" s="1" t="s">
        <v>10</v>
      </c>
      <c r="G24" s="25">
        <v>1</v>
      </c>
      <c r="I24" s="5"/>
      <c r="J24" s="12"/>
      <c r="L24" s="14"/>
      <c r="M24" s="5"/>
      <c r="N24" s="12"/>
    </row>
    <row r="25" spans="2:14" x14ac:dyDescent="0.25">
      <c r="B25" s="1" t="s">
        <v>5</v>
      </c>
      <c r="C25" s="1" t="s">
        <v>282</v>
      </c>
      <c r="D25" s="1" t="s">
        <v>68</v>
      </c>
      <c r="E25" s="8">
        <v>100</v>
      </c>
      <c r="F25" s="1" t="s">
        <v>12</v>
      </c>
      <c r="G25" s="1">
        <v>1</v>
      </c>
      <c r="I25" s="5"/>
      <c r="J25" s="12"/>
      <c r="M25" s="5"/>
      <c r="N25" s="12"/>
    </row>
    <row r="26" spans="2:14" x14ac:dyDescent="0.25">
      <c r="B26" s="1" t="s">
        <v>5</v>
      </c>
      <c r="C26" s="1" t="s">
        <v>283</v>
      </c>
      <c r="D26" s="1"/>
      <c r="E26" s="8">
        <v>100</v>
      </c>
      <c r="F26" s="1" t="s">
        <v>10</v>
      </c>
      <c r="G26" s="1">
        <v>1</v>
      </c>
      <c r="I26" s="5"/>
      <c r="J26" s="12"/>
      <c r="M26" s="5"/>
      <c r="N26" s="12"/>
    </row>
    <row r="27" spans="2:14" x14ac:dyDescent="0.25">
      <c r="B27" s="1" t="s">
        <v>8</v>
      </c>
      <c r="C27" s="1" t="s">
        <v>243</v>
      </c>
      <c r="D27" s="1"/>
      <c r="E27" s="8">
        <v>18</v>
      </c>
      <c r="F27" s="1" t="s">
        <v>11</v>
      </c>
      <c r="G27" s="1">
        <v>2</v>
      </c>
      <c r="I27" s="5"/>
      <c r="J27" s="12"/>
      <c r="M27" s="5"/>
      <c r="N27" s="12"/>
    </row>
    <row r="28" spans="2:14" x14ac:dyDescent="0.25">
      <c r="B28" s="1" t="s">
        <v>5</v>
      </c>
      <c r="C28" s="1" t="s">
        <v>284</v>
      </c>
      <c r="D28" s="1"/>
      <c r="E28" s="8">
        <v>100</v>
      </c>
      <c r="F28" s="1" t="s">
        <v>11</v>
      </c>
      <c r="G28" s="1">
        <v>1</v>
      </c>
      <c r="I28" s="5"/>
      <c r="J28" s="12"/>
      <c r="M28" s="5"/>
      <c r="N28" s="12"/>
    </row>
    <row r="29" spans="2:14" x14ac:dyDescent="0.25">
      <c r="B29" s="1" t="s">
        <v>5</v>
      </c>
      <c r="C29" s="1"/>
      <c r="D29" s="1"/>
      <c r="E29" s="8">
        <v>100</v>
      </c>
      <c r="F29" s="1" t="s">
        <v>10</v>
      </c>
      <c r="G29" s="1">
        <v>1</v>
      </c>
      <c r="I29" s="5"/>
      <c r="J29" s="12"/>
      <c r="M29" s="5"/>
      <c r="N29" s="12"/>
    </row>
    <row r="30" spans="2:14" x14ac:dyDescent="0.25">
      <c r="B30" s="1"/>
      <c r="C30" s="1"/>
      <c r="D30" s="1"/>
      <c r="E30" s="8"/>
      <c r="F30" s="1"/>
      <c r="G30" s="1"/>
      <c r="I30" s="5"/>
      <c r="J30" s="5"/>
    </row>
    <row r="31" spans="2:14" ht="18.75" x14ac:dyDescent="0.4">
      <c r="B31" s="1"/>
      <c r="C31" s="1"/>
      <c r="D31" s="1"/>
      <c r="E31" s="8"/>
      <c r="F31" s="1"/>
      <c r="G31" s="1"/>
      <c r="I31" s="13" t="s">
        <v>22</v>
      </c>
      <c r="J31" s="15">
        <f>SUM(Tabela27812151922252831343740434649525558616467707376792691217202326293235384144475053565962656871747783269121720232629323538[valor])</f>
        <v>800</v>
      </c>
      <c r="M31" s="13" t="s">
        <v>42</v>
      </c>
      <c r="N31" s="15">
        <f>SUM(Tabela278121317202326293235384144475053565962656871747780371013182124273033363942454851545760636669727578843710131821242730333639[Valor])</f>
        <v>0</v>
      </c>
    </row>
    <row r="32" spans="2:14" x14ac:dyDescent="0.25">
      <c r="B32" s="1"/>
      <c r="C32" s="1"/>
      <c r="D32" s="1"/>
      <c r="E32" s="8"/>
      <c r="F32" s="1"/>
      <c r="G32" s="1"/>
      <c r="I32" s="5"/>
      <c r="J32" s="5"/>
    </row>
    <row r="33" spans="2:11" x14ac:dyDescent="0.25">
      <c r="B33" s="1"/>
      <c r="C33" s="1"/>
      <c r="D33" s="1"/>
      <c r="E33" s="8"/>
      <c r="F33" s="1"/>
      <c r="G33" s="1"/>
      <c r="I33" s="5"/>
      <c r="J33" s="5"/>
    </row>
    <row r="34" spans="2:11" x14ac:dyDescent="0.25">
      <c r="B34" s="1"/>
      <c r="C34" s="1"/>
      <c r="D34" s="1"/>
      <c r="E34" s="8"/>
      <c r="F34" s="1"/>
      <c r="G34" s="1"/>
      <c r="I34" s="5"/>
      <c r="J34" s="5"/>
    </row>
    <row r="35" spans="2:11" x14ac:dyDescent="0.25">
      <c r="B35" s="1"/>
      <c r="C35" s="1"/>
      <c r="D35" s="1"/>
      <c r="E35" s="8"/>
      <c r="F35" s="1"/>
      <c r="G35" s="1"/>
      <c r="I35" s="5"/>
      <c r="J35" s="5"/>
    </row>
    <row r="36" spans="2:11" x14ac:dyDescent="0.25">
      <c r="B36" s="1"/>
      <c r="C36" s="1"/>
      <c r="D36" s="1"/>
      <c r="E36" s="8"/>
      <c r="F36" s="1"/>
      <c r="G36" s="1"/>
      <c r="J36" s="5"/>
    </row>
    <row r="37" spans="2:11" x14ac:dyDescent="0.25">
      <c r="I37" s="5"/>
    </row>
    <row r="39" spans="2:11" x14ac:dyDescent="0.25">
      <c r="I39" s="9"/>
    </row>
    <row r="40" spans="2:11" x14ac:dyDescent="0.25">
      <c r="I40" t="s">
        <v>20</v>
      </c>
    </row>
    <row r="41" spans="2:11" x14ac:dyDescent="0.25">
      <c r="B41" s="4" t="s">
        <v>10</v>
      </c>
      <c r="C41" s="2">
        <f>SUMIF(Tabela1651118212427303336394245485154576063666972757881581115192225283134374043464952555861646770737682855811151922252831343740[Forma de Pagamento],"Dinheiro",Tabela1651118212427303336394245485154576063666972757881581115192225283134374043464952555861646770737682855811151922252831343740[Valor])</f>
        <v>526</v>
      </c>
      <c r="D41" s="4" t="s">
        <v>16</v>
      </c>
      <c r="E41" s="2">
        <f>SUMIF(Tabela1651118212427303336394245485154576063666972757881581115192225283134374043464952555861646770737682855811151922252831343740[Item],"Gás",Tabela1651118212427303336394245485154576063666972757881581115192225283134374043464952555861646770737682855811151922252831343740[QUANTIDADE])+G41</f>
        <v>14</v>
      </c>
      <c r="F41" s="4" t="s">
        <v>25</v>
      </c>
      <c r="G41" s="2">
        <f>SUMIF(Tabela1651118212427303336394245485154576063666972757881581115192225283134374043464952555861646770737682855811151922252831343740[Item],"Gás completo",Tabela1651118212427303336394245485154576063666972757881581115192225283134374043464952555861646770737682855811151922252831343740[QUANTIDADE])</f>
        <v>0</v>
      </c>
    </row>
    <row r="42" spans="2:11" x14ac:dyDescent="0.25">
      <c r="B42" s="4" t="s">
        <v>11</v>
      </c>
      <c r="C42" s="2">
        <f>SUMIF(Tabela1651118212427303336394245485154576063666972757881581115192225283134374043464952555861646770737682855811151922252831343740[Forma de Pagamento],"Cartão",Tabela1651118212427303336394245485154576063666972757881581115192225283134374043464952555861646770737682855811151922252831343740[Valor])</f>
        <v>645</v>
      </c>
      <c r="D42" s="4" t="s">
        <v>17</v>
      </c>
      <c r="E42" s="2">
        <f>SUMIF(Tabela1651118212427303336394245485154576063666972757881581115192225283134374043464952555861646770737682855811151922252831343740[Item],"Água",Tabela1651118212427303336394245485154576063666972757881581115192225283134374043464952555861646770737682855811151922252831343740[QUANTIDADE])+G42</f>
        <v>14</v>
      </c>
      <c r="F42" s="4" t="s">
        <v>27</v>
      </c>
      <c r="G42" s="2">
        <f>SUMIF(Tabela1651118212427303336394245485154576063666972757881581115192225283134374043464952555861646770737682855811151922252831343740[Item],"Água completa",Tabela1651118212427303336394245485154576063666972757881581115192225283134374043464952555861646770737682855811151922252831343740[QUANTIDADE])</f>
        <v>0</v>
      </c>
      <c r="J42" s="4" t="s">
        <v>5</v>
      </c>
      <c r="K42" s="4" t="s">
        <v>8</v>
      </c>
    </row>
    <row r="43" spans="2:11" x14ac:dyDescent="0.25">
      <c r="B43" s="4" t="s">
        <v>12</v>
      </c>
      <c r="C43" s="2">
        <f>SUMIF(Tabela1651118212427303336394245485154576063666972757881581115192225283134374043464952555861646770737682855811151922252831343740[Forma de Pagamento],"Pix",Tabela1651118212427303336394245485154576063666972757881581115192225283134374043464952555861646770737682855811151922252831343740[Valor])</f>
        <v>280</v>
      </c>
      <c r="I43" s="4" t="s">
        <v>6</v>
      </c>
      <c r="J43" s="1">
        <f>SUM(J7-E41+N7)</f>
        <v>27</v>
      </c>
      <c r="K43" s="2">
        <f>SUM(K7-E42+O7)</f>
        <v>-4</v>
      </c>
    </row>
    <row r="44" spans="2:11" x14ac:dyDescent="0.25">
      <c r="B44" s="4" t="s">
        <v>13</v>
      </c>
      <c r="C44" s="2">
        <f>SUMIF(Tabela1651118212427303336394245485154576063666972757881581115192225283134374043464952555861646770737682855811151922252831343740[Forma de Pagamento],"Fiado",Tabela1651118212427303336394245485154576063666972757881581115192225283134374043464952555861646770737682855811151922252831343740[Valor])</f>
        <v>36</v>
      </c>
      <c r="D44" s="4" t="s">
        <v>14</v>
      </c>
      <c r="E44" s="7">
        <f>SUM(F3-J31+C41+N31)</f>
        <v>226</v>
      </c>
      <c r="I44" s="4" t="s">
        <v>7</v>
      </c>
      <c r="J44" s="2">
        <f>SUM(J8+E41-N7)-G41</f>
        <v>15</v>
      </c>
      <c r="K44" s="2">
        <f>SUM(K8+E42-O7)-G42</f>
        <v>20</v>
      </c>
    </row>
  </sheetData>
  <dataValidations count="2">
    <dataValidation type="list" allowBlank="1" showInputMessage="1" showErrorMessage="1" sqref="B7:B16 B18:B36" xr:uid="{AA0505E3-B593-47D7-8261-CC24FD553908}">
      <formula1>"Gás,Água,Gás completo,Água completa,Gás e Água, Recebimento"</formula1>
    </dataValidation>
    <dataValidation type="list" allowBlank="1" showInputMessage="1" showErrorMessage="1" sqref="F7:F36" xr:uid="{F67C7756-B78F-4916-B071-AD22B2132B55}">
      <formula1>"Dinheiro,Cartão,Pix,Fiado,Pago"</formula1>
    </dataValidation>
  </dataValidations>
  <pageMargins left="0.511811024" right="0.511811024" top="0.78740157499999996" bottom="0.78740157499999996" header="0.31496062000000002" footer="0.31496062000000002"/>
  <pageSetup paperSize="0" orientation="portrait" horizontalDpi="203" verticalDpi="203" r:id="rId1"/>
  <drawing r:id="rId2"/>
  <tableParts count="3">
    <tablePart r:id="rId3"/>
    <tablePart r:id="rId4"/>
    <tablePart r:id="rId5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445C2-3EB4-465A-A08C-275E4048C307}">
  <dimension ref="B2:O44"/>
  <sheetViews>
    <sheetView showGridLines="0" workbookViewId="0">
      <selection activeCell="N21" sqref="N21"/>
    </sheetView>
  </sheetViews>
  <sheetFormatPr defaultRowHeight="15" x14ac:dyDescent="0.25"/>
  <cols>
    <col min="2" max="2" width="14.7109375" customWidth="1"/>
    <col min="3" max="3" width="38.140625" customWidth="1"/>
    <col min="4" max="4" width="19.85546875" customWidth="1"/>
    <col min="5" max="5" width="21.85546875" customWidth="1"/>
    <col min="6" max="6" width="25.85546875" customWidth="1"/>
    <col min="7" max="7" width="16.7109375" customWidth="1"/>
    <col min="8" max="8" width="11.28515625" customWidth="1"/>
    <col min="9" max="9" width="21.85546875" customWidth="1"/>
    <col min="10" max="10" width="13.5703125" customWidth="1"/>
    <col min="11" max="11" width="12.28515625" customWidth="1"/>
    <col min="12" max="12" width="8.5703125" customWidth="1"/>
    <col min="13" max="13" width="19.7109375" customWidth="1"/>
    <col min="14" max="14" width="15.5703125" customWidth="1"/>
    <col min="15" max="15" width="13" customWidth="1"/>
  </cols>
  <sheetData>
    <row r="2" spans="2:15" ht="15.75" x14ac:dyDescent="0.25">
      <c r="E2" s="10" t="s">
        <v>4</v>
      </c>
      <c r="F2" s="3">
        <v>45181</v>
      </c>
    </row>
    <row r="3" spans="2:15" ht="15.75" x14ac:dyDescent="0.25">
      <c r="E3" s="10" t="s">
        <v>15</v>
      </c>
      <c r="F3" s="7">
        <v>230</v>
      </c>
    </row>
    <row r="4" spans="2:15" x14ac:dyDescent="0.25">
      <c r="J4" t="s">
        <v>19</v>
      </c>
      <c r="M4" t="s">
        <v>24</v>
      </c>
    </row>
    <row r="6" spans="2:15" x14ac:dyDescent="0.25">
      <c r="B6" s="6" t="s">
        <v>9</v>
      </c>
      <c r="C6" s="6" t="s">
        <v>0</v>
      </c>
      <c r="D6" s="6" t="s">
        <v>1</v>
      </c>
      <c r="E6" s="6" t="s">
        <v>2</v>
      </c>
      <c r="F6" s="6" t="s">
        <v>3</v>
      </c>
      <c r="G6" s="6" t="s">
        <v>26</v>
      </c>
      <c r="J6" s="4" t="s">
        <v>5</v>
      </c>
      <c r="K6" s="4" t="s">
        <v>8</v>
      </c>
      <c r="N6" s="4" t="s">
        <v>5</v>
      </c>
      <c r="O6" s="4" t="s">
        <v>8</v>
      </c>
    </row>
    <row r="7" spans="2:15" x14ac:dyDescent="0.25">
      <c r="B7" s="1" t="s">
        <v>8</v>
      </c>
      <c r="C7" s="1" t="s">
        <v>253</v>
      </c>
      <c r="D7" s="1"/>
      <c r="E7" s="8">
        <v>7</v>
      </c>
      <c r="F7" s="1"/>
      <c r="G7" s="1">
        <v>1</v>
      </c>
      <c r="I7" s="4" t="s">
        <v>6</v>
      </c>
      <c r="J7" s="1">
        <v>27</v>
      </c>
      <c r="K7" s="11">
        <v>9</v>
      </c>
      <c r="M7" s="4" t="s">
        <v>23</v>
      </c>
      <c r="N7" s="11">
        <v>12</v>
      </c>
      <c r="O7" s="11"/>
    </row>
    <row r="8" spans="2:15" x14ac:dyDescent="0.25">
      <c r="B8" s="1" t="s">
        <v>5</v>
      </c>
      <c r="C8" s="1" t="s">
        <v>261</v>
      </c>
      <c r="D8" s="1"/>
      <c r="E8" s="8">
        <v>100</v>
      </c>
      <c r="F8" s="1" t="s">
        <v>11</v>
      </c>
      <c r="G8" s="1">
        <v>1</v>
      </c>
      <c r="I8" s="4" t="s">
        <v>7</v>
      </c>
      <c r="J8" s="11">
        <v>14</v>
      </c>
      <c r="K8" s="11">
        <v>7</v>
      </c>
    </row>
    <row r="9" spans="2:15" x14ac:dyDescent="0.25">
      <c r="B9" s="1" t="s">
        <v>8</v>
      </c>
      <c r="C9" s="1" t="s">
        <v>260</v>
      </c>
      <c r="D9" s="1"/>
      <c r="E9" s="8">
        <v>18</v>
      </c>
      <c r="F9" s="1" t="s">
        <v>13</v>
      </c>
      <c r="G9" s="1">
        <v>1</v>
      </c>
    </row>
    <row r="10" spans="2:15" x14ac:dyDescent="0.25">
      <c r="B10" s="1" t="s">
        <v>5</v>
      </c>
      <c r="C10" s="1" t="s">
        <v>259</v>
      </c>
      <c r="D10" s="1"/>
      <c r="E10" s="8">
        <v>100</v>
      </c>
      <c r="F10" s="1" t="s">
        <v>11</v>
      </c>
      <c r="G10" s="1">
        <v>1</v>
      </c>
    </row>
    <row r="11" spans="2:15" x14ac:dyDescent="0.25">
      <c r="B11" s="1" t="s">
        <v>5</v>
      </c>
      <c r="C11" s="1" t="s">
        <v>258</v>
      </c>
      <c r="D11" s="1"/>
      <c r="E11" s="8">
        <v>100</v>
      </c>
      <c r="F11" s="1" t="s">
        <v>10</v>
      </c>
      <c r="G11" s="1">
        <v>1</v>
      </c>
    </row>
    <row r="12" spans="2:15" x14ac:dyDescent="0.25">
      <c r="B12" s="1" t="s">
        <v>8</v>
      </c>
      <c r="C12" s="1" t="s">
        <v>257</v>
      </c>
      <c r="D12" s="1"/>
      <c r="E12" s="8">
        <v>9</v>
      </c>
      <c r="F12" s="1" t="s">
        <v>12</v>
      </c>
      <c r="G12" s="1">
        <v>1</v>
      </c>
    </row>
    <row r="13" spans="2:15" x14ac:dyDescent="0.25">
      <c r="B13" s="1" t="s">
        <v>5</v>
      </c>
      <c r="C13" s="1" t="s">
        <v>256</v>
      </c>
      <c r="D13" s="1" t="s">
        <v>203</v>
      </c>
      <c r="E13" s="8">
        <v>100</v>
      </c>
      <c r="F13" s="1" t="s">
        <v>11</v>
      </c>
      <c r="G13" s="1">
        <v>1</v>
      </c>
      <c r="I13" t="s">
        <v>21</v>
      </c>
    </row>
    <row r="14" spans="2:15" x14ac:dyDescent="0.25">
      <c r="B14" s="1" t="s">
        <v>5</v>
      </c>
      <c r="C14" s="1" t="s">
        <v>255</v>
      </c>
      <c r="D14" s="1" t="s">
        <v>254</v>
      </c>
      <c r="E14" s="8">
        <v>100</v>
      </c>
      <c r="F14" s="1" t="s">
        <v>10</v>
      </c>
      <c r="G14" s="1">
        <v>1</v>
      </c>
    </row>
    <row r="15" spans="2:15" x14ac:dyDescent="0.25">
      <c r="B15" s="1" t="s">
        <v>5</v>
      </c>
      <c r="C15" s="1" t="s">
        <v>262</v>
      </c>
      <c r="D15" s="1"/>
      <c r="E15" s="8">
        <v>100</v>
      </c>
      <c r="F15" s="1" t="s">
        <v>10</v>
      </c>
      <c r="G15" s="1">
        <v>1</v>
      </c>
    </row>
    <row r="16" spans="2:15" x14ac:dyDescent="0.25">
      <c r="B16" s="1" t="s">
        <v>5</v>
      </c>
      <c r="C16" s="1" t="s">
        <v>263</v>
      </c>
      <c r="D16" s="1"/>
      <c r="E16" s="8">
        <v>100</v>
      </c>
      <c r="F16" s="1" t="s">
        <v>11</v>
      </c>
      <c r="G16" s="1">
        <v>1</v>
      </c>
      <c r="I16" s="5" t="s">
        <v>43</v>
      </c>
      <c r="J16" s="5" t="s">
        <v>44</v>
      </c>
      <c r="M16" s="5" t="s">
        <v>18</v>
      </c>
      <c r="N16" s="5" t="s">
        <v>2</v>
      </c>
    </row>
    <row r="17" spans="2:14" x14ac:dyDescent="0.25">
      <c r="B17" s="1" t="s">
        <v>8</v>
      </c>
      <c r="C17" s="1" t="s">
        <v>126</v>
      </c>
      <c r="D17" s="1"/>
      <c r="E17" s="8">
        <v>9</v>
      </c>
      <c r="F17" s="1" t="s">
        <v>10</v>
      </c>
      <c r="G17" s="1">
        <v>1</v>
      </c>
      <c r="I17" s="5"/>
      <c r="J17" s="7">
        <v>190</v>
      </c>
      <c r="M17" s="5"/>
      <c r="N17" s="12">
        <v>350</v>
      </c>
    </row>
    <row r="18" spans="2:14" x14ac:dyDescent="0.25">
      <c r="B18" s="1" t="s">
        <v>8</v>
      </c>
      <c r="C18" s="1" t="s">
        <v>264</v>
      </c>
      <c r="D18" s="1"/>
      <c r="E18" s="8">
        <v>9</v>
      </c>
      <c r="F18" s="1" t="s">
        <v>10</v>
      </c>
      <c r="G18" s="1">
        <v>1</v>
      </c>
      <c r="I18" s="5"/>
      <c r="J18" s="12">
        <v>40</v>
      </c>
      <c r="M18" s="5"/>
      <c r="N18" s="12"/>
    </row>
    <row r="19" spans="2:14" x14ac:dyDescent="0.25">
      <c r="B19" s="1" t="s">
        <v>5</v>
      </c>
      <c r="C19" s="1" t="s">
        <v>265</v>
      </c>
      <c r="D19" s="1"/>
      <c r="E19" s="8">
        <v>100</v>
      </c>
      <c r="F19" s="1" t="s">
        <v>11</v>
      </c>
      <c r="G19" s="1">
        <v>1</v>
      </c>
      <c r="I19" s="5"/>
      <c r="J19" s="12">
        <v>100</v>
      </c>
      <c r="M19" s="5"/>
      <c r="N19" s="12"/>
    </row>
    <row r="20" spans="2:14" x14ac:dyDescent="0.25">
      <c r="B20" s="1"/>
      <c r="C20" s="1"/>
      <c r="D20" s="1"/>
      <c r="E20" s="8"/>
      <c r="F20" s="1"/>
      <c r="G20" s="1"/>
      <c r="I20" s="5"/>
      <c r="J20" s="12">
        <v>20</v>
      </c>
      <c r="M20" s="5"/>
      <c r="N20" s="12"/>
    </row>
    <row r="21" spans="2:14" x14ac:dyDescent="0.25">
      <c r="B21" s="1"/>
      <c r="C21" s="1"/>
      <c r="D21" s="1"/>
      <c r="E21" s="8"/>
      <c r="F21" s="1"/>
      <c r="G21" s="1"/>
      <c r="I21" s="5"/>
      <c r="J21" s="12"/>
      <c r="M21" s="5"/>
      <c r="N21" s="12"/>
    </row>
    <row r="22" spans="2:14" x14ac:dyDescent="0.25">
      <c r="B22" s="1"/>
      <c r="C22" s="1"/>
      <c r="D22" s="1"/>
      <c r="E22" s="8"/>
      <c r="F22" s="1"/>
      <c r="G22" s="1"/>
      <c r="I22" s="5"/>
      <c r="J22" s="12"/>
      <c r="M22" s="5"/>
      <c r="N22" s="12"/>
    </row>
    <row r="23" spans="2:14" x14ac:dyDescent="0.25">
      <c r="B23" s="1"/>
      <c r="C23" s="1"/>
      <c r="D23" s="1"/>
      <c r="E23" s="8"/>
      <c r="F23" s="1"/>
      <c r="G23" s="1"/>
      <c r="I23" s="5"/>
      <c r="J23" s="12"/>
      <c r="M23" s="5"/>
      <c r="N23" s="12"/>
    </row>
    <row r="24" spans="2:14" x14ac:dyDescent="0.25">
      <c r="B24" s="1"/>
      <c r="C24" s="1"/>
      <c r="D24" s="1"/>
      <c r="E24" s="8"/>
      <c r="F24" s="1"/>
      <c r="G24" s="25"/>
      <c r="I24" s="5"/>
      <c r="J24" s="12"/>
      <c r="L24" s="14"/>
      <c r="M24" s="5"/>
      <c r="N24" s="12"/>
    </row>
    <row r="25" spans="2:14" x14ac:dyDescent="0.25">
      <c r="B25" s="1"/>
      <c r="C25" s="1"/>
      <c r="D25" s="1"/>
      <c r="E25" s="8"/>
      <c r="F25" s="1"/>
      <c r="G25" s="1"/>
      <c r="I25" s="5"/>
      <c r="J25" s="12"/>
      <c r="M25" s="5"/>
      <c r="N25" s="12"/>
    </row>
    <row r="26" spans="2:14" x14ac:dyDescent="0.25">
      <c r="B26" s="1"/>
      <c r="C26" s="1"/>
      <c r="D26" s="1"/>
      <c r="E26" s="8"/>
      <c r="F26" s="1"/>
      <c r="G26" s="1"/>
      <c r="I26" s="5"/>
      <c r="J26" s="12"/>
      <c r="M26" s="5"/>
      <c r="N26" s="12"/>
    </row>
    <row r="27" spans="2:14" x14ac:dyDescent="0.25">
      <c r="B27" s="1"/>
      <c r="C27" s="1"/>
      <c r="D27" s="1"/>
      <c r="E27" s="8"/>
      <c r="F27" s="1"/>
      <c r="G27" s="1"/>
      <c r="I27" s="5"/>
      <c r="J27" s="12"/>
      <c r="M27" s="5"/>
      <c r="N27" s="12"/>
    </row>
    <row r="28" spans="2:14" x14ac:dyDescent="0.25">
      <c r="B28" s="1"/>
      <c r="C28" s="1"/>
      <c r="D28" s="1"/>
      <c r="E28" s="8"/>
      <c r="F28" s="1"/>
      <c r="G28" s="1"/>
      <c r="I28" s="5"/>
      <c r="J28" s="12"/>
      <c r="M28" s="5"/>
      <c r="N28" s="12"/>
    </row>
    <row r="29" spans="2:14" x14ac:dyDescent="0.25">
      <c r="B29" s="1"/>
      <c r="C29" s="1"/>
      <c r="D29" s="1"/>
      <c r="E29" s="8"/>
      <c r="F29" s="1"/>
      <c r="G29" s="1"/>
      <c r="I29" s="5"/>
      <c r="J29" s="12"/>
      <c r="M29" s="5"/>
      <c r="N29" s="12"/>
    </row>
    <row r="30" spans="2:14" x14ac:dyDescent="0.25">
      <c r="B30" s="1"/>
      <c r="C30" s="1"/>
      <c r="D30" s="1"/>
      <c r="E30" s="8"/>
      <c r="F30" s="1"/>
      <c r="G30" s="1"/>
      <c r="I30" s="5"/>
      <c r="J30" s="5"/>
    </row>
    <row r="31" spans="2:14" ht="18.75" x14ac:dyDescent="0.4">
      <c r="B31" s="1"/>
      <c r="C31" s="1"/>
      <c r="D31" s="1"/>
      <c r="E31" s="8"/>
      <c r="F31" s="1"/>
      <c r="G31" s="1"/>
      <c r="I31" s="13" t="s">
        <v>22</v>
      </c>
      <c r="J31" s="15">
        <f>SUM(Tabela278121519222528313437404346495255586164677073767926912172023262932353841444750535659626568717477832691217202326293235[valor])</f>
        <v>350</v>
      </c>
      <c r="M31" s="13" t="s">
        <v>42</v>
      </c>
      <c r="N31" s="15">
        <f>SUM(Tabela2781213172023262932353841444750535659626568717477803710131821242730333639424548515457606366697275788437101318212427303336[Valor])</f>
        <v>350</v>
      </c>
    </row>
    <row r="32" spans="2:14" x14ac:dyDescent="0.25">
      <c r="B32" s="1"/>
      <c r="C32" s="1"/>
      <c r="D32" s="1"/>
      <c r="E32" s="8"/>
      <c r="F32" s="1"/>
      <c r="G32" s="1"/>
      <c r="I32" s="5"/>
      <c r="J32" s="5"/>
    </row>
    <row r="33" spans="2:11" x14ac:dyDescent="0.25">
      <c r="B33" s="1"/>
      <c r="C33" s="1"/>
      <c r="D33" s="1"/>
      <c r="E33" s="8"/>
      <c r="F33" s="1"/>
      <c r="G33" s="1"/>
      <c r="I33" s="5"/>
      <c r="J33" s="5"/>
    </row>
    <row r="34" spans="2:11" x14ac:dyDescent="0.25">
      <c r="B34" s="1"/>
      <c r="C34" s="1"/>
      <c r="D34" s="1"/>
      <c r="E34" s="8"/>
      <c r="F34" s="1"/>
      <c r="G34" s="1"/>
      <c r="I34" s="5"/>
      <c r="J34" s="5"/>
    </row>
    <row r="35" spans="2:11" x14ac:dyDescent="0.25">
      <c r="B35" s="1"/>
      <c r="C35" s="1"/>
      <c r="D35" s="1"/>
      <c r="E35" s="8"/>
      <c r="F35" s="1"/>
      <c r="G35" s="1"/>
      <c r="I35" s="5"/>
      <c r="J35" s="5"/>
    </row>
    <row r="36" spans="2:11" x14ac:dyDescent="0.25">
      <c r="B36" s="1"/>
      <c r="C36" s="1"/>
      <c r="D36" s="1"/>
      <c r="E36" s="8"/>
      <c r="F36" s="1"/>
      <c r="G36" s="1"/>
      <c r="J36" s="5"/>
    </row>
    <row r="37" spans="2:11" x14ac:dyDescent="0.25">
      <c r="I37" s="5"/>
    </row>
    <row r="39" spans="2:11" x14ac:dyDescent="0.25">
      <c r="I39" s="9"/>
    </row>
    <row r="40" spans="2:11" x14ac:dyDescent="0.25">
      <c r="I40" t="s">
        <v>20</v>
      </c>
    </row>
    <row r="41" spans="2:11" x14ac:dyDescent="0.25">
      <c r="B41" s="4" t="s">
        <v>10</v>
      </c>
      <c r="C41" s="2">
        <f>SUMIF(Tabela16511182124273033363942454851545760636669727578815811151922252831343740434649525558616467707376828558111519222528313437[Forma de Pagamento],"Dinheiro",Tabela16511182124273033363942454851545760636669727578815811151922252831343740434649525558616467707376828558111519222528313437[Valor])</f>
        <v>318</v>
      </c>
      <c r="D41" s="4" t="s">
        <v>16</v>
      </c>
      <c r="E41" s="2">
        <f>SUMIF(Tabela16511182124273033363942454851545760636669727578815811151922252831343740434649525558616467707376828558111519222528313437[Item],"Gás",Tabela16511182124273033363942454851545760636669727578815811151922252831343740434649525558616467707376828558111519222528313437[QUANTIDADE])+G41</f>
        <v>8</v>
      </c>
      <c r="F41" s="4" t="s">
        <v>25</v>
      </c>
      <c r="G41" s="2">
        <f>SUMIF(Tabela16511182124273033363942454851545760636669727578815811151922252831343740434649525558616467707376828558111519222528313437[Item],"Gás completo",Tabela16511182124273033363942454851545760636669727578815811151922252831343740434649525558616467707376828558111519222528313437[QUANTIDADE])</f>
        <v>0</v>
      </c>
    </row>
    <row r="42" spans="2:11" x14ac:dyDescent="0.25">
      <c r="B42" s="4" t="s">
        <v>11</v>
      </c>
      <c r="C42" s="2">
        <f>SUMIF(Tabela16511182124273033363942454851545760636669727578815811151922252831343740434649525558616467707376828558111519222528313437[Forma de Pagamento],"Cartão",Tabela16511182124273033363942454851545760636669727578815811151922252831343740434649525558616467707376828558111519222528313437[Valor])</f>
        <v>500</v>
      </c>
      <c r="D42" s="4" t="s">
        <v>17</v>
      </c>
      <c r="E42" s="2">
        <f>SUMIF(Tabela16511182124273033363942454851545760636669727578815811151922252831343740434649525558616467707376828558111519222528313437[Item],"Água",Tabela16511182124273033363942454851545760636669727578815811151922252831343740434649525558616467707376828558111519222528313437[QUANTIDADE])+G42</f>
        <v>5</v>
      </c>
      <c r="F42" s="4" t="s">
        <v>27</v>
      </c>
      <c r="G42" s="2">
        <f>SUMIF(Tabela16511182124273033363942454851545760636669727578815811151922252831343740434649525558616467707376828558111519222528313437[Item],"Água completa",Tabela16511182124273033363942454851545760636669727578815811151922252831343740434649525558616467707376828558111519222528313437[QUANTIDADE])</f>
        <v>0</v>
      </c>
      <c r="J42" s="4" t="s">
        <v>5</v>
      </c>
      <c r="K42" s="4" t="s">
        <v>8</v>
      </c>
    </row>
    <row r="43" spans="2:11" x14ac:dyDescent="0.25">
      <c r="B43" s="4" t="s">
        <v>12</v>
      </c>
      <c r="C43" s="2">
        <f>SUMIF(Tabela16511182124273033363942454851545760636669727578815811151922252831343740434649525558616467707376828558111519222528313437[Forma de Pagamento],"Pix",Tabela16511182124273033363942454851545760636669727578815811151922252831343740434649525558616467707376828558111519222528313437[Valor])</f>
        <v>9</v>
      </c>
      <c r="I43" s="4" t="s">
        <v>6</v>
      </c>
      <c r="J43" s="1">
        <f>SUM(J7-E41+N7)</f>
        <v>31</v>
      </c>
      <c r="K43" s="2">
        <f>SUM(K7-E42+O7)</f>
        <v>4</v>
      </c>
    </row>
    <row r="44" spans="2:11" x14ac:dyDescent="0.25">
      <c r="B44" s="4" t="s">
        <v>13</v>
      </c>
      <c r="C44" s="2">
        <f>SUMIF(Tabela16511182124273033363942454851545760636669727578815811151922252831343740434649525558616467707376828558111519222528313437[Forma de Pagamento],"Fiado",Tabela16511182124273033363942454851545760636669727578815811151922252831343740434649525558616467707376828558111519222528313437[Valor])</f>
        <v>18</v>
      </c>
      <c r="D44" s="4" t="s">
        <v>14</v>
      </c>
      <c r="E44" s="7">
        <f>SUM(F3-J31+C41+N31)</f>
        <v>548</v>
      </c>
      <c r="I44" s="4" t="s">
        <v>7</v>
      </c>
      <c r="J44" s="2">
        <f>SUM(J8+E41-N7)-G41</f>
        <v>10</v>
      </c>
      <c r="K44" s="2">
        <f>SUM(K8+E42-O7)-G42</f>
        <v>12</v>
      </c>
    </row>
  </sheetData>
  <dataValidations count="2">
    <dataValidation type="list" allowBlank="1" showInputMessage="1" showErrorMessage="1" sqref="F7:F36" xr:uid="{21414345-B2BA-4648-9039-61EF739E025F}">
      <formula1>"Dinheiro,Cartão,Pix,Fiado,Pago"</formula1>
    </dataValidation>
    <dataValidation type="list" allowBlank="1" showInputMessage="1" showErrorMessage="1" sqref="B7:B16 B18:B36" xr:uid="{8023370F-40E5-4AF6-AE1F-652C4ECE2BDE}">
      <formula1>"Gás,Água,Gás completo,Água completa,Gás e Água, Recebimento"</formula1>
    </dataValidation>
  </dataValidations>
  <pageMargins left="0.511811024" right="0.511811024" top="0.78740157499999996" bottom="0.78740157499999996" header="0.31496062000000002" footer="0.31496062000000002"/>
  <pageSetup paperSize="0" orientation="portrait" horizontalDpi="203" verticalDpi="203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0EDE7-A34A-4072-BAF4-0DED7EA7BAEC}">
  <dimension ref="B2:O44"/>
  <sheetViews>
    <sheetView showGridLines="0" workbookViewId="0">
      <selection activeCell="D27" sqref="D27"/>
    </sheetView>
  </sheetViews>
  <sheetFormatPr defaultRowHeight="15" x14ac:dyDescent="0.25"/>
  <cols>
    <col min="2" max="2" width="14.7109375" customWidth="1"/>
    <col min="3" max="3" width="38.140625" customWidth="1"/>
    <col min="4" max="4" width="19.85546875" customWidth="1"/>
    <col min="5" max="5" width="21.85546875" customWidth="1"/>
    <col min="6" max="6" width="25.85546875" customWidth="1"/>
    <col min="7" max="7" width="16.7109375" customWidth="1"/>
    <col min="8" max="8" width="11.28515625" customWidth="1"/>
    <col min="9" max="9" width="21.85546875" customWidth="1"/>
    <col min="10" max="10" width="13.5703125" customWidth="1"/>
    <col min="11" max="11" width="12.28515625" customWidth="1"/>
    <col min="12" max="12" width="8.5703125" customWidth="1"/>
    <col min="13" max="13" width="19.7109375" customWidth="1"/>
    <col min="14" max="14" width="15.5703125" customWidth="1"/>
    <col min="15" max="15" width="13" customWidth="1"/>
  </cols>
  <sheetData>
    <row r="2" spans="2:15" ht="15.75" x14ac:dyDescent="0.25">
      <c r="E2" s="10" t="s">
        <v>4</v>
      </c>
      <c r="F2" s="3">
        <v>45198</v>
      </c>
    </row>
    <row r="3" spans="2:15" ht="15.75" x14ac:dyDescent="0.25">
      <c r="E3" s="10" t="s">
        <v>15</v>
      </c>
      <c r="F3" s="7"/>
    </row>
    <row r="4" spans="2:15" x14ac:dyDescent="0.25">
      <c r="J4" t="s">
        <v>19</v>
      </c>
      <c r="M4" t="s">
        <v>24</v>
      </c>
    </row>
    <row r="6" spans="2:15" x14ac:dyDescent="0.25">
      <c r="B6" s="6" t="s">
        <v>447</v>
      </c>
      <c r="C6" s="6" t="s">
        <v>0</v>
      </c>
      <c r="D6" s="6" t="s">
        <v>1</v>
      </c>
      <c r="E6" s="6" t="s">
        <v>2</v>
      </c>
      <c r="F6" s="6" t="s">
        <v>3</v>
      </c>
      <c r="G6" s="6" t="s">
        <v>26</v>
      </c>
      <c r="J6" s="4" t="s">
        <v>5</v>
      </c>
      <c r="K6" s="4" t="s">
        <v>8</v>
      </c>
      <c r="N6" s="4" t="s">
        <v>5</v>
      </c>
      <c r="O6" s="4" t="s">
        <v>8</v>
      </c>
    </row>
    <row r="7" spans="2:15" x14ac:dyDescent="0.25">
      <c r="B7" s="1" t="s">
        <v>5</v>
      </c>
      <c r="C7" s="1" t="s">
        <v>144</v>
      </c>
      <c r="D7" s="1"/>
      <c r="E7" s="8">
        <v>100</v>
      </c>
      <c r="F7" s="1" t="s">
        <v>11</v>
      </c>
      <c r="G7" s="1">
        <v>1</v>
      </c>
      <c r="I7" s="4" t="s">
        <v>6</v>
      </c>
      <c r="J7" s="1">
        <v>29</v>
      </c>
      <c r="K7" s="11">
        <v>33</v>
      </c>
      <c r="M7" s="4" t="s">
        <v>23</v>
      </c>
      <c r="N7" s="11"/>
      <c r="O7" s="11"/>
    </row>
    <row r="8" spans="2:15" x14ac:dyDescent="0.25">
      <c r="B8" s="1" t="s">
        <v>5</v>
      </c>
      <c r="C8" s="1" t="s">
        <v>144</v>
      </c>
      <c r="D8" s="1"/>
      <c r="E8" s="8">
        <v>100</v>
      </c>
      <c r="F8" s="1" t="s">
        <v>11</v>
      </c>
      <c r="G8" s="1">
        <v>1</v>
      </c>
      <c r="I8" s="4" t="s">
        <v>7</v>
      </c>
      <c r="J8" s="11">
        <v>12</v>
      </c>
      <c r="K8" s="11">
        <v>8</v>
      </c>
    </row>
    <row r="9" spans="2:15" x14ac:dyDescent="0.25">
      <c r="B9" s="1" t="s">
        <v>5</v>
      </c>
      <c r="C9" s="1" t="s">
        <v>446</v>
      </c>
      <c r="D9" s="1"/>
      <c r="E9" s="8">
        <v>100</v>
      </c>
      <c r="F9" s="1" t="s">
        <v>11</v>
      </c>
      <c r="G9" s="1">
        <v>1</v>
      </c>
    </row>
    <row r="10" spans="2:15" x14ac:dyDescent="0.25">
      <c r="B10" s="1" t="s">
        <v>5</v>
      </c>
      <c r="C10" s="1" t="s">
        <v>445</v>
      </c>
      <c r="D10" s="1"/>
      <c r="E10" s="8">
        <v>95</v>
      </c>
      <c r="F10" s="1" t="s">
        <v>10</v>
      </c>
      <c r="G10" s="1">
        <v>1</v>
      </c>
    </row>
    <row r="11" spans="2:15" x14ac:dyDescent="0.25">
      <c r="B11" s="1" t="s">
        <v>5</v>
      </c>
      <c r="C11" s="1"/>
      <c r="D11" s="1"/>
      <c r="E11" s="8">
        <v>100</v>
      </c>
      <c r="F11" s="1" t="s">
        <v>13</v>
      </c>
      <c r="G11" s="1">
        <v>1</v>
      </c>
    </row>
    <row r="12" spans="2:15" x14ac:dyDescent="0.25">
      <c r="B12" s="1" t="s">
        <v>8</v>
      </c>
      <c r="C12" s="1" t="s">
        <v>391</v>
      </c>
      <c r="D12" s="1"/>
      <c r="E12" s="8">
        <v>9</v>
      </c>
      <c r="F12" s="1"/>
      <c r="G12" s="1">
        <v>1</v>
      </c>
    </row>
    <row r="13" spans="2:15" x14ac:dyDescent="0.25">
      <c r="B13" s="1" t="s">
        <v>5</v>
      </c>
      <c r="C13" s="1" t="s">
        <v>448</v>
      </c>
      <c r="D13" s="1" t="s">
        <v>243</v>
      </c>
      <c r="E13" s="8">
        <v>100</v>
      </c>
      <c r="F13" s="1" t="s">
        <v>12</v>
      </c>
      <c r="G13" s="1">
        <v>1</v>
      </c>
      <c r="I13" t="s">
        <v>21</v>
      </c>
    </row>
    <row r="14" spans="2:15" x14ac:dyDescent="0.25">
      <c r="B14" s="1" t="s">
        <v>5</v>
      </c>
      <c r="C14" s="1" t="s">
        <v>449</v>
      </c>
      <c r="D14" s="1"/>
      <c r="E14" s="8">
        <v>67</v>
      </c>
      <c r="F14" s="1" t="s">
        <v>10</v>
      </c>
      <c r="G14" s="1">
        <v>1</v>
      </c>
    </row>
    <row r="15" spans="2:15" x14ac:dyDescent="0.25">
      <c r="B15" s="1" t="s">
        <v>5</v>
      </c>
      <c r="C15" s="1" t="s">
        <v>450</v>
      </c>
      <c r="D15" s="1" t="s">
        <v>51</v>
      </c>
      <c r="E15" s="8">
        <v>95</v>
      </c>
      <c r="F15" s="1" t="s">
        <v>10</v>
      </c>
      <c r="G15" s="1">
        <v>1</v>
      </c>
    </row>
    <row r="16" spans="2:15" x14ac:dyDescent="0.25">
      <c r="B16" s="1" t="s">
        <v>8</v>
      </c>
      <c r="C16" s="1" t="s">
        <v>451</v>
      </c>
      <c r="D16" s="1"/>
      <c r="E16" s="8">
        <v>9</v>
      </c>
      <c r="F16" s="1" t="s">
        <v>11</v>
      </c>
      <c r="G16" s="1">
        <v>1</v>
      </c>
      <c r="I16" s="5" t="s">
        <v>43</v>
      </c>
      <c r="J16" s="5" t="s">
        <v>44</v>
      </c>
      <c r="M16" s="5" t="s">
        <v>18</v>
      </c>
      <c r="N16" s="5" t="s">
        <v>2</v>
      </c>
    </row>
    <row r="17" spans="2:14" x14ac:dyDescent="0.25">
      <c r="B17" s="1" t="s">
        <v>8</v>
      </c>
      <c r="C17" s="1" t="s">
        <v>452</v>
      </c>
      <c r="D17" s="1"/>
      <c r="E17" s="8">
        <v>9</v>
      </c>
      <c r="F17" s="1" t="s">
        <v>10</v>
      </c>
      <c r="G17" s="1">
        <v>1</v>
      </c>
      <c r="I17" s="5"/>
      <c r="J17" s="7"/>
      <c r="M17" s="5"/>
      <c r="N17" s="12"/>
    </row>
    <row r="18" spans="2:14" x14ac:dyDescent="0.25">
      <c r="B18" s="1" t="s">
        <v>5</v>
      </c>
      <c r="C18" s="1"/>
      <c r="D18" s="1"/>
      <c r="E18" s="8">
        <v>100</v>
      </c>
      <c r="F18" s="1"/>
      <c r="G18" s="1">
        <v>1</v>
      </c>
      <c r="I18" s="5"/>
      <c r="J18" s="12"/>
      <c r="M18" s="5"/>
      <c r="N18" s="12"/>
    </row>
    <row r="19" spans="2:14" x14ac:dyDescent="0.25">
      <c r="B19" s="1" t="s">
        <v>5</v>
      </c>
      <c r="C19" s="1" t="s">
        <v>453</v>
      </c>
      <c r="D19" s="1"/>
      <c r="E19" s="8">
        <v>100</v>
      </c>
      <c r="F19" s="1" t="s">
        <v>11</v>
      </c>
      <c r="G19" s="1">
        <v>1</v>
      </c>
      <c r="I19" s="5"/>
      <c r="J19" s="12"/>
      <c r="M19" s="5"/>
      <c r="N19" s="12"/>
    </row>
    <row r="20" spans="2:14" x14ac:dyDescent="0.25">
      <c r="B20" s="1"/>
      <c r="C20" s="1"/>
      <c r="D20" s="1"/>
      <c r="E20" s="8"/>
      <c r="F20" s="1"/>
      <c r="G20" s="1"/>
      <c r="I20" s="5"/>
      <c r="J20" s="12"/>
      <c r="M20" s="5"/>
      <c r="N20" s="12"/>
    </row>
    <row r="21" spans="2:14" x14ac:dyDescent="0.25">
      <c r="B21" s="1"/>
      <c r="C21" s="1"/>
      <c r="D21" s="1"/>
      <c r="E21" s="8"/>
      <c r="F21" s="1"/>
      <c r="G21" s="1"/>
      <c r="I21" s="5"/>
      <c r="J21" s="12"/>
      <c r="M21" s="5"/>
      <c r="N21" s="12"/>
    </row>
    <row r="22" spans="2:14" x14ac:dyDescent="0.25">
      <c r="B22" s="1"/>
      <c r="C22" s="1"/>
      <c r="D22" s="1"/>
      <c r="E22" s="8"/>
      <c r="F22" s="1"/>
      <c r="G22" s="1"/>
      <c r="I22" s="5"/>
      <c r="J22" s="12"/>
      <c r="M22" s="5"/>
      <c r="N22" s="12"/>
    </row>
    <row r="23" spans="2:14" x14ac:dyDescent="0.25">
      <c r="B23" s="1"/>
      <c r="C23" s="1"/>
      <c r="D23" s="1"/>
      <c r="E23" s="8"/>
      <c r="F23" s="1"/>
      <c r="G23" s="1"/>
      <c r="I23" s="5"/>
      <c r="J23" s="12"/>
      <c r="M23" s="5"/>
      <c r="N23" s="12"/>
    </row>
    <row r="24" spans="2:14" x14ac:dyDescent="0.25">
      <c r="B24" s="1"/>
      <c r="C24" s="1"/>
      <c r="D24" s="1"/>
      <c r="E24" s="8"/>
      <c r="F24" s="1"/>
      <c r="G24" s="25"/>
      <c r="I24" s="5"/>
      <c r="J24" s="12"/>
      <c r="L24" s="14"/>
      <c r="M24" s="5"/>
      <c r="N24" s="12"/>
    </row>
    <row r="25" spans="2:14" x14ac:dyDescent="0.25">
      <c r="B25" s="1"/>
      <c r="C25" s="1"/>
      <c r="D25" s="1"/>
      <c r="E25" s="8"/>
      <c r="F25" s="1"/>
      <c r="G25" s="1"/>
      <c r="I25" s="5"/>
      <c r="J25" s="12"/>
      <c r="M25" s="5"/>
      <c r="N25" s="12"/>
    </row>
    <row r="26" spans="2:14" x14ac:dyDescent="0.25">
      <c r="B26" s="1"/>
      <c r="C26" s="1"/>
      <c r="D26" s="1"/>
      <c r="E26" s="8"/>
      <c r="F26" s="1"/>
      <c r="G26" s="1"/>
      <c r="I26" s="5"/>
      <c r="J26" s="12"/>
      <c r="M26" s="5"/>
      <c r="N26" s="12"/>
    </row>
    <row r="27" spans="2:14" x14ac:dyDescent="0.25">
      <c r="B27" s="1"/>
      <c r="C27" s="1"/>
      <c r="D27" s="1"/>
      <c r="E27" s="8"/>
      <c r="F27" s="1"/>
      <c r="G27" s="1"/>
      <c r="I27" s="5"/>
      <c r="J27" s="12"/>
      <c r="M27" s="5"/>
      <c r="N27" s="12"/>
    </row>
    <row r="28" spans="2:14" x14ac:dyDescent="0.25">
      <c r="B28" s="1"/>
      <c r="C28" s="1"/>
      <c r="D28" s="1"/>
      <c r="E28" s="8"/>
      <c r="F28" s="1"/>
      <c r="G28" s="1"/>
      <c r="I28" s="5"/>
      <c r="J28" s="12"/>
      <c r="M28" s="5"/>
      <c r="N28" s="12"/>
    </row>
    <row r="29" spans="2:14" x14ac:dyDescent="0.25">
      <c r="B29" s="1"/>
      <c r="C29" s="1"/>
      <c r="D29" s="1"/>
      <c r="E29" s="8"/>
      <c r="F29" s="1"/>
      <c r="G29" s="1"/>
      <c r="I29" s="5"/>
      <c r="J29" s="12"/>
      <c r="M29" s="5"/>
      <c r="N29" s="12"/>
    </row>
    <row r="30" spans="2:14" x14ac:dyDescent="0.25">
      <c r="B30" s="1"/>
      <c r="C30" s="1"/>
      <c r="D30" s="1"/>
      <c r="E30" s="8"/>
      <c r="F30" s="1"/>
      <c r="G30" s="1"/>
      <c r="I30" s="5"/>
      <c r="J30" s="5"/>
    </row>
    <row r="31" spans="2:14" ht="18.75" x14ac:dyDescent="0.4">
      <c r="B31" s="1"/>
      <c r="C31" s="1"/>
      <c r="D31" s="1"/>
      <c r="E31" s="8"/>
      <c r="F31" s="1"/>
      <c r="G31" s="1"/>
      <c r="I31" s="13" t="s">
        <v>22</v>
      </c>
      <c r="J31" s="15">
        <f>SUM(Tabela2781215192225283134374043464952555861646770737679269121720232629323538414447505356596265687174778326912172023262932353841444750535659626568717477808689[valor])</f>
        <v>0</v>
      </c>
      <c r="M31" s="13" t="s">
        <v>42</v>
      </c>
      <c r="N31" s="15">
        <f>SUM(Tabela27812131720232629323538414447505356596265687174778037101318212427303336394245485154576063666972757884371013182124273033363942454851545760636669727578818790[Valor])</f>
        <v>0</v>
      </c>
    </row>
    <row r="32" spans="2:14" x14ac:dyDescent="0.25">
      <c r="B32" s="1"/>
      <c r="C32" s="1"/>
      <c r="D32" s="1"/>
      <c r="E32" s="8"/>
      <c r="F32" s="1"/>
      <c r="G32" s="1"/>
      <c r="I32" s="5"/>
      <c r="J32" s="5"/>
    </row>
    <row r="33" spans="2:11" x14ac:dyDescent="0.25">
      <c r="B33" s="1"/>
      <c r="C33" s="1"/>
      <c r="D33" s="1"/>
      <c r="E33" s="8"/>
      <c r="F33" s="1"/>
      <c r="G33" s="1"/>
      <c r="I33" s="5"/>
      <c r="J33" s="5"/>
    </row>
    <row r="34" spans="2:11" x14ac:dyDescent="0.25">
      <c r="B34" s="1"/>
      <c r="C34" s="1"/>
      <c r="D34" s="1"/>
      <c r="E34" s="8"/>
      <c r="F34" s="1"/>
      <c r="G34" s="1"/>
      <c r="I34" s="5"/>
      <c r="J34" s="5"/>
    </row>
    <row r="35" spans="2:11" x14ac:dyDescent="0.25">
      <c r="B35" s="1"/>
      <c r="C35" s="1"/>
      <c r="D35" s="1"/>
      <c r="E35" s="8"/>
      <c r="F35" s="1"/>
      <c r="G35" s="1"/>
      <c r="I35" s="5"/>
      <c r="J35" s="5"/>
    </row>
    <row r="36" spans="2:11" x14ac:dyDescent="0.25">
      <c r="B36" s="1"/>
      <c r="C36" s="1"/>
      <c r="D36" s="1"/>
      <c r="E36" s="8"/>
      <c r="F36" s="1"/>
      <c r="G36" s="1"/>
      <c r="J36" s="5"/>
    </row>
    <row r="37" spans="2:11" x14ac:dyDescent="0.25">
      <c r="I37" s="5"/>
    </row>
    <row r="39" spans="2:11" x14ac:dyDescent="0.25">
      <c r="I39" s="9"/>
    </row>
    <row r="40" spans="2:11" x14ac:dyDescent="0.25">
      <c r="I40" t="s">
        <v>20</v>
      </c>
    </row>
    <row r="41" spans="2:11" x14ac:dyDescent="0.25">
      <c r="B41" s="4" t="s">
        <v>10</v>
      </c>
      <c r="C41" s="2">
        <f>SUMIF(Tabela165111821242730333639424548515457606366697275788158111519222528313437404346495255586164677073768285581115192225283134374043464952555861646770737679828891[Forma de Pagamento],"Dinheiro",Tabela165111821242730333639424548515457606366697275788158111519222528313437404346495255586164677073768285581115192225283134374043464952555861646770737679828891[Valor])</f>
        <v>266</v>
      </c>
      <c r="D41" s="4" t="s">
        <v>16</v>
      </c>
      <c r="E41" s="2">
        <f>SUMIF(Tabela165111821242730333639424548515457606366697275788158111519222528313437404346495255586164677073768285581115192225283134374043464952555861646770737679828891[item],"Gás",Tabela165111821242730333639424548515457606366697275788158111519222528313437404346495255586164677073768285581115192225283134374043464952555861646770737679828891[QUANTIDADE])+G41</f>
        <v>10</v>
      </c>
      <c r="F41" s="4" t="s">
        <v>25</v>
      </c>
      <c r="G41" s="2">
        <f>SUMIF(Tabela165111821242730333639424548515457606366697275788158111519222528313437404346495255586164677073768285581115192225283134374043464952555861646770737679828891[item],"Gás completo",Tabela165111821242730333639424548515457606366697275788158111519222528313437404346495255586164677073768285581115192225283134374043464952555861646770737679828891[QUANTIDADE])</f>
        <v>0</v>
      </c>
    </row>
    <row r="42" spans="2:11" x14ac:dyDescent="0.25">
      <c r="B42" s="4" t="s">
        <v>11</v>
      </c>
      <c r="C42" s="2">
        <f>SUMIF(Tabela165111821242730333639424548515457606366697275788158111519222528313437404346495255586164677073768285581115192225283134374043464952555861646770737679828891[Forma de Pagamento],"Cartão",Tabela165111821242730333639424548515457606366697275788158111519222528313437404346495255586164677073768285581115192225283134374043464952555861646770737679828891[Valor])</f>
        <v>409</v>
      </c>
      <c r="D42" s="4" t="s">
        <v>17</v>
      </c>
      <c r="E42" s="2">
        <f>SUMIF(Tabela165111821242730333639424548515457606366697275788158111519222528313437404346495255586164677073768285581115192225283134374043464952555861646770737679828891[item],"Água",Tabela165111821242730333639424548515457606366697275788158111519222528313437404346495255586164677073768285581115192225283134374043464952555861646770737679828891[QUANTIDADE])+G42</f>
        <v>3</v>
      </c>
      <c r="F42" s="4" t="s">
        <v>27</v>
      </c>
      <c r="G42" s="2">
        <f>SUMIF(Tabela165111821242730333639424548515457606366697275788158111519222528313437404346495255586164677073768285581115192225283134374043464952555861646770737679828891[item],"Água completa",Tabela165111821242730333639424548515457606366697275788158111519222528313437404346495255586164677073768285581115192225283134374043464952555861646770737679828891[QUANTIDADE])</f>
        <v>0</v>
      </c>
      <c r="J42" s="4" t="s">
        <v>5</v>
      </c>
      <c r="K42" s="4" t="s">
        <v>8</v>
      </c>
    </row>
    <row r="43" spans="2:11" x14ac:dyDescent="0.25">
      <c r="B43" s="4" t="s">
        <v>12</v>
      </c>
      <c r="C43" s="2">
        <f>SUMIF(Tabela165111821242730333639424548515457606366697275788158111519222528313437404346495255586164677073768285581115192225283134374043464952555861646770737679828891[Forma de Pagamento],"Pix",Tabela165111821242730333639424548515457606366697275788158111519222528313437404346495255586164677073768285581115192225283134374043464952555861646770737679828891[Valor])</f>
        <v>100</v>
      </c>
      <c r="I43" s="4" t="s">
        <v>6</v>
      </c>
      <c r="J43" s="1">
        <f>SUM(J7-E41+N7)</f>
        <v>19</v>
      </c>
      <c r="K43" s="2">
        <f>SUM(K7-E42+O7)</f>
        <v>30</v>
      </c>
    </row>
    <row r="44" spans="2:11" x14ac:dyDescent="0.25">
      <c r="B44" s="4" t="s">
        <v>13</v>
      </c>
      <c r="C44" s="2">
        <f>SUMIF(Tabela165111821242730333639424548515457606366697275788158111519222528313437404346495255586164677073768285581115192225283134374043464952555861646770737679828891[Forma de Pagamento],"Fiado",Tabela165111821242730333639424548515457606366697275788158111519222528313437404346495255586164677073768285581115192225283134374043464952555861646770737679828891[Valor])</f>
        <v>100</v>
      </c>
      <c r="D44" s="4" t="s">
        <v>14</v>
      </c>
      <c r="E44" s="7">
        <f>SUM(F3-J31+C41+N31)</f>
        <v>266</v>
      </c>
      <c r="I44" s="4" t="s">
        <v>7</v>
      </c>
      <c r="J44" s="2">
        <f>SUM(J8+E41-N7)-G41</f>
        <v>22</v>
      </c>
      <c r="K44" s="2">
        <f>SUM(K8+E42-O7)-G42</f>
        <v>11</v>
      </c>
    </row>
  </sheetData>
  <dataValidations count="2">
    <dataValidation type="list" allowBlank="1" showInputMessage="1" showErrorMessage="1" sqref="B7:B16 B18:B36" xr:uid="{AB511B3D-88C9-455B-9DFD-B72340760091}">
      <formula1>"Gás,Água,Gás completo,Água completa,Gás e Água, Recebimento"</formula1>
    </dataValidation>
    <dataValidation type="list" allowBlank="1" showInputMessage="1" showErrorMessage="1" sqref="F7:F36" xr:uid="{63985175-E464-4A9A-9D91-52BAA1EEA9E4}">
      <formula1>"Dinheiro,Cartão,Pix,Fiado,Pago"</formula1>
    </dataValidation>
  </dataValidations>
  <pageMargins left="0.511811024" right="0.511811024" top="0.78740157499999996" bottom="0.78740157499999996" header="0.31496062000000002" footer="0.31496062000000002"/>
  <pageSetup paperSize="0" orientation="portrait" horizontalDpi="203" verticalDpi="203" r:id="rId1"/>
  <drawing r:id="rId2"/>
  <tableParts count="3">
    <tablePart r:id="rId3"/>
    <tablePart r:id="rId4"/>
    <tablePart r:id="rId5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281D7-DB09-49BB-9B7E-9F70F8B8CC6F}">
  <dimension ref="B2:O44"/>
  <sheetViews>
    <sheetView showGridLines="0" workbookViewId="0">
      <selection activeCell="G34" sqref="G34"/>
    </sheetView>
  </sheetViews>
  <sheetFormatPr defaultRowHeight="15" x14ac:dyDescent="0.25"/>
  <cols>
    <col min="2" max="2" width="14.7109375" customWidth="1"/>
    <col min="3" max="3" width="38.140625" customWidth="1"/>
    <col min="4" max="4" width="19.85546875" customWidth="1"/>
    <col min="5" max="5" width="21.85546875" customWidth="1"/>
    <col min="6" max="6" width="25.85546875" customWidth="1"/>
    <col min="7" max="7" width="16.7109375" customWidth="1"/>
    <col min="8" max="8" width="11.28515625" customWidth="1"/>
    <col min="9" max="9" width="21.85546875" customWidth="1"/>
    <col min="10" max="10" width="13.5703125" customWidth="1"/>
    <col min="11" max="11" width="12.28515625" customWidth="1"/>
    <col min="12" max="12" width="8.5703125" customWidth="1"/>
    <col min="13" max="13" width="19.7109375" customWidth="1"/>
    <col min="14" max="14" width="15.5703125" customWidth="1"/>
    <col min="15" max="15" width="13" customWidth="1"/>
  </cols>
  <sheetData>
    <row r="2" spans="2:15" ht="15.75" x14ac:dyDescent="0.25">
      <c r="E2" s="10" t="s">
        <v>4</v>
      </c>
      <c r="F2" s="3">
        <v>45180</v>
      </c>
    </row>
    <row r="3" spans="2:15" ht="15.75" x14ac:dyDescent="0.25">
      <c r="E3" s="10" t="s">
        <v>15</v>
      </c>
      <c r="F3" s="7">
        <v>790</v>
      </c>
    </row>
    <row r="4" spans="2:15" x14ac:dyDescent="0.25">
      <c r="J4" t="s">
        <v>19</v>
      </c>
      <c r="M4" t="s">
        <v>24</v>
      </c>
    </row>
    <row r="6" spans="2:15" x14ac:dyDescent="0.25">
      <c r="B6" s="6" t="s">
        <v>9</v>
      </c>
      <c r="C6" s="6" t="s">
        <v>0</v>
      </c>
      <c r="D6" s="6" t="s">
        <v>1</v>
      </c>
      <c r="E6" s="6" t="s">
        <v>2</v>
      </c>
      <c r="F6" s="6" t="s">
        <v>3</v>
      </c>
      <c r="G6" s="6" t="s">
        <v>26</v>
      </c>
      <c r="J6" s="4" t="s">
        <v>5</v>
      </c>
      <c r="K6" s="4" t="s">
        <v>8</v>
      </c>
      <c r="N6" s="4" t="s">
        <v>5</v>
      </c>
      <c r="O6" s="4" t="s">
        <v>8</v>
      </c>
    </row>
    <row r="7" spans="2:15" x14ac:dyDescent="0.25">
      <c r="B7" s="1" t="s">
        <v>5</v>
      </c>
      <c r="C7" s="1" t="s">
        <v>240</v>
      </c>
      <c r="D7" s="1"/>
      <c r="E7" s="8">
        <v>90</v>
      </c>
      <c r="F7" s="1" t="s">
        <v>10</v>
      </c>
      <c r="G7" s="1">
        <v>1</v>
      </c>
      <c r="I7" s="4" t="s">
        <v>6</v>
      </c>
      <c r="J7" s="1">
        <v>17</v>
      </c>
      <c r="K7" s="11">
        <v>7</v>
      </c>
      <c r="M7" s="4" t="s">
        <v>23</v>
      </c>
      <c r="N7" s="11">
        <v>41</v>
      </c>
      <c r="O7" s="11"/>
    </row>
    <row r="8" spans="2:15" x14ac:dyDescent="0.25">
      <c r="B8" s="1" t="s">
        <v>5</v>
      </c>
      <c r="C8" s="1" t="s">
        <v>241</v>
      </c>
      <c r="D8" s="1"/>
      <c r="E8" s="8">
        <v>100</v>
      </c>
      <c r="F8" s="1" t="s">
        <v>13</v>
      </c>
      <c r="G8" s="1">
        <v>1</v>
      </c>
      <c r="I8" s="4" t="s">
        <v>7</v>
      </c>
      <c r="J8" s="11">
        <v>24</v>
      </c>
      <c r="K8" s="11">
        <v>9</v>
      </c>
    </row>
    <row r="9" spans="2:15" x14ac:dyDescent="0.25">
      <c r="B9" s="1" t="s">
        <v>5</v>
      </c>
      <c r="C9" s="1" t="s">
        <v>242</v>
      </c>
      <c r="D9" s="1"/>
      <c r="E9" s="8">
        <v>100</v>
      </c>
      <c r="F9" s="1" t="s">
        <v>11</v>
      </c>
      <c r="G9" s="1">
        <v>1</v>
      </c>
    </row>
    <row r="10" spans="2:15" x14ac:dyDescent="0.25">
      <c r="B10" s="1" t="s">
        <v>5</v>
      </c>
      <c r="C10" s="1" t="s">
        <v>243</v>
      </c>
      <c r="D10" s="1"/>
      <c r="E10" s="8">
        <v>100</v>
      </c>
      <c r="F10" s="1" t="s">
        <v>11</v>
      </c>
      <c r="G10" s="1">
        <v>1</v>
      </c>
    </row>
    <row r="11" spans="2:15" x14ac:dyDescent="0.25">
      <c r="B11" s="1" t="s">
        <v>5</v>
      </c>
      <c r="C11" s="1" t="s">
        <v>244</v>
      </c>
      <c r="D11" s="1"/>
      <c r="E11" s="8">
        <v>100</v>
      </c>
      <c r="F11" s="1" t="s">
        <v>11</v>
      </c>
      <c r="G11" s="1">
        <v>1</v>
      </c>
    </row>
    <row r="12" spans="2:15" x14ac:dyDescent="0.25">
      <c r="B12" s="1" t="s">
        <v>5</v>
      </c>
      <c r="C12" s="1" t="s">
        <v>245</v>
      </c>
      <c r="D12" s="1"/>
      <c r="E12" s="8">
        <v>100</v>
      </c>
      <c r="F12" s="1" t="s">
        <v>11</v>
      </c>
      <c r="G12" s="1">
        <v>1</v>
      </c>
    </row>
    <row r="13" spans="2:15" x14ac:dyDescent="0.25">
      <c r="B13" s="1" t="s">
        <v>5</v>
      </c>
      <c r="C13" s="1" t="s">
        <v>246</v>
      </c>
      <c r="D13" s="1"/>
      <c r="E13" s="8">
        <v>100</v>
      </c>
      <c r="F13" s="1" t="s">
        <v>11</v>
      </c>
      <c r="G13" s="1">
        <v>1</v>
      </c>
      <c r="I13" t="s">
        <v>21</v>
      </c>
    </row>
    <row r="14" spans="2:15" x14ac:dyDescent="0.25">
      <c r="B14" s="1" t="s">
        <v>5</v>
      </c>
      <c r="C14" s="1" t="s">
        <v>247</v>
      </c>
      <c r="D14" s="1"/>
      <c r="E14" s="8">
        <v>100</v>
      </c>
      <c r="F14" s="1" t="s">
        <v>10</v>
      </c>
      <c r="G14" s="1">
        <v>1</v>
      </c>
    </row>
    <row r="15" spans="2:15" x14ac:dyDescent="0.25">
      <c r="B15" s="1" t="s">
        <v>8</v>
      </c>
      <c r="C15" s="1" t="s">
        <v>248</v>
      </c>
      <c r="D15" s="1"/>
      <c r="E15" s="8">
        <v>18</v>
      </c>
      <c r="F15" s="1"/>
      <c r="G15" s="1">
        <v>1</v>
      </c>
    </row>
    <row r="16" spans="2:15" x14ac:dyDescent="0.25">
      <c r="B16" s="1" t="s">
        <v>5</v>
      </c>
      <c r="C16" s="1">
        <v>1</v>
      </c>
      <c r="D16" s="1"/>
      <c r="E16" s="8">
        <v>95</v>
      </c>
      <c r="F16" s="1" t="s">
        <v>10</v>
      </c>
      <c r="G16" s="1">
        <v>1</v>
      </c>
      <c r="I16" s="5" t="s">
        <v>43</v>
      </c>
      <c r="J16" s="5" t="s">
        <v>44</v>
      </c>
      <c r="M16" s="5" t="s">
        <v>18</v>
      </c>
      <c r="N16" s="5" t="s">
        <v>2</v>
      </c>
    </row>
    <row r="17" spans="2:14" x14ac:dyDescent="0.25">
      <c r="B17" s="1" t="s">
        <v>5</v>
      </c>
      <c r="C17" s="1" t="s">
        <v>249</v>
      </c>
      <c r="D17" s="1"/>
      <c r="E17" s="8">
        <v>100</v>
      </c>
      <c r="F17" s="1" t="s">
        <v>11</v>
      </c>
      <c r="G17" s="1">
        <v>1</v>
      </c>
      <c r="I17" s="5"/>
      <c r="J17" s="7">
        <v>890</v>
      </c>
      <c r="M17" s="5"/>
      <c r="N17" s="12">
        <v>460</v>
      </c>
    </row>
    <row r="18" spans="2:14" x14ac:dyDescent="0.25">
      <c r="B18" s="1" t="s">
        <v>5</v>
      </c>
      <c r="C18" s="1" t="s">
        <v>223</v>
      </c>
      <c r="D18" s="1"/>
      <c r="E18" s="8">
        <v>100</v>
      </c>
      <c r="F18" s="1" t="s">
        <v>13</v>
      </c>
      <c r="G18" s="1">
        <v>1</v>
      </c>
      <c r="I18" s="5"/>
      <c r="J18" s="12">
        <v>803</v>
      </c>
      <c r="M18" s="5"/>
      <c r="N18" s="12"/>
    </row>
    <row r="19" spans="2:14" x14ac:dyDescent="0.25">
      <c r="B19" s="1" t="s">
        <v>8</v>
      </c>
      <c r="C19" s="1"/>
      <c r="D19" s="1"/>
      <c r="E19" s="8">
        <v>18</v>
      </c>
      <c r="F19" s="1" t="s">
        <v>11</v>
      </c>
      <c r="G19" s="1">
        <v>2</v>
      </c>
      <c r="I19" s="5"/>
      <c r="J19" s="12">
        <v>20</v>
      </c>
      <c r="M19" s="5"/>
      <c r="N19" s="12"/>
    </row>
    <row r="20" spans="2:14" x14ac:dyDescent="0.25">
      <c r="B20" s="1" t="s">
        <v>5</v>
      </c>
      <c r="C20" s="1" t="s">
        <v>224</v>
      </c>
      <c r="D20" s="1"/>
      <c r="E20" s="8">
        <v>190</v>
      </c>
      <c r="F20" s="1" t="s">
        <v>11</v>
      </c>
      <c r="G20" s="1">
        <v>2</v>
      </c>
      <c r="I20" s="5"/>
      <c r="J20" s="12"/>
      <c r="M20" s="5"/>
      <c r="N20" s="12"/>
    </row>
    <row r="21" spans="2:14" x14ac:dyDescent="0.25">
      <c r="B21" s="1" t="s">
        <v>8</v>
      </c>
      <c r="C21" s="1" t="s">
        <v>225</v>
      </c>
      <c r="D21" s="1"/>
      <c r="E21" s="8">
        <v>9</v>
      </c>
      <c r="F21" s="1" t="s">
        <v>11</v>
      </c>
      <c r="G21" s="1">
        <v>1</v>
      </c>
      <c r="I21" s="5"/>
      <c r="J21" s="12"/>
      <c r="M21" s="5"/>
      <c r="N21" s="12"/>
    </row>
    <row r="22" spans="2:14" x14ac:dyDescent="0.25">
      <c r="B22" s="1" t="s">
        <v>5</v>
      </c>
      <c r="C22" s="1" t="s">
        <v>227</v>
      </c>
      <c r="D22" s="1"/>
      <c r="E22" s="8">
        <v>100</v>
      </c>
      <c r="F22" s="1" t="s">
        <v>12</v>
      </c>
      <c r="G22" s="1">
        <v>1</v>
      </c>
      <c r="I22" s="5"/>
      <c r="J22" s="12"/>
      <c r="M22" s="5"/>
      <c r="N22" s="12"/>
    </row>
    <row r="23" spans="2:14" x14ac:dyDescent="0.25">
      <c r="B23" s="1" t="s">
        <v>5</v>
      </c>
      <c r="C23" s="1" t="s">
        <v>226</v>
      </c>
      <c r="D23" s="1"/>
      <c r="E23" s="8">
        <v>100</v>
      </c>
      <c r="F23" s="1" t="s">
        <v>10</v>
      </c>
      <c r="G23" s="1">
        <v>1</v>
      </c>
      <c r="I23" s="5"/>
      <c r="J23" s="12"/>
      <c r="M23" s="5"/>
      <c r="N23" s="12"/>
    </row>
    <row r="24" spans="2:14" x14ac:dyDescent="0.25">
      <c r="B24" s="1" t="s">
        <v>5</v>
      </c>
      <c r="C24" s="1" t="s">
        <v>228</v>
      </c>
      <c r="D24" s="1"/>
      <c r="E24" s="8">
        <v>100</v>
      </c>
      <c r="F24" s="1" t="s">
        <v>10</v>
      </c>
      <c r="G24" s="25">
        <v>1</v>
      </c>
      <c r="I24" s="5"/>
      <c r="J24" s="12"/>
      <c r="L24" s="14"/>
      <c r="M24" s="5"/>
      <c r="N24" s="12"/>
    </row>
    <row r="25" spans="2:14" x14ac:dyDescent="0.25">
      <c r="B25" s="1" t="s">
        <v>5</v>
      </c>
      <c r="C25" s="1" t="s">
        <v>230</v>
      </c>
      <c r="D25" s="1"/>
      <c r="E25" s="8">
        <v>100</v>
      </c>
      <c r="F25" s="1"/>
      <c r="G25" s="1">
        <v>1</v>
      </c>
      <c r="I25" s="5"/>
      <c r="J25" s="12"/>
      <c r="M25" s="5"/>
      <c r="N25" s="12"/>
    </row>
    <row r="26" spans="2:14" x14ac:dyDescent="0.25">
      <c r="B26" s="1" t="s">
        <v>5</v>
      </c>
      <c r="C26" s="1" t="s">
        <v>229</v>
      </c>
      <c r="D26" s="1"/>
      <c r="E26" s="8">
        <v>100</v>
      </c>
      <c r="F26" s="1" t="s">
        <v>11</v>
      </c>
      <c r="G26" s="1">
        <v>1</v>
      </c>
      <c r="I26" s="5"/>
      <c r="J26" s="12"/>
      <c r="M26" s="5"/>
      <c r="N26" s="12"/>
    </row>
    <row r="27" spans="2:14" x14ac:dyDescent="0.25">
      <c r="B27" s="1" t="s">
        <v>5</v>
      </c>
      <c r="C27" s="1" t="s">
        <v>231</v>
      </c>
      <c r="D27" s="1"/>
      <c r="E27" s="8">
        <v>100</v>
      </c>
      <c r="F27" s="1" t="s">
        <v>11</v>
      </c>
      <c r="G27" s="1">
        <v>1</v>
      </c>
      <c r="I27" s="5"/>
      <c r="J27" s="12"/>
      <c r="M27" s="5"/>
      <c r="N27" s="12"/>
    </row>
    <row r="28" spans="2:14" x14ac:dyDescent="0.25">
      <c r="B28" s="1" t="s">
        <v>5</v>
      </c>
      <c r="C28" s="1" t="s">
        <v>230</v>
      </c>
      <c r="D28" s="1"/>
      <c r="E28" s="8">
        <v>100</v>
      </c>
      <c r="F28" s="1" t="s">
        <v>11</v>
      </c>
      <c r="G28" s="1">
        <v>1</v>
      </c>
      <c r="I28" s="5"/>
      <c r="J28" s="12"/>
      <c r="M28" s="5"/>
      <c r="N28" s="12"/>
    </row>
    <row r="29" spans="2:14" x14ac:dyDescent="0.25">
      <c r="B29" s="1" t="s">
        <v>5</v>
      </c>
      <c r="C29" s="1" t="s">
        <v>233</v>
      </c>
      <c r="D29" s="1" t="s">
        <v>232</v>
      </c>
      <c r="E29" s="8">
        <v>100</v>
      </c>
      <c r="F29" s="1" t="s">
        <v>11</v>
      </c>
      <c r="G29" s="1">
        <v>1</v>
      </c>
      <c r="I29" s="5"/>
      <c r="J29" s="12"/>
      <c r="M29" s="5"/>
      <c r="N29" s="12"/>
    </row>
    <row r="30" spans="2:14" x14ac:dyDescent="0.25">
      <c r="B30" s="1" t="s">
        <v>5</v>
      </c>
      <c r="C30" s="1" t="s">
        <v>234</v>
      </c>
      <c r="D30" s="1" t="s">
        <v>235</v>
      </c>
      <c r="E30" s="8">
        <v>95</v>
      </c>
      <c r="F30" s="1" t="s">
        <v>10</v>
      </c>
      <c r="G30" s="1">
        <v>1</v>
      </c>
      <c r="I30" s="5"/>
      <c r="J30" s="5"/>
    </row>
    <row r="31" spans="2:14" ht="18.75" x14ac:dyDescent="0.4">
      <c r="B31" s="1" t="s">
        <v>5</v>
      </c>
      <c r="C31" s="1" t="s">
        <v>236</v>
      </c>
      <c r="D31" s="1"/>
      <c r="E31" s="8">
        <v>100</v>
      </c>
      <c r="F31" s="1" t="s">
        <v>11</v>
      </c>
      <c r="G31" s="1">
        <v>1</v>
      </c>
      <c r="I31" s="13" t="s">
        <v>22</v>
      </c>
      <c r="J31" s="15">
        <f>SUM(Tabela2781215192225283134374043464952555861646770737679269121720232629323538414447505356596265687174778326912172023262932[valor])</f>
        <v>1713</v>
      </c>
      <c r="M31" s="13" t="s">
        <v>42</v>
      </c>
      <c r="N31" s="15">
        <f>SUM(Tabela27812131720232629323538414447505356596265687174778037101318212427303336394245485154576063666972757884371013182124273033[Valor])</f>
        <v>460</v>
      </c>
    </row>
    <row r="32" spans="2:14" x14ac:dyDescent="0.25">
      <c r="B32" s="1" t="s">
        <v>5</v>
      </c>
      <c r="C32" s="1" t="s">
        <v>237</v>
      </c>
      <c r="D32" s="1"/>
      <c r="E32" s="8">
        <v>200</v>
      </c>
      <c r="F32" s="1" t="s">
        <v>11</v>
      </c>
      <c r="G32" s="1">
        <v>2</v>
      </c>
      <c r="I32" s="5"/>
      <c r="J32" s="5"/>
    </row>
    <row r="33" spans="2:11" x14ac:dyDescent="0.25">
      <c r="B33" s="1" t="s">
        <v>5</v>
      </c>
      <c r="C33" s="1" t="s">
        <v>238</v>
      </c>
      <c r="D33" s="1"/>
      <c r="E33" s="8">
        <v>100</v>
      </c>
      <c r="F33" s="1" t="s">
        <v>12</v>
      </c>
      <c r="G33" s="1">
        <v>1</v>
      </c>
      <c r="I33" s="5"/>
      <c r="J33" s="5"/>
    </row>
    <row r="34" spans="2:11" x14ac:dyDescent="0.25">
      <c r="B34" s="1" t="s">
        <v>5</v>
      </c>
      <c r="C34" s="1" t="s">
        <v>239</v>
      </c>
      <c r="D34" s="1"/>
      <c r="E34" s="8">
        <v>100</v>
      </c>
      <c r="F34" s="1" t="s">
        <v>12</v>
      </c>
      <c r="G34" s="1">
        <v>1</v>
      </c>
      <c r="I34" s="5"/>
      <c r="J34" s="5"/>
    </row>
    <row r="35" spans="2:11" x14ac:dyDescent="0.25">
      <c r="B35" s="1" t="s">
        <v>5</v>
      </c>
      <c r="C35" s="1" t="s">
        <v>252</v>
      </c>
      <c r="D35" s="1" t="s">
        <v>159</v>
      </c>
      <c r="E35" s="8">
        <v>100</v>
      </c>
      <c r="F35" s="1" t="s">
        <v>11</v>
      </c>
      <c r="G35" s="1">
        <v>2</v>
      </c>
      <c r="I35" s="5"/>
      <c r="J35" s="5"/>
    </row>
    <row r="36" spans="2:11" x14ac:dyDescent="0.25">
      <c r="B36" s="1" t="s">
        <v>5</v>
      </c>
      <c r="C36" s="1" t="s">
        <v>250</v>
      </c>
      <c r="D36" s="1" t="s">
        <v>182</v>
      </c>
      <c r="E36" s="8">
        <v>100</v>
      </c>
      <c r="F36" s="1" t="s">
        <v>11</v>
      </c>
      <c r="G36" s="1">
        <v>1</v>
      </c>
      <c r="J36" s="5"/>
    </row>
    <row r="37" spans="2:11" x14ac:dyDescent="0.25">
      <c r="I37" s="5"/>
    </row>
    <row r="39" spans="2:11" x14ac:dyDescent="0.25">
      <c r="I39" s="9"/>
    </row>
    <row r="40" spans="2:11" x14ac:dyDescent="0.25">
      <c r="I40" t="s">
        <v>20</v>
      </c>
    </row>
    <row r="41" spans="2:11" x14ac:dyDescent="0.25">
      <c r="B41" s="4" t="s">
        <v>10</v>
      </c>
      <c r="C41" s="2">
        <f>SUMIF(Tabela165111821242730333639424548515457606366697275788158111519222528313437404346495255586164677073768285581115192225283134[Forma de Pagamento],"Dinheiro",Tabela165111821242730333639424548515457606366697275788158111519222528313437404346495255586164677073768285581115192225283134[Valor])</f>
        <v>580</v>
      </c>
      <c r="D41" s="4" t="s">
        <v>16</v>
      </c>
      <c r="E41" s="2">
        <f>SUMIF(Tabela165111821242730333639424548515457606366697275788158111519222528313437404346495255586164677073768285581115192225283134[Item],"Gás",Tabela165111821242730333639424548515457606366697275788158111519222528313437404346495255586164677073768285581115192225283134[QUANTIDADE])+G41</f>
        <v>30</v>
      </c>
      <c r="F41" s="4" t="s">
        <v>25</v>
      </c>
      <c r="G41" s="2">
        <f>SUMIF(Tabela165111821242730333639424548515457606366697275788158111519222528313437404346495255586164677073768285581115192225283134[Item],"Gás completo",Tabela165111821242730333639424548515457606366697275788158111519222528313437404346495255586164677073768285581115192225283134[QUANTIDADE])</f>
        <v>0</v>
      </c>
    </row>
    <row r="42" spans="2:11" x14ac:dyDescent="0.25">
      <c r="B42" s="4" t="s">
        <v>11</v>
      </c>
      <c r="C42" s="2">
        <f>SUMIF(Tabela165111821242730333639424548515457606366697275788158111519222528313437404346495255586164677073768285581115192225283134[Forma de Pagamento],"Cartão",Tabela165111821242730333639424548515457606366697275788158111519222528313437404346495255586164677073768285581115192225283134[Valor])</f>
        <v>1717</v>
      </c>
      <c r="D42" s="4" t="s">
        <v>17</v>
      </c>
      <c r="E42" s="2">
        <f>SUMIF(Tabela165111821242730333639424548515457606366697275788158111519222528313437404346495255586164677073768285581115192225283134[Item],"Água",Tabela165111821242730333639424548515457606366697275788158111519222528313437404346495255586164677073768285581115192225283134[QUANTIDADE])+G42</f>
        <v>4</v>
      </c>
      <c r="F42" s="4" t="s">
        <v>27</v>
      </c>
      <c r="G42" s="2">
        <f>SUMIF(Tabela165111821242730333639424548515457606366697275788158111519222528313437404346495255586164677073768285581115192225283134[Item],"Água completa",Tabela165111821242730333639424548515457606366697275788158111519222528313437404346495255586164677073768285581115192225283134[QUANTIDADE])</f>
        <v>0</v>
      </c>
      <c r="J42" s="4" t="s">
        <v>5</v>
      </c>
      <c r="K42" s="4" t="s">
        <v>8</v>
      </c>
    </row>
    <row r="43" spans="2:11" x14ac:dyDescent="0.25">
      <c r="B43" s="4" t="s">
        <v>12</v>
      </c>
      <c r="C43" s="2">
        <f>SUMIF(Tabela165111821242730333639424548515457606366697275788158111519222528313437404346495255586164677073768285581115192225283134[Forma de Pagamento],"Pix",Tabela165111821242730333639424548515457606366697275788158111519222528313437404346495255586164677073768285581115192225283134[Valor])</f>
        <v>300</v>
      </c>
      <c r="I43" s="4" t="s">
        <v>6</v>
      </c>
      <c r="J43" s="1">
        <f>SUM(J7-E41+N7)</f>
        <v>28</v>
      </c>
      <c r="K43" s="2">
        <f>SUM(K7-E42+O7)</f>
        <v>3</v>
      </c>
    </row>
    <row r="44" spans="2:11" x14ac:dyDescent="0.25">
      <c r="B44" s="4" t="s">
        <v>13</v>
      </c>
      <c r="C44" s="2">
        <f>SUMIF(Tabela165111821242730333639424548515457606366697275788158111519222528313437404346495255586164677073768285581115192225283134[Forma de Pagamento],"Fiado",Tabela165111821242730333639424548515457606366697275788158111519222528313437404346495255586164677073768285581115192225283134[Valor])</f>
        <v>200</v>
      </c>
      <c r="D44" s="4" t="s">
        <v>14</v>
      </c>
      <c r="E44" s="7">
        <f>SUM(F3-J31+C41+N31)</f>
        <v>117</v>
      </c>
      <c r="I44" s="4" t="s">
        <v>7</v>
      </c>
      <c r="J44" s="2">
        <f>SUM(J8+E41-N7)-G41</f>
        <v>13</v>
      </c>
      <c r="K44" s="2">
        <f>SUM(K8+E42-O7)-G42</f>
        <v>13</v>
      </c>
    </row>
  </sheetData>
  <dataValidations count="2">
    <dataValidation type="list" allowBlank="1" showInputMessage="1" showErrorMessage="1" sqref="B7:B16 B18:B36" xr:uid="{C387EFCF-FD7B-4CFB-BBB8-6740C2556F88}">
      <formula1>"Gás,Água,Gás completo,Água completa,Gás e Água, Recebimento"</formula1>
    </dataValidation>
    <dataValidation type="list" allowBlank="1" showInputMessage="1" showErrorMessage="1" sqref="F7:F36" xr:uid="{A51D3ED0-D883-4AD1-AC6E-ED1801E34157}">
      <formula1>"Dinheiro,Cartão,Pix,Fiado,Pago"</formula1>
    </dataValidation>
  </dataValidations>
  <pageMargins left="0.511811024" right="0.511811024" top="0.78740157499999996" bottom="0.78740157499999996" header="0.31496062000000002" footer="0.31496062000000002"/>
  <pageSetup paperSize="0" orientation="portrait" horizontalDpi="203" verticalDpi="203" r:id="rId1"/>
  <drawing r:id="rId2"/>
  <tableParts count="3">
    <tablePart r:id="rId3"/>
    <tablePart r:id="rId4"/>
    <tablePart r:id="rId5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3BFF8-3A17-4EF3-B5F1-AA80A1F91A18}">
  <dimension ref="B2:O44"/>
  <sheetViews>
    <sheetView showGridLines="0" workbookViewId="0">
      <selection activeCell="G14" sqref="G14"/>
    </sheetView>
  </sheetViews>
  <sheetFormatPr defaultRowHeight="15" x14ac:dyDescent="0.25"/>
  <cols>
    <col min="2" max="2" width="14.7109375" customWidth="1"/>
    <col min="3" max="3" width="38.140625" customWidth="1"/>
    <col min="4" max="4" width="19.85546875" customWidth="1"/>
    <col min="5" max="5" width="21.85546875" customWidth="1"/>
    <col min="6" max="6" width="25.85546875" customWidth="1"/>
    <col min="7" max="7" width="16.7109375" customWidth="1"/>
    <col min="8" max="8" width="11.28515625" customWidth="1"/>
    <col min="9" max="9" width="21.85546875" customWidth="1"/>
    <col min="10" max="10" width="13.5703125" customWidth="1"/>
    <col min="11" max="11" width="12.28515625" customWidth="1"/>
    <col min="12" max="12" width="8.5703125" customWidth="1"/>
    <col min="13" max="13" width="19.7109375" customWidth="1"/>
    <col min="14" max="14" width="15.5703125" customWidth="1"/>
    <col min="15" max="15" width="13" customWidth="1"/>
  </cols>
  <sheetData>
    <row r="2" spans="2:15" ht="15.75" x14ac:dyDescent="0.25">
      <c r="E2" s="10" t="s">
        <v>4</v>
      </c>
      <c r="F2" s="3">
        <v>45147</v>
      </c>
    </row>
    <row r="3" spans="2:15" ht="15.75" x14ac:dyDescent="0.25">
      <c r="E3" s="10" t="s">
        <v>15</v>
      </c>
      <c r="F3" s="7">
        <v>834</v>
      </c>
    </row>
    <row r="4" spans="2:15" x14ac:dyDescent="0.25">
      <c r="J4" t="s">
        <v>19</v>
      </c>
      <c r="M4" t="s">
        <v>24</v>
      </c>
    </row>
    <row r="6" spans="2:15" x14ac:dyDescent="0.25">
      <c r="B6" s="6" t="s">
        <v>9</v>
      </c>
      <c r="C6" s="6" t="s">
        <v>0</v>
      </c>
      <c r="D6" s="6" t="s">
        <v>1</v>
      </c>
      <c r="E6" s="6" t="s">
        <v>2</v>
      </c>
      <c r="F6" s="6" t="s">
        <v>3</v>
      </c>
      <c r="G6" s="6" t="s">
        <v>26</v>
      </c>
      <c r="J6" s="4" t="s">
        <v>5</v>
      </c>
      <c r="K6" s="4" t="s">
        <v>8</v>
      </c>
      <c r="N6" s="4" t="s">
        <v>5</v>
      </c>
      <c r="O6" s="4" t="s">
        <v>8</v>
      </c>
    </row>
    <row r="7" spans="2:15" x14ac:dyDescent="0.25">
      <c r="B7" s="1" t="s">
        <v>5</v>
      </c>
      <c r="C7" s="1" t="s">
        <v>216</v>
      </c>
      <c r="D7" s="1"/>
      <c r="E7" s="8">
        <v>95</v>
      </c>
      <c r="F7" s="1" t="s">
        <v>12</v>
      </c>
      <c r="G7" s="1">
        <v>1</v>
      </c>
      <c r="I7" s="4" t="s">
        <v>6</v>
      </c>
      <c r="J7" s="1">
        <v>17</v>
      </c>
      <c r="K7" s="11">
        <v>10</v>
      </c>
      <c r="M7" s="4" t="s">
        <v>23</v>
      </c>
      <c r="N7" s="11"/>
      <c r="O7" s="11"/>
    </row>
    <row r="8" spans="2:15" x14ac:dyDescent="0.25">
      <c r="B8" s="1" t="s">
        <v>5</v>
      </c>
      <c r="C8" s="1" t="s">
        <v>217</v>
      </c>
      <c r="D8" s="1" t="s">
        <v>51</v>
      </c>
      <c r="E8" s="8">
        <v>100</v>
      </c>
      <c r="F8" s="1" t="s">
        <v>11</v>
      </c>
      <c r="G8" s="1">
        <v>1</v>
      </c>
      <c r="I8" s="4" t="s">
        <v>7</v>
      </c>
      <c r="J8" s="11">
        <v>22</v>
      </c>
      <c r="K8" s="11">
        <v>3</v>
      </c>
    </row>
    <row r="9" spans="2:15" x14ac:dyDescent="0.25">
      <c r="B9" s="1" t="s">
        <v>8</v>
      </c>
      <c r="C9" s="1" t="s">
        <v>218</v>
      </c>
      <c r="D9" s="1"/>
      <c r="E9" s="8">
        <v>18</v>
      </c>
      <c r="F9" s="1" t="s">
        <v>10</v>
      </c>
      <c r="G9" s="1">
        <v>1</v>
      </c>
    </row>
    <row r="10" spans="2:15" x14ac:dyDescent="0.25">
      <c r="B10" s="1" t="s">
        <v>5</v>
      </c>
      <c r="C10" s="1" t="s">
        <v>219</v>
      </c>
      <c r="D10" s="1"/>
      <c r="E10" s="8">
        <v>93</v>
      </c>
      <c r="F10" s="1" t="s">
        <v>10</v>
      </c>
      <c r="G10" s="1">
        <v>1</v>
      </c>
    </row>
    <row r="11" spans="2:15" x14ac:dyDescent="0.25">
      <c r="B11" s="1" t="s">
        <v>8</v>
      </c>
      <c r="C11" s="1" t="s">
        <v>220</v>
      </c>
      <c r="D11" s="1"/>
      <c r="E11" s="8">
        <v>9</v>
      </c>
      <c r="F11" s="1" t="s">
        <v>13</v>
      </c>
      <c r="G11" s="1">
        <v>1</v>
      </c>
    </row>
    <row r="12" spans="2:15" x14ac:dyDescent="0.25">
      <c r="B12" s="1" t="s">
        <v>8</v>
      </c>
      <c r="C12" s="1" t="s">
        <v>221</v>
      </c>
      <c r="D12" s="1" t="s">
        <v>222</v>
      </c>
      <c r="E12" s="8">
        <v>9</v>
      </c>
      <c r="F12" s="1" t="s">
        <v>10</v>
      </c>
      <c r="G12" s="1">
        <v>1</v>
      </c>
    </row>
    <row r="13" spans="2:15" x14ac:dyDescent="0.25">
      <c r="B13" s="1" t="s">
        <v>5</v>
      </c>
      <c r="C13" s="1" t="s">
        <v>91</v>
      </c>
      <c r="D13" s="1"/>
      <c r="E13" s="8">
        <v>100</v>
      </c>
      <c r="F13" s="1" t="s">
        <v>11</v>
      </c>
      <c r="G13" s="1">
        <v>1</v>
      </c>
      <c r="I13" t="s">
        <v>21</v>
      </c>
    </row>
    <row r="14" spans="2:15" x14ac:dyDescent="0.25">
      <c r="B14" s="1"/>
      <c r="C14" s="1"/>
      <c r="D14" s="1"/>
      <c r="E14" s="8"/>
      <c r="F14" s="1"/>
      <c r="G14" s="1"/>
    </row>
    <row r="15" spans="2:15" x14ac:dyDescent="0.25">
      <c r="B15" s="1"/>
      <c r="C15" s="1"/>
      <c r="D15" s="1"/>
      <c r="E15" s="8"/>
      <c r="F15" s="1"/>
      <c r="G15" s="1"/>
    </row>
    <row r="16" spans="2:15" x14ac:dyDescent="0.25">
      <c r="B16" s="1"/>
      <c r="C16" s="1"/>
      <c r="D16" s="1"/>
      <c r="E16" s="8"/>
      <c r="F16" s="1"/>
      <c r="G16" s="1"/>
      <c r="I16" s="5" t="s">
        <v>43</v>
      </c>
      <c r="J16" s="5" t="s">
        <v>44</v>
      </c>
      <c r="M16" s="5" t="s">
        <v>18</v>
      </c>
      <c r="N16" s="5" t="s">
        <v>2</v>
      </c>
    </row>
    <row r="17" spans="2:14" x14ac:dyDescent="0.25">
      <c r="B17" s="1"/>
      <c r="C17" s="1"/>
      <c r="D17" s="1"/>
      <c r="E17" s="8"/>
      <c r="F17" s="1"/>
      <c r="G17" s="1"/>
      <c r="I17" s="5"/>
      <c r="J17" s="7"/>
      <c r="M17" s="5"/>
      <c r="N17" s="12"/>
    </row>
    <row r="18" spans="2:14" x14ac:dyDescent="0.25">
      <c r="B18" s="1"/>
      <c r="C18" s="1"/>
      <c r="D18" s="1"/>
      <c r="E18" s="8"/>
      <c r="F18" s="1"/>
      <c r="G18" s="1"/>
      <c r="I18" s="5"/>
      <c r="J18" s="12"/>
      <c r="M18" s="5"/>
      <c r="N18" s="12"/>
    </row>
    <row r="19" spans="2:14" x14ac:dyDescent="0.25">
      <c r="B19" s="1"/>
      <c r="C19" s="1"/>
      <c r="D19" s="1"/>
      <c r="E19" s="8"/>
      <c r="F19" s="1"/>
      <c r="G19" s="1"/>
      <c r="I19" s="5"/>
      <c r="J19" s="12"/>
      <c r="M19" s="5"/>
      <c r="N19" s="12"/>
    </row>
    <row r="20" spans="2:14" x14ac:dyDescent="0.25">
      <c r="B20" s="1"/>
      <c r="C20" s="1"/>
      <c r="D20" s="1"/>
      <c r="E20" s="8"/>
      <c r="F20" s="1"/>
      <c r="G20" s="1"/>
      <c r="I20" s="5"/>
      <c r="J20" s="12"/>
      <c r="M20" s="5"/>
      <c r="N20" s="12"/>
    </row>
    <row r="21" spans="2:14" x14ac:dyDescent="0.25">
      <c r="B21" s="1"/>
      <c r="C21" s="1"/>
      <c r="D21" s="1"/>
      <c r="E21" s="8"/>
      <c r="F21" s="1"/>
      <c r="G21" s="1"/>
      <c r="I21" s="5"/>
      <c r="J21" s="12"/>
      <c r="M21" s="5"/>
      <c r="N21" s="12"/>
    </row>
    <row r="22" spans="2:14" x14ac:dyDescent="0.25">
      <c r="B22" s="1"/>
      <c r="C22" s="1"/>
      <c r="D22" s="1"/>
      <c r="E22" s="8"/>
      <c r="F22" s="1"/>
      <c r="G22" s="1"/>
      <c r="I22" s="5"/>
      <c r="J22" s="12"/>
      <c r="M22" s="5"/>
      <c r="N22" s="12"/>
    </row>
    <row r="23" spans="2:14" x14ac:dyDescent="0.25">
      <c r="B23" s="1"/>
      <c r="C23" s="1"/>
      <c r="D23" s="1"/>
      <c r="E23" s="8"/>
      <c r="F23" s="1"/>
      <c r="G23" s="1"/>
      <c r="I23" s="5"/>
      <c r="J23" s="12"/>
      <c r="M23" s="5"/>
      <c r="N23" s="12"/>
    </row>
    <row r="24" spans="2:14" x14ac:dyDescent="0.25">
      <c r="B24" s="1"/>
      <c r="C24" s="1"/>
      <c r="D24" s="1"/>
      <c r="E24" s="8"/>
      <c r="F24" s="1"/>
      <c r="G24" s="25"/>
      <c r="I24" s="5"/>
      <c r="J24" s="12"/>
      <c r="L24" s="14"/>
      <c r="M24" s="5"/>
      <c r="N24" s="12"/>
    </row>
    <row r="25" spans="2:14" x14ac:dyDescent="0.25">
      <c r="B25" s="1"/>
      <c r="C25" s="1"/>
      <c r="D25" s="1"/>
      <c r="E25" s="8"/>
      <c r="F25" s="1"/>
      <c r="G25" s="1"/>
      <c r="I25" s="5"/>
      <c r="J25" s="12"/>
      <c r="M25" s="5"/>
      <c r="N25" s="12"/>
    </row>
    <row r="26" spans="2:14" x14ac:dyDescent="0.25">
      <c r="B26" s="1"/>
      <c r="C26" s="1"/>
      <c r="D26" s="1"/>
      <c r="E26" s="8"/>
      <c r="F26" s="1"/>
      <c r="G26" s="1"/>
      <c r="I26" s="5"/>
      <c r="J26" s="12"/>
      <c r="M26" s="5"/>
      <c r="N26" s="12"/>
    </row>
    <row r="27" spans="2:14" x14ac:dyDescent="0.25">
      <c r="B27" s="1"/>
      <c r="C27" s="1"/>
      <c r="D27" s="1"/>
      <c r="E27" s="8"/>
      <c r="F27" s="1"/>
      <c r="G27" s="1"/>
      <c r="I27" s="5"/>
      <c r="J27" s="12"/>
      <c r="M27" s="5"/>
      <c r="N27" s="12"/>
    </row>
    <row r="28" spans="2:14" x14ac:dyDescent="0.25">
      <c r="B28" s="1"/>
      <c r="C28" s="1"/>
      <c r="D28" s="1"/>
      <c r="E28" s="8"/>
      <c r="F28" s="25"/>
      <c r="G28" s="1"/>
      <c r="I28" s="5"/>
      <c r="J28" s="12"/>
      <c r="M28" s="5"/>
      <c r="N28" s="12"/>
    </row>
    <row r="29" spans="2:14" x14ac:dyDescent="0.25">
      <c r="B29" s="1"/>
      <c r="C29" s="1"/>
      <c r="D29" s="1"/>
      <c r="E29" s="8"/>
      <c r="F29" s="1"/>
      <c r="G29" s="1"/>
      <c r="I29" s="5"/>
      <c r="J29" s="12"/>
      <c r="M29" s="5"/>
      <c r="N29" s="12"/>
    </row>
    <row r="30" spans="2:14" x14ac:dyDescent="0.25">
      <c r="B30" s="1"/>
      <c r="C30" s="1"/>
      <c r="D30" s="1"/>
      <c r="E30" s="8"/>
      <c r="F30" s="1"/>
      <c r="G30" s="1"/>
      <c r="I30" s="5"/>
      <c r="J30" s="5"/>
    </row>
    <row r="31" spans="2:14" ht="18.75" x14ac:dyDescent="0.4">
      <c r="B31" s="1"/>
      <c r="C31" s="1"/>
      <c r="D31" s="1"/>
      <c r="E31" s="8"/>
      <c r="F31" s="1"/>
      <c r="G31" s="1"/>
      <c r="I31" s="13" t="s">
        <v>22</v>
      </c>
      <c r="J31" s="15">
        <f>SUM(Tabela27812151922252831343740434649525558616467707376792691217202326293235384144475053565962656871747783269121720232629[valor])</f>
        <v>0</v>
      </c>
      <c r="M31" s="13" t="s">
        <v>42</v>
      </c>
      <c r="N31" s="15">
        <f>SUM(Tabela278121317202326293235384144475053565962656871747780371013182124273033363942454851545760636669727578843710131821242730[Valor])</f>
        <v>0</v>
      </c>
    </row>
    <row r="32" spans="2:14" x14ac:dyDescent="0.25">
      <c r="B32" s="1"/>
      <c r="C32" s="1"/>
      <c r="D32" s="1"/>
      <c r="E32" s="8"/>
      <c r="F32" s="1"/>
      <c r="G32" s="1"/>
      <c r="I32" s="5"/>
      <c r="J32" s="5"/>
    </row>
    <row r="33" spans="2:11" x14ac:dyDescent="0.25">
      <c r="B33" s="1"/>
      <c r="C33" s="1"/>
      <c r="D33" s="1"/>
      <c r="E33" s="8"/>
      <c r="F33" s="1"/>
      <c r="G33" s="1"/>
      <c r="I33" s="5"/>
      <c r="J33" s="5"/>
    </row>
    <row r="34" spans="2:11" x14ac:dyDescent="0.25">
      <c r="B34" s="1"/>
      <c r="C34" s="1" t="s">
        <v>34</v>
      </c>
      <c r="D34" s="1"/>
      <c r="E34" s="8"/>
      <c r="F34" s="1"/>
      <c r="G34" s="1"/>
      <c r="I34" s="5"/>
      <c r="J34" s="5"/>
    </row>
    <row r="35" spans="2:11" x14ac:dyDescent="0.25">
      <c r="B35" s="1"/>
      <c r="C35" s="1"/>
      <c r="D35" s="1"/>
      <c r="E35" s="8"/>
      <c r="F35" s="1"/>
      <c r="G35" s="1"/>
      <c r="I35" s="5"/>
      <c r="J35" s="5"/>
    </row>
    <row r="36" spans="2:11" x14ac:dyDescent="0.25">
      <c r="B36" s="1"/>
      <c r="C36" s="1"/>
      <c r="D36" s="1"/>
      <c r="E36" s="8"/>
      <c r="F36" s="1"/>
      <c r="G36" s="1"/>
      <c r="J36" s="5"/>
    </row>
    <row r="37" spans="2:11" x14ac:dyDescent="0.25">
      <c r="I37" s="5"/>
    </row>
    <row r="39" spans="2:11" x14ac:dyDescent="0.25">
      <c r="I39" s="9"/>
    </row>
    <row r="40" spans="2:11" x14ac:dyDescent="0.25">
      <c r="I40" t="s">
        <v>20</v>
      </c>
    </row>
    <row r="41" spans="2:11" x14ac:dyDescent="0.25">
      <c r="B41" s="4" t="s">
        <v>10</v>
      </c>
      <c r="C41" s="2">
        <f>SUMIF(Tabela1651118212427303336394245485154576063666972757881581115192225283134374043464952555861646770737682855811151922252831[Forma de Pagamento],"Dinheiro",Tabela1651118212427303336394245485154576063666972757881581115192225283134374043464952555861646770737682855811151922252831[Valor])</f>
        <v>120</v>
      </c>
      <c r="D41" s="4" t="s">
        <v>16</v>
      </c>
      <c r="E41" s="2">
        <f>SUMIF(Tabela1651118212427303336394245485154576063666972757881581115192225283134374043464952555861646770737682855811151922252831[Item],"Gás",Tabela1651118212427303336394245485154576063666972757881581115192225283134374043464952555861646770737682855811151922252831[QUANTIDADE])+G41</f>
        <v>4</v>
      </c>
      <c r="F41" s="4" t="s">
        <v>25</v>
      </c>
      <c r="G41" s="2">
        <f>SUMIF(Tabela1651118212427303336394245485154576063666972757881581115192225283134374043464952555861646770737682855811151922252831[Item],"Gás completo",Tabela1651118212427303336394245485154576063666972757881581115192225283134374043464952555861646770737682855811151922252831[QUANTIDADE])</f>
        <v>0</v>
      </c>
    </row>
    <row r="42" spans="2:11" x14ac:dyDescent="0.25">
      <c r="B42" s="4" t="s">
        <v>11</v>
      </c>
      <c r="C42" s="2">
        <f>SUMIF(Tabela1651118212427303336394245485154576063666972757881581115192225283134374043464952555861646770737682855811151922252831[Forma de Pagamento],"Cartão",Tabela1651118212427303336394245485154576063666972757881581115192225283134374043464952555861646770737682855811151922252831[Valor])</f>
        <v>200</v>
      </c>
      <c r="D42" s="4" t="s">
        <v>17</v>
      </c>
      <c r="E42" s="2">
        <f>SUMIF(Tabela1651118212427303336394245485154576063666972757881581115192225283134374043464952555861646770737682855811151922252831[Item],"Água",Tabela1651118212427303336394245485154576063666972757881581115192225283134374043464952555861646770737682855811151922252831[QUANTIDADE])+G42</f>
        <v>3</v>
      </c>
      <c r="F42" s="4" t="s">
        <v>27</v>
      </c>
      <c r="G42" s="2">
        <f>SUMIF(Tabela1651118212427303336394245485154576063666972757881581115192225283134374043464952555861646770737682855811151922252831[Item],"Água completa",Tabela1651118212427303336394245485154576063666972757881581115192225283134374043464952555861646770737682855811151922252831[QUANTIDADE])</f>
        <v>0</v>
      </c>
      <c r="J42" s="4" t="s">
        <v>5</v>
      </c>
      <c r="K42" s="4" t="s">
        <v>8</v>
      </c>
    </row>
    <row r="43" spans="2:11" x14ac:dyDescent="0.25">
      <c r="B43" s="4" t="s">
        <v>12</v>
      </c>
      <c r="C43" s="2">
        <f>SUMIF(Tabela1651118212427303336394245485154576063666972757881581115192225283134374043464952555861646770737682855811151922252831[Forma de Pagamento],"Pix",Tabela1651118212427303336394245485154576063666972757881581115192225283134374043464952555861646770737682855811151922252831[Valor])</f>
        <v>95</v>
      </c>
      <c r="I43" s="4" t="s">
        <v>6</v>
      </c>
      <c r="J43" s="1">
        <f>SUM(J7-E41+N7)</f>
        <v>13</v>
      </c>
      <c r="K43" s="2">
        <f>SUM(K7-E42+O7)</f>
        <v>7</v>
      </c>
    </row>
    <row r="44" spans="2:11" x14ac:dyDescent="0.25">
      <c r="B44" s="4" t="s">
        <v>13</v>
      </c>
      <c r="C44" s="2">
        <f>SUMIF(Tabela1651118212427303336394245485154576063666972757881581115192225283134374043464952555861646770737682855811151922252831[Forma de Pagamento],"Fiado",Tabela1651118212427303336394245485154576063666972757881581115192225283134374043464952555861646770737682855811151922252831[Valor])</f>
        <v>9</v>
      </c>
      <c r="D44" s="4" t="s">
        <v>14</v>
      </c>
      <c r="E44" s="7">
        <f>SUM(F3-J31+C41+N31)</f>
        <v>954</v>
      </c>
      <c r="I44" s="4" t="s">
        <v>7</v>
      </c>
      <c r="J44" s="2">
        <f>SUM(J8+E41-N7)-G41</f>
        <v>26</v>
      </c>
      <c r="K44" s="2">
        <f>SUM(K8+E42-O7)-G42</f>
        <v>6</v>
      </c>
    </row>
  </sheetData>
  <dataValidations count="2">
    <dataValidation type="list" allowBlank="1" showInputMessage="1" showErrorMessage="1" sqref="F7:F36" xr:uid="{903FB7D4-E3B3-4769-A705-2FF1F47C0FAF}">
      <formula1>"Dinheiro,Cartão,Pix,Fiado,Pago"</formula1>
    </dataValidation>
    <dataValidation type="list" allowBlank="1" showInputMessage="1" showErrorMessage="1" sqref="B7:B16 B18:B36" xr:uid="{A205F4B4-8D2F-4056-A335-57CF6A6A9889}">
      <formula1>"Gás,Água,Gás completo,Água completa,Gás e Água, Recebimento"</formula1>
    </dataValidation>
  </dataValidations>
  <pageMargins left="0.511811024" right="0.511811024" top="0.78740157499999996" bottom="0.78740157499999996" header="0.31496062000000002" footer="0.31496062000000002"/>
  <pageSetup paperSize="0" orientation="portrait" horizontalDpi="203" verticalDpi="203" r:id="rId1"/>
  <drawing r:id="rId2"/>
  <tableParts count="3">
    <tablePart r:id="rId3"/>
    <tablePart r:id="rId4"/>
    <tablePart r:id="rId5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1106E-994A-4B0C-8B36-74DB77D4A5B3}">
  <dimension ref="B2:O44"/>
  <sheetViews>
    <sheetView showGridLines="0" workbookViewId="0">
      <selection activeCell="E25" sqref="E25"/>
    </sheetView>
  </sheetViews>
  <sheetFormatPr defaultRowHeight="15" x14ac:dyDescent="0.25"/>
  <cols>
    <col min="2" max="2" width="14.7109375" customWidth="1"/>
    <col min="3" max="3" width="38.140625" customWidth="1"/>
    <col min="4" max="4" width="19.85546875" customWidth="1"/>
    <col min="5" max="5" width="21.85546875" customWidth="1"/>
    <col min="6" max="6" width="25.85546875" customWidth="1"/>
    <col min="7" max="7" width="16.7109375" customWidth="1"/>
    <col min="8" max="8" width="11.28515625" customWidth="1"/>
    <col min="9" max="9" width="21.85546875" customWidth="1"/>
    <col min="10" max="10" width="13.5703125" customWidth="1"/>
    <col min="11" max="11" width="12.28515625" customWidth="1"/>
    <col min="12" max="12" width="8.5703125" customWidth="1"/>
    <col min="13" max="13" width="19.7109375" customWidth="1"/>
    <col min="14" max="14" width="15.5703125" customWidth="1"/>
    <col min="15" max="15" width="13" customWidth="1"/>
  </cols>
  <sheetData>
    <row r="2" spans="2:15" ht="15.75" x14ac:dyDescent="0.25">
      <c r="E2" s="10" t="s">
        <v>4</v>
      </c>
      <c r="F2" s="3">
        <v>45147</v>
      </c>
    </row>
    <row r="3" spans="2:15" ht="15.75" x14ac:dyDescent="0.25">
      <c r="E3" s="10" t="s">
        <v>15</v>
      </c>
      <c r="F3" s="7">
        <v>834</v>
      </c>
    </row>
    <row r="4" spans="2:15" x14ac:dyDescent="0.25">
      <c r="J4" t="s">
        <v>19</v>
      </c>
      <c r="M4" t="s">
        <v>24</v>
      </c>
    </row>
    <row r="6" spans="2:15" x14ac:dyDescent="0.25">
      <c r="B6" s="6" t="s">
        <v>9</v>
      </c>
      <c r="C6" s="6" t="s">
        <v>0</v>
      </c>
      <c r="D6" s="6" t="s">
        <v>1</v>
      </c>
      <c r="E6" s="6" t="s">
        <v>2</v>
      </c>
      <c r="F6" s="6" t="s">
        <v>3</v>
      </c>
      <c r="G6" s="6" t="s">
        <v>26</v>
      </c>
      <c r="J6" s="4" t="s">
        <v>5</v>
      </c>
      <c r="K6" s="4" t="s">
        <v>8</v>
      </c>
      <c r="N6" s="4" t="s">
        <v>5</v>
      </c>
      <c r="O6" s="4" t="s">
        <v>8</v>
      </c>
    </row>
    <row r="7" spans="2:15" x14ac:dyDescent="0.25">
      <c r="B7" s="1" t="s">
        <v>5</v>
      </c>
      <c r="C7" s="1" t="s">
        <v>206</v>
      </c>
      <c r="D7" s="1"/>
      <c r="E7" s="8">
        <v>100</v>
      </c>
      <c r="F7" s="1" t="s">
        <v>12</v>
      </c>
      <c r="G7" s="1">
        <v>1</v>
      </c>
      <c r="I7" s="4" t="s">
        <v>6</v>
      </c>
      <c r="J7" s="1">
        <v>17</v>
      </c>
      <c r="K7" s="11">
        <v>10</v>
      </c>
      <c r="M7" s="4" t="s">
        <v>23</v>
      </c>
      <c r="N7" s="11">
        <v>26</v>
      </c>
      <c r="O7" s="11"/>
    </row>
    <row r="8" spans="2:15" x14ac:dyDescent="0.25">
      <c r="B8" s="1" t="s">
        <v>5</v>
      </c>
      <c r="C8" s="1"/>
      <c r="D8" s="1"/>
      <c r="E8" s="8">
        <v>100</v>
      </c>
      <c r="F8" s="1" t="s">
        <v>11</v>
      </c>
      <c r="G8" s="1">
        <v>1</v>
      </c>
      <c r="I8" s="4" t="s">
        <v>7</v>
      </c>
      <c r="J8" s="11">
        <v>22</v>
      </c>
      <c r="K8" s="11">
        <v>3</v>
      </c>
    </row>
    <row r="9" spans="2:15" x14ac:dyDescent="0.25">
      <c r="B9" s="1" t="s">
        <v>5</v>
      </c>
      <c r="C9" s="1"/>
      <c r="D9" s="1"/>
      <c r="E9" s="8">
        <v>95</v>
      </c>
      <c r="F9" s="1" t="s">
        <v>10</v>
      </c>
      <c r="G9" s="1">
        <v>1</v>
      </c>
    </row>
    <row r="10" spans="2:15" x14ac:dyDescent="0.25">
      <c r="B10" s="1" t="s">
        <v>5</v>
      </c>
      <c r="C10" s="1"/>
      <c r="D10" s="1"/>
      <c r="E10" s="8">
        <v>100</v>
      </c>
      <c r="F10" s="1" t="s">
        <v>12</v>
      </c>
      <c r="G10" s="1">
        <v>1</v>
      </c>
    </row>
    <row r="11" spans="2:15" x14ac:dyDescent="0.25">
      <c r="B11" s="1" t="s">
        <v>8</v>
      </c>
      <c r="C11" s="1"/>
      <c r="D11" s="1"/>
      <c r="E11" s="8">
        <v>8</v>
      </c>
      <c r="F11" s="1"/>
      <c r="G11" s="1">
        <v>1</v>
      </c>
    </row>
    <row r="12" spans="2:15" x14ac:dyDescent="0.25">
      <c r="B12" s="1" t="s">
        <v>5</v>
      </c>
      <c r="C12" s="1"/>
      <c r="D12" s="1"/>
      <c r="E12" s="8">
        <v>100</v>
      </c>
      <c r="F12" s="1" t="s">
        <v>10</v>
      </c>
      <c r="G12" s="1">
        <v>1</v>
      </c>
    </row>
    <row r="13" spans="2:15" x14ac:dyDescent="0.25">
      <c r="B13" s="1" t="s">
        <v>5</v>
      </c>
      <c r="C13" s="1"/>
      <c r="D13" s="1"/>
      <c r="E13" s="8">
        <v>100</v>
      </c>
      <c r="F13" s="1" t="s">
        <v>11</v>
      </c>
      <c r="G13" s="1">
        <v>1</v>
      </c>
      <c r="I13" t="s">
        <v>21</v>
      </c>
    </row>
    <row r="14" spans="2:15" x14ac:dyDescent="0.25">
      <c r="B14" s="1" t="s">
        <v>5</v>
      </c>
      <c r="C14" s="1"/>
      <c r="D14" s="1"/>
      <c r="E14" s="8">
        <v>100</v>
      </c>
      <c r="F14" s="1" t="s">
        <v>11</v>
      </c>
      <c r="G14" s="1">
        <v>1</v>
      </c>
    </row>
    <row r="15" spans="2:15" x14ac:dyDescent="0.25">
      <c r="B15" s="1" t="s">
        <v>5</v>
      </c>
      <c r="C15" s="1"/>
      <c r="D15" s="1"/>
      <c r="E15" s="8">
        <v>100</v>
      </c>
      <c r="F15" s="1" t="s">
        <v>11</v>
      </c>
      <c r="G15" s="1">
        <v>1</v>
      </c>
    </row>
    <row r="16" spans="2:15" x14ac:dyDescent="0.25">
      <c r="B16" s="1" t="s">
        <v>5</v>
      </c>
      <c r="C16" s="1" t="s">
        <v>207</v>
      </c>
      <c r="D16" s="1" t="s">
        <v>182</v>
      </c>
      <c r="E16" s="8">
        <v>100</v>
      </c>
      <c r="F16" s="1" t="s">
        <v>10</v>
      </c>
      <c r="G16" s="1">
        <v>1</v>
      </c>
      <c r="I16" s="5" t="s">
        <v>43</v>
      </c>
      <c r="J16" s="5" t="s">
        <v>44</v>
      </c>
      <c r="M16" s="5" t="s">
        <v>18</v>
      </c>
      <c r="N16" s="5" t="s">
        <v>2</v>
      </c>
    </row>
    <row r="17" spans="2:14" x14ac:dyDescent="0.25">
      <c r="B17" s="1" t="s">
        <v>5</v>
      </c>
      <c r="C17" s="1" t="s">
        <v>144</v>
      </c>
      <c r="D17" s="1"/>
      <c r="E17" s="8">
        <v>95</v>
      </c>
      <c r="F17" s="1" t="s">
        <v>12</v>
      </c>
      <c r="G17" s="1">
        <v>1</v>
      </c>
      <c r="I17" s="5"/>
      <c r="J17" s="7">
        <v>1025</v>
      </c>
      <c r="M17" s="5"/>
      <c r="N17" s="12">
        <v>100</v>
      </c>
    </row>
    <row r="18" spans="2:14" x14ac:dyDescent="0.25">
      <c r="B18" s="1" t="s">
        <v>5</v>
      </c>
      <c r="C18" s="1" t="s">
        <v>208</v>
      </c>
      <c r="D18" s="1" t="s">
        <v>203</v>
      </c>
      <c r="E18" s="8">
        <v>100</v>
      </c>
      <c r="F18" s="1" t="s">
        <v>12</v>
      </c>
      <c r="G18" s="1">
        <v>1</v>
      </c>
      <c r="I18" s="5"/>
      <c r="J18" s="12">
        <v>30</v>
      </c>
      <c r="M18" s="5"/>
      <c r="N18" s="12">
        <v>100</v>
      </c>
    </row>
    <row r="19" spans="2:14" x14ac:dyDescent="0.25">
      <c r="B19" s="1" t="s">
        <v>5</v>
      </c>
      <c r="C19" s="1" t="s">
        <v>209</v>
      </c>
      <c r="D19" s="1"/>
      <c r="E19" s="8">
        <v>100</v>
      </c>
      <c r="F19" s="1" t="s">
        <v>11</v>
      </c>
      <c r="G19" s="1">
        <v>1</v>
      </c>
      <c r="I19" s="5"/>
      <c r="J19" s="12"/>
      <c r="M19" s="5"/>
      <c r="N19" s="12">
        <v>100</v>
      </c>
    </row>
    <row r="20" spans="2:14" x14ac:dyDescent="0.25">
      <c r="B20" s="1" t="s">
        <v>5</v>
      </c>
      <c r="C20" s="1" t="s">
        <v>210</v>
      </c>
      <c r="D20" s="1"/>
      <c r="E20" s="8">
        <v>100</v>
      </c>
      <c r="F20" s="1" t="s">
        <v>10</v>
      </c>
      <c r="G20" s="1">
        <v>1</v>
      </c>
      <c r="I20" s="5"/>
      <c r="J20" s="12"/>
      <c r="M20" s="5"/>
      <c r="N20" s="12"/>
    </row>
    <row r="21" spans="2:14" x14ac:dyDescent="0.25">
      <c r="B21" s="1" t="s">
        <v>5</v>
      </c>
      <c r="C21" s="1"/>
      <c r="D21" s="1"/>
      <c r="E21" s="8">
        <v>100</v>
      </c>
      <c r="F21" s="1" t="s">
        <v>11</v>
      </c>
      <c r="G21" s="1">
        <v>1</v>
      </c>
      <c r="I21" s="5"/>
      <c r="J21" s="12"/>
      <c r="M21" s="5"/>
      <c r="N21" s="12"/>
    </row>
    <row r="22" spans="2:14" x14ac:dyDescent="0.25">
      <c r="B22" s="1" t="s">
        <v>5</v>
      </c>
      <c r="C22" s="1" t="s">
        <v>211</v>
      </c>
      <c r="D22" s="1" t="s">
        <v>212</v>
      </c>
      <c r="E22" s="8">
        <v>100</v>
      </c>
      <c r="F22" s="1" t="s">
        <v>12</v>
      </c>
      <c r="G22" s="1">
        <v>1</v>
      </c>
      <c r="I22" s="5"/>
      <c r="J22" s="12"/>
      <c r="M22" s="5"/>
      <c r="N22" s="12"/>
    </row>
    <row r="23" spans="2:14" x14ac:dyDescent="0.25">
      <c r="B23" s="1" t="s">
        <v>8</v>
      </c>
      <c r="C23" s="1" t="s">
        <v>213</v>
      </c>
      <c r="D23" s="1"/>
      <c r="E23" s="8">
        <v>9</v>
      </c>
      <c r="F23" s="1" t="s">
        <v>11</v>
      </c>
      <c r="G23" s="1">
        <v>1</v>
      </c>
      <c r="I23" s="5"/>
      <c r="J23" s="12"/>
      <c r="M23" s="5"/>
      <c r="N23" s="12"/>
    </row>
    <row r="24" spans="2:14" x14ac:dyDescent="0.25">
      <c r="B24" s="1" t="s">
        <v>8</v>
      </c>
      <c r="C24" s="1"/>
      <c r="D24" s="1"/>
      <c r="E24" s="8">
        <v>18</v>
      </c>
      <c r="F24" s="1" t="s">
        <v>10</v>
      </c>
      <c r="G24" s="25">
        <v>2</v>
      </c>
      <c r="I24" s="5"/>
      <c r="J24" s="12"/>
      <c r="L24" s="14"/>
      <c r="M24" s="5"/>
      <c r="N24" s="12"/>
    </row>
    <row r="25" spans="2:14" x14ac:dyDescent="0.25">
      <c r="B25" s="1" t="s">
        <v>5</v>
      </c>
      <c r="C25" s="1" t="s">
        <v>214</v>
      </c>
      <c r="D25" s="1"/>
      <c r="E25" s="8">
        <v>100</v>
      </c>
      <c r="F25" s="1" t="s">
        <v>13</v>
      </c>
      <c r="G25" s="1">
        <v>1</v>
      </c>
      <c r="I25" s="5"/>
      <c r="J25" s="12"/>
      <c r="M25" s="5"/>
      <c r="N25" s="12"/>
    </row>
    <row r="26" spans="2:14" x14ac:dyDescent="0.25">
      <c r="B26" s="1"/>
      <c r="C26" s="1"/>
      <c r="D26" s="1"/>
      <c r="E26" s="8"/>
      <c r="F26" s="1"/>
      <c r="G26" s="1"/>
      <c r="I26" s="5"/>
      <c r="J26" s="12"/>
      <c r="M26" s="5"/>
      <c r="N26" s="12"/>
    </row>
    <row r="27" spans="2:14" x14ac:dyDescent="0.25">
      <c r="B27" s="1"/>
      <c r="C27" s="1"/>
      <c r="D27" s="1"/>
      <c r="E27" s="8"/>
      <c r="F27" s="1"/>
      <c r="G27" s="1"/>
      <c r="I27" s="5"/>
      <c r="J27" s="12"/>
      <c r="M27" s="5"/>
      <c r="N27" s="12"/>
    </row>
    <row r="28" spans="2:14" x14ac:dyDescent="0.25">
      <c r="B28" s="1"/>
      <c r="C28" s="1"/>
      <c r="D28" s="1"/>
      <c r="E28" s="8"/>
      <c r="F28" s="25"/>
      <c r="G28" s="1"/>
      <c r="I28" s="5"/>
      <c r="J28" s="12"/>
      <c r="M28" s="5"/>
      <c r="N28" s="12"/>
    </row>
    <row r="29" spans="2:14" x14ac:dyDescent="0.25">
      <c r="B29" s="1"/>
      <c r="C29" s="1"/>
      <c r="D29" s="1"/>
      <c r="E29" s="8"/>
      <c r="F29" s="1"/>
      <c r="G29" s="1"/>
      <c r="I29" s="5"/>
      <c r="J29" s="12"/>
      <c r="M29" s="5"/>
      <c r="N29" s="12"/>
    </row>
    <row r="30" spans="2:14" x14ac:dyDescent="0.25">
      <c r="B30" s="1"/>
      <c r="C30" s="1"/>
      <c r="D30" s="1"/>
      <c r="E30" s="8"/>
      <c r="F30" s="1"/>
      <c r="G30" s="1"/>
      <c r="I30" s="5"/>
      <c r="J30" s="5"/>
    </row>
    <row r="31" spans="2:14" ht="18.75" x14ac:dyDescent="0.4">
      <c r="B31" s="1"/>
      <c r="C31" s="1"/>
      <c r="D31" s="1"/>
      <c r="E31" s="8"/>
      <c r="F31" s="1"/>
      <c r="G31" s="1"/>
      <c r="I31" s="13" t="s">
        <v>22</v>
      </c>
      <c r="J31" s="15">
        <f>SUM(Tabela278121519222528313437404346495255586164677073767926912172023262932353841444750535659626568717477832691217202326[valor])</f>
        <v>1055</v>
      </c>
      <c r="M31" s="13" t="s">
        <v>42</v>
      </c>
      <c r="N31" s="15">
        <f>SUM(Tabela2781213172023262932353841444750535659626568717477803710131821242730333639424548515457606366697275788437101318212427[Valor])</f>
        <v>300</v>
      </c>
    </row>
    <row r="32" spans="2:14" x14ac:dyDescent="0.25">
      <c r="B32" s="1"/>
      <c r="C32" s="1"/>
      <c r="D32" s="1"/>
      <c r="E32" s="8"/>
      <c r="F32" s="1"/>
      <c r="G32" s="1"/>
      <c r="I32" s="5"/>
      <c r="J32" s="5"/>
    </row>
    <row r="33" spans="2:11" x14ac:dyDescent="0.25">
      <c r="B33" s="1"/>
      <c r="C33" s="1"/>
      <c r="D33" s="1"/>
      <c r="E33" s="8"/>
      <c r="F33" s="1"/>
      <c r="G33" s="1"/>
      <c r="I33" s="5"/>
      <c r="J33" s="5"/>
    </row>
    <row r="34" spans="2:11" x14ac:dyDescent="0.25">
      <c r="B34" s="1"/>
      <c r="C34" s="1" t="s">
        <v>34</v>
      </c>
      <c r="D34" s="1"/>
      <c r="E34" s="8"/>
      <c r="F34" s="1"/>
      <c r="G34" s="1"/>
      <c r="I34" s="5"/>
      <c r="J34" s="5"/>
    </row>
    <row r="35" spans="2:11" x14ac:dyDescent="0.25">
      <c r="B35" s="1"/>
      <c r="C35" s="1"/>
      <c r="D35" s="1"/>
      <c r="E35" s="8"/>
      <c r="F35" s="1"/>
      <c r="G35" s="1"/>
      <c r="I35" s="5"/>
      <c r="J35" s="5"/>
    </row>
    <row r="36" spans="2:11" x14ac:dyDescent="0.25">
      <c r="B36" s="1"/>
      <c r="C36" s="1"/>
      <c r="D36" s="1"/>
      <c r="E36" s="8"/>
      <c r="F36" s="1"/>
      <c r="G36" s="1"/>
      <c r="J36" s="5"/>
    </row>
    <row r="37" spans="2:11" x14ac:dyDescent="0.25">
      <c r="I37" s="5"/>
    </row>
    <row r="39" spans="2:11" x14ac:dyDescent="0.25">
      <c r="I39" s="9"/>
    </row>
    <row r="40" spans="2:11" x14ac:dyDescent="0.25">
      <c r="I40" t="s">
        <v>20</v>
      </c>
    </row>
    <row r="41" spans="2:11" x14ac:dyDescent="0.25">
      <c r="B41" s="4" t="s">
        <v>10</v>
      </c>
      <c r="C41" s="2">
        <f>SUMIF(Tabela16511182124273033363942454851545760636669727578815811151922252831343740434649525558616467707376828558111519222528[Forma de Pagamento],"Dinheiro",Tabela16511182124273033363942454851545760636669727578815811151922252831343740434649525558616467707376828558111519222528[Valor])</f>
        <v>413</v>
      </c>
      <c r="D41" s="4" t="s">
        <v>16</v>
      </c>
      <c r="E41" s="2">
        <f>SUMIF(Tabela16511182124273033363942454851545760636669727578815811151922252831343740434649525558616467707376828558111519222528[Item],"Gás",Tabela16511182124273033363942454851545760636669727578815811151922252831343740434649525558616467707376828558111519222528[QUANTIDADE])+G41</f>
        <v>16</v>
      </c>
      <c r="F41" s="4" t="s">
        <v>25</v>
      </c>
      <c r="G41" s="2">
        <f>SUMIF(Tabela16511182124273033363942454851545760636669727578815811151922252831343740434649525558616467707376828558111519222528[Item],"Gás completo",Tabela16511182124273033363942454851545760636669727578815811151922252831343740434649525558616467707376828558111519222528[QUANTIDADE])</f>
        <v>0</v>
      </c>
    </row>
    <row r="42" spans="2:11" x14ac:dyDescent="0.25">
      <c r="B42" s="4" t="s">
        <v>11</v>
      </c>
      <c r="C42" s="2">
        <f>SUMIF(Tabela16511182124273033363942454851545760636669727578815811151922252831343740434649525558616467707376828558111519222528[Forma de Pagamento],"Cartão",Tabela16511182124273033363942454851545760636669727578815811151922252831343740434649525558616467707376828558111519222528[Valor])</f>
        <v>609</v>
      </c>
      <c r="D42" s="4" t="s">
        <v>17</v>
      </c>
      <c r="E42" s="2">
        <f>SUMIF(Tabela16511182124273033363942454851545760636669727578815811151922252831343740434649525558616467707376828558111519222528[Item],"Água",Tabela16511182124273033363942454851545760636669727578815811151922252831343740434649525558616467707376828558111519222528[QUANTIDADE])+G42</f>
        <v>4</v>
      </c>
      <c r="F42" s="4" t="s">
        <v>27</v>
      </c>
      <c r="G42" s="2">
        <f>SUMIF(Tabela16511182124273033363942454851545760636669727578815811151922252831343740434649525558616467707376828558111519222528[Item],"Água completa",Tabela16511182124273033363942454851545760636669727578815811151922252831343740434649525558616467707376828558111519222528[QUANTIDADE])</f>
        <v>0</v>
      </c>
      <c r="J42" s="4" t="s">
        <v>5</v>
      </c>
      <c r="K42" s="4" t="s">
        <v>8</v>
      </c>
    </row>
    <row r="43" spans="2:11" x14ac:dyDescent="0.25">
      <c r="B43" s="4" t="s">
        <v>12</v>
      </c>
      <c r="C43" s="2">
        <f>SUMIF(Tabela16511182124273033363942454851545760636669727578815811151922252831343740434649525558616467707376828558111519222528[Forma de Pagamento],"Pix",Tabela16511182124273033363942454851545760636669727578815811151922252831343740434649525558616467707376828558111519222528[Valor])</f>
        <v>495</v>
      </c>
      <c r="I43" s="4" t="s">
        <v>6</v>
      </c>
      <c r="J43" s="1">
        <f>SUM(J7-E41+N7)</f>
        <v>27</v>
      </c>
      <c r="K43" s="2">
        <f>SUM(K7-E42+O7)</f>
        <v>6</v>
      </c>
    </row>
    <row r="44" spans="2:11" x14ac:dyDescent="0.25">
      <c r="B44" s="4" t="s">
        <v>13</v>
      </c>
      <c r="C44" s="2">
        <f>SUMIF(Tabela16511182124273033363942454851545760636669727578815811151922252831343740434649525558616467707376828558111519222528[Forma de Pagamento],"Fiado",Tabela16511182124273033363942454851545760636669727578815811151922252831343740434649525558616467707376828558111519222528[Valor])</f>
        <v>100</v>
      </c>
      <c r="D44" s="4" t="s">
        <v>14</v>
      </c>
      <c r="E44" s="7">
        <f>SUM(F3-J31+C41+N31)</f>
        <v>492</v>
      </c>
      <c r="I44" s="4" t="s">
        <v>7</v>
      </c>
      <c r="J44" s="2">
        <f>SUM(J8+E41-N7)-G41</f>
        <v>12</v>
      </c>
      <c r="K44" s="2">
        <f>SUM(K8+E42-O7)-G42</f>
        <v>7</v>
      </c>
    </row>
  </sheetData>
  <dataValidations count="2">
    <dataValidation type="list" allowBlank="1" showInputMessage="1" showErrorMessage="1" sqref="B7:B16 B18:B36" xr:uid="{45871E78-3078-4C27-91DB-45719B5CC760}">
      <formula1>"Gás,Água,Gás completo,Água completa,Gás e Água, Recebimento"</formula1>
    </dataValidation>
    <dataValidation type="list" allowBlank="1" showInputMessage="1" showErrorMessage="1" sqref="F7:F36" xr:uid="{6A9EB998-A38D-4B51-B238-1902ED0EF1BA}">
      <formula1>"Dinheiro,Cartão,Pix,Fiado,Pago"</formula1>
    </dataValidation>
  </dataValidations>
  <pageMargins left="0.511811024" right="0.511811024" top="0.78740157499999996" bottom="0.78740157499999996" header="0.31496062000000002" footer="0.31496062000000002"/>
  <pageSetup paperSize="0" orientation="portrait" horizontalDpi="203" verticalDpi="203" r:id="rId1"/>
  <drawing r:id="rId2"/>
  <tableParts count="3">
    <tablePart r:id="rId3"/>
    <tablePart r:id="rId4"/>
    <tablePart r:id="rId5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6AF17-68BD-400E-BF09-00F3549ACF54}">
  <dimension ref="B2:O44"/>
  <sheetViews>
    <sheetView showGridLines="0" topLeftCell="A13" workbookViewId="0">
      <selection activeCell="F14" sqref="F14"/>
    </sheetView>
  </sheetViews>
  <sheetFormatPr defaultRowHeight="15" x14ac:dyDescent="0.25"/>
  <cols>
    <col min="2" max="2" width="14.7109375" customWidth="1"/>
    <col min="3" max="3" width="38.140625" customWidth="1"/>
    <col min="4" max="4" width="19.85546875" customWidth="1"/>
    <col min="5" max="5" width="21.85546875" customWidth="1"/>
    <col min="6" max="6" width="25.85546875" customWidth="1"/>
    <col min="7" max="7" width="16.7109375" customWidth="1"/>
    <col min="8" max="8" width="11.28515625" customWidth="1"/>
    <col min="9" max="9" width="21.85546875" customWidth="1"/>
    <col min="10" max="10" width="13.5703125" customWidth="1"/>
    <col min="11" max="11" width="12.28515625" customWidth="1"/>
    <col min="12" max="12" width="8.5703125" customWidth="1"/>
    <col min="13" max="13" width="19.7109375" customWidth="1"/>
    <col min="14" max="14" width="15.5703125" customWidth="1"/>
    <col min="15" max="15" width="13" customWidth="1"/>
  </cols>
  <sheetData>
    <row r="2" spans="2:15" ht="15.75" x14ac:dyDescent="0.25">
      <c r="E2" s="10" t="s">
        <v>4</v>
      </c>
      <c r="F2" s="3">
        <v>45177</v>
      </c>
    </row>
    <row r="3" spans="2:15" ht="15.75" x14ac:dyDescent="0.25">
      <c r="E3" s="10" t="s">
        <v>15</v>
      </c>
      <c r="F3" s="7"/>
    </row>
    <row r="4" spans="2:15" x14ac:dyDescent="0.25">
      <c r="J4" t="s">
        <v>19</v>
      </c>
      <c r="M4" t="s">
        <v>24</v>
      </c>
    </row>
    <row r="6" spans="2:15" x14ac:dyDescent="0.25">
      <c r="B6" s="6" t="s">
        <v>9</v>
      </c>
      <c r="C6" s="6" t="s">
        <v>0</v>
      </c>
      <c r="D6" s="6" t="s">
        <v>1</v>
      </c>
      <c r="E6" s="6" t="s">
        <v>2</v>
      </c>
      <c r="F6" s="6" t="s">
        <v>3</v>
      </c>
      <c r="G6" s="6" t="s">
        <v>26</v>
      </c>
      <c r="J6" s="4" t="s">
        <v>5</v>
      </c>
      <c r="K6" s="4" t="s">
        <v>8</v>
      </c>
      <c r="N6" s="4" t="s">
        <v>5</v>
      </c>
      <c r="O6" s="4" t="s">
        <v>8</v>
      </c>
    </row>
    <row r="7" spans="2:15" x14ac:dyDescent="0.25">
      <c r="B7" s="1" t="s">
        <v>8</v>
      </c>
      <c r="C7" s="1" t="s">
        <v>193</v>
      </c>
      <c r="D7" s="1">
        <v>9</v>
      </c>
      <c r="E7" s="8">
        <v>9</v>
      </c>
      <c r="F7" s="1" t="s">
        <v>10</v>
      </c>
      <c r="G7" s="1">
        <v>1</v>
      </c>
      <c r="I7" s="4" t="s">
        <v>6</v>
      </c>
      <c r="J7" s="1">
        <v>1</v>
      </c>
      <c r="K7" s="11">
        <v>10</v>
      </c>
      <c r="M7" s="4" t="s">
        <v>23</v>
      </c>
      <c r="N7" s="11">
        <v>30</v>
      </c>
      <c r="O7" s="11"/>
    </row>
    <row r="8" spans="2:15" x14ac:dyDescent="0.25">
      <c r="B8" s="1" t="s">
        <v>8</v>
      </c>
      <c r="C8" s="1" t="s">
        <v>194</v>
      </c>
      <c r="D8" s="1"/>
      <c r="E8" s="8">
        <v>9</v>
      </c>
      <c r="F8" s="1"/>
      <c r="G8" s="1">
        <v>1</v>
      </c>
      <c r="I8" s="4" t="s">
        <v>7</v>
      </c>
      <c r="J8" s="11">
        <v>41</v>
      </c>
      <c r="K8" s="11">
        <v>6</v>
      </c>
    </row>
    <row r="9" spans="2:15" x14ac:dyDescent="0.25">
      <c r="B9" s="1" t="s">
        <v>5</v>
      </c>
      <c r="C9" s="1"/>
      <c r="D9" s="1"/>
      <c r="E9" s="8">
        <v>100</v>
      </c>
      <c r="F9" s="1" t="s">
        <v>11</v>
      </c>
      <c r="G9" s="1">
        <v>1</v>
      </c>
    </row>
    <row r="10" spans="2:15" x14ac:dyDescent="0.25">
      <c r="B10" s="1" t="s">
        <v>5</v>
      </c>
      <c r="C10" s="1" t="s">
        <v>195</v>
      </c>
      <c r="D10" s="1"/>
      <c r="E10" s="8">
        <v>100</v>
      </c>
      <c r="F10" s="1" t="s">
        <v>11</v>
      </c>
      <c r="G10" s="1">
        <v>1</v>
      </c>
    </row>
    <row r="11" spans="2:15" x14ac:dyDescent="0.25">
      <c r="B11" s="1" t="s">
        <v>8</v>
      </c>
      <c r="C11" s="1"/>
      <c r="D11" s="1"/>
      <c r="E11" s="8">
        <v>9</v>
      </c>
      <c r="F11" s="1"/>
      <c r="G11" s="1">
        <v>1</v>
      </c>
    </row>
    <row r="12" spans="2:15" x14ac:dyDescent="0.25">
      <c r="B12" s="1" t="s">
        <v>5</v>
      </c>
      <c r="C12" s="1"/>
      <c r="D12" s="1"/>
      <c r="E12" s="8">
        <v>100</v>
      </c>
      <c r="F12" s="1" t="s">
        <v>11</v>
      </c>
      <c r="G12" s="1">
        <v>1</v>
      </c>
    </row>
    <row r="13" spans="2:15" x14ac:dyDescent="0.25">
      <c r="B13" s="1" t="s">
        <v>5</v>
      </c>
      <c r="C13" s="1"/>
      <c r="D13" s="1"/>
      <c r="E13" s="8">
        <v>100</v>
      </c>
      <c r="F13" s="1" t="s">
        <v>11</v>
      </c>
      <c r="G13" s="1">
        <v>1</v>
      </c>
      <c r="I13" t="s">
        <v>21</v>
      </c>
    </row>
    <row r="14" spans="2:15" x14ac:dyDescent="0.25">
      <c r="B14" s="1" t="s">
        <v>5</v>
      </c>
      <c r="C14" s="1"/>
      <c r="D14" s="1"/>
      <c r="E14" s="8">
        <v>100</v>
      </c>
      <c r="F14" s="1" t="s">
        <v>11</v>
      </c>
      <c r="G14" s="1">
        <v>1</v>
      </c>
    </row>
    <row r="15" spans="2:15" x14ac:dyDescent="0.25">
      <c r="B15" s="1" t="s">
        <v>5</v>
      </c>
      <c r="C15" s="1"/>
      <c r="D15" s="1"/>
      <c r="E15" s="8">
        <v>100</v>
      </c>
      <c r="F15" s="1" t="s">
        <v>10</v>
      </c>
      <c r="G15" s="1">
        <v>1</v>
      </c>
    </row>
    <row r="16" spans="2:15" x14ac:dyDescent="0.25">
      <c r="B16" s="1" t="s">
        <v>5</v>
      </c>
      <c r="C16" s="1" t="s">
        <v>196</v>
      </c>
      <c r="D16" s="1"/>
      <c r="E16" s="8">
        <v>100</v>
      </c>
      <c r="F16" s="1" t="s">
        <v>10</v>
      </c>
      <c r="G16" s="1">
        <v>1</v>
      </c>
      <c r="I16" s="5" t="s">
        <v>43</v>
      </c>
      <c r="J16" s="5" t="s">
        <v>44</v>
      </c>
      <c r="M16" s="5" t="s">
        <v>18</v>
      </c>
      <c r="N16" s="5" t="s">
        <v>2</v>
      </c>
    </row>
    <row r="17" spans="2:14" x14ac:dyDescent="0.25">
      <c r="B17" s="1" t="s">
        <v>8</v>
      </c>
      <c r="C17" s="1"/>
      <c r="D17" s="1"/>
      <c r="E17" s="8">
        <v>9</v>
      </c>
      <c r="F17" s="1"/>
      <c r="G17" s="1">
        <v>1</v>
      </c>
      <c r="I17" s="5"/>
      <c r="J17" s="7">
        <v>30</v>
      </c>
      <c r="M17" s="5"/>
      <c r="N17" s="12">
        <v>110</v>
      </c>
    </row>
    <row r="18" spans="2:14" x14ac:dyDescent="0.25">
      <c r="B18" s="1" t="s">
        <v>5</v>
      </c>
      <c r="C18" s="1" t="s">
        <v>197</v>
      </c>
      <c r="D18" s="1"/>
      <c r="E18" s="8">
        <v>100</v>
      </c>
      <c r="F18" s="1" t="s">
        <v>13</v>
      </c>
      <c r="G18" s="1">
        <v>1</v>
      </c>
      <c r="I18" s="5"/>
      <c r="J18" s="12">
        <v>20</v>
      </c>
      <c r="M18" s="5"/>
      <c r="N18" s="12"/>
    </row>
    <row r="19" spans="2:14" x14ac:dyDescent="0.25">
      <c r="B19" s="1" t="s">
        <v>5</v>
      </c>
      <c r="C19" s="1" t="s">
        <v>198</v>
      </c>
      <c r="D19" s="1"/>
      <c r="E19" s="8">
        <v>100</v>
      </c>
      <c r="F19" s="1" t="s">
        <v>11</v>
      </c>
      <c r="G19" s="1">
        <v>1</v>
      </c>
      <c r="I19" s="5"/>
      <c r="J19" s="12">
        <v>40</v>
      </c>
      <c r="M19" s="5"/>
      <c r="N19" s="12"/>
    </row>
    <row r="20" spans="2:14" x14ac:dyDescent="0.25">
      <c r="B20" s="1" t="s">
        <v>5</v>
      </c>
      <c r="C20" s="1" t="s">
        <v>199</v>
      </c>
      <c r="D20" s="1"/>
      <c r="E20" s="8">
        <v>95</v>
      </c>
      <c r="F20" s="1" t="s">
        <v>10</v>
      </c>
      <c r="G20" s="1">
        <v>1</v>
      </c>
      <c r="I20" s="5"/>
      <c r="J20" s="12"/>
      <c r="M20" s="5"/>
      <c r="N20" s="12"/>
    </row>
    <row r="21" spans="2:14" x14ac:dyDescent="0.25">
      <c r="B21" s="1" t="s">
        <v>5</v>
      </c>
      <c r="C21" s="1" t="s">
        <v>200</v>
      </c>
      <c r="D21" s="1"/>
      <c r="E21" s="8">
        <v>50</v>
      </c>
      <c r="F21" s="1" t="s">
        <v>10</v>
      </c>
      <c r="G21" s="1">
        <v>1</v>
      </c>
      <c r="I21" s="5"/>
      <c r="J21" s="12"/>
      <c r="M21" s="5"/>
      <c r="N21" s="12"/>
    </row>
    <row r="22" spans="2:14" x14ac:dyDescent="0.25">
      <c r="B22" s="1" t="s">
        <v>5</v>
      </c>
      <c r="C22" s="1" t="s">
        <v>201</v>
      </c>
      <c r="D22" s="1"/>
      <c r="E22" s="8">
        <v>100</v>
      </c>
      <c r="F22" s="1" t="s">
        <v>12</v>
      </c>
      <c r="G22" s="1">
        <v>1</v>
      </c>
      <c r="I22" s="5"/>
      <c r="J22" s="12"/>
      <c r="M22" s="5"/>
      <c r="N22" s="12"/>
    </row>
    <row r="23" spans="2:14" x14ac:dyDescent="0.25">
      <c r="B23" s="1" t="s">
        <v>5</v>
      </c>
      <c r="C23" s="1" t="s">
        <v>202</v>
      </c>
      <c r="D23" s="1" t="s">
        <v>203</v>
      </c>
      <c r="E23" s="8">
        <v>100</v>
      </c>
      <c r="F23" s="1" t="s">
        <v>12</v>
      </c>
      <c r="G23" s="1">
        <v>1</v>
      </c>
      <c r="I23" s="5"/>
      <c r="J23" s="12"/>
      <c r="M23" s="5"/>
      <c r="N23" s="12"/>
    </row>
    <row r="24" spans="2:14" x14ac:dyDescent="0.25">
      <c r="B24" s="1" t="s">
        <v>8</v>
      </c>
      <c r="C24" s="1"/>
      <c r="D24" s="1"/>
      <c r="E24" s="8">
        <v>18</v>
      </c>
      <c r="F24" s="1"/>
      <c r="G24" s="25">
        <v>2</v>
      </c>
      <c r="I24" s="5"/>
      <c r="J24" s="12"/>
      <c r="L24" s="14"/>
      <c r="M24" s="5"/>
      <c r="N24" s="12"/>
    </row>
    <row r="25" spans="2:14" x14ac:dyDescent="0.25">
      <c r="B25" s="1" t="s">
        <v>8</v>
      </c>
      <c r="C25" s="1" t="s">
        <v>204</v>
      </c>
      <c r="D25" s="1"/>
      <c r="E25" s="8">
        <v>18</v>
      </c>
      <c r="F25" s="1" t="s">
        <v>10</v>
      </c>
      <c r="G25" s="1">
        <v>2</v>
      </c>
      <c r="I25" s="5"/>
      <c r="J25" s="12"/>
      <c r="M25" s="5"/>
      <c r="N25" s="12"/>
    </row>
    <row r="26" spans="2:14" x14ac:dyDescent="0.25">
      <c r="B26" s="1"/>
      <c r="C26" s="1"/>
      <c r="D26" s="1"/>
      <c r="E26" s="8"/>
      <c r="F26" s="1"/>
      <c r="G26" s="1"/>
      <c r="I26" s="5"/>
      <c r="J26" s="12"/>
      <c r="M26" s="5"/>
      <c r="N26" s="12"/>
    </row>
    <row r="27" spans="2:14" x14ac:dyDescent="0.25">
      <c r="B27" s="1"/>
      <c r="C27" s="1"/>
      <c r="D27" s="1"/>
      <c r="E27" s="8"/>
      <c r="F27" s="1"/>
      <c r="G27" s="1"/>
      <c r="I27" s="5"/>
      <c r="J27" s="12"/>
      <c r="M27" s="5"/>
      <c r="N27" s="12"/>
    </row>
    <row r="28" spans="2:14" x14ac:dyDescent="0.25">
      <c r="B28" s="1"/>
      <c r="C28" s="1"/>
      <c r="D28" s="1"/>
      <c r="E28" s="8"/>
      <c r="F28" s="25"/>
      <c r="G28" s="1"/>
      <c r="I28" s="5"/>
      <c r="J28" s="12"/>
      <c r="M28" s="5"/>
      <c r="N28" s="12"/>
    </row>
    <row r="29" spans="2:14" x14ac:dyDescent="0.25">
      <c r="B29" s="1"/>
      <c r="C29" s="1"/>
      <c r="D29" s="1"/>
      <c r="E29" s="8"/>
      <c r="F29" s="1"/>
      <c r="G29" s="1"/>
      <c r="I29" s="5"/>
      <c r="J29" s="12"/>
      <c r="M29" s="5"/>
      <c r="N29" s="12"/>
    </row>
    <row r="30" spans="2:14" x14ac:dyDescent="0.25">
      <c r="B30" s="1"/>
      <c r="C30" s="1"/>
      <c r="D30" s="1"/>
      <c r="E30" s="8"/>
      <c r="F30" s="1"/>
      <c r="G30" s="1"/>
      <c r="I30" s="5"/>
      <c r="J30" s="5"/>
    </row>
    <row r="31" spans="2:14" ht="18.75" x14ac:dyDescent="0.4">
      <c r="B31" s="1"/>
      <c r="C31" s="1"/>
      <c r="D31" s="1"/>
      <c r="E31" s="8"/>
      <c r="F31" s="1"/>
      <c r="G31" s="1"/>
      <c r="I31" s="13" t="s">
        <v>22</v>
      </c>
      <c r="J31" s="15">
        <f>SUM(Tabela2781215192225283134374043464952555861646770737679269121720232629323538414447505356596265687174778326912172023[valor])</f>
        <v>90</v>
      </c>
      <c r="M31" s="13" t="s">
        <v>42</v>
      </c>
      <c r="N31" s="15">
        <f>SUM(Tabela27812131720232629323538414447505356596265687174778037101318212427303336394245485154576063666972757884371013182124[Valor])</f>
        <v>110</v>
      </c>
    </row>
    <row r="32" spans="2:14" x14ac:dyDescent="0.25">
      <c r="B32" s="1"/>
      <c r="C32" s="1"/>
      <c r="D32" s="1"/>
      <c r="E32" s="8"/>
      <c r="F32" s="1"/>
      <c r="G32" s="1"/>
      <c r="I32" s="5"/>
      <c r="J32" s="5"/>
    </row>
    <row r="33" spans="2:11" x14ac:dyDescent="0.25">
      <c r="B33" s="1"/>
      <c r="C33" s="1"/>
      <c r="D33" s="1"/>
      <c r="E33" s="8"/>
      <c r="F33" s="1"/>
      <c r="G33" s="1"/>
      <c r="I33" s="5"/>
      <c r="J33" s="5"/>
    </row>
    <row r="34" spans="2:11" x14ac:dyDescent="0.25">
      <c r="B34" s="1"/>
      <c r="C34" s="1" t="s">
        <v>34</v>
      </c>
      <c r="D34" s="1"/>
      <c r="E34" s="8"/>
      <c r="F34" s="1"/>
      <c r="G34" s="1"/>
      <c r="I34" s="5"/>
      <c r="J34" s="5"/>
    </row>
    <row r="35" spans="2:11" x14ac:dyDescent="0.25">
      <c r="B35" s="1"/>
      <c r="C35" s="1"/>
      <c r="D35" s="1"/>
      <c r="E35" s="8"/>
      <c r="F35" s="1"/>
      <c r="G35" s="1"/>
      <c r="I35" s="5"/>
      <c r="J35" s="5"/>
    </row>
    <row r="36" spans="2:11" x14ac:dyDescent="0.25">
      <c r="B36" s="1"/>
      <c r="C36" s="1"/>
      <c r="D36" s="1"/>
      <c r="E36" s="8"/>
      <c r="F36" s="1"/>
      <c r="G36" s="1"/>
      <c r="J36" s="5"/>
    </row>
    <row r="37" spans="2:11" x14ac:dyDescent="0.25">
      <c r="I37" s="5"/>
    </row>
    <row r="39" spans="2:11" x14ac:dyDescent="0.25">
      <c r="I39" s="9"/>
    </row>
    <row r="40" spans="2:11" x14ac:dyDescent="0.25">
      <c r="I40" t="s">
        <v>20</v>
      </c>
    </row>
    <row r="41" spans="2:11" x14ac:dyDescent="0.25">
      <c r="B41" s="4" t="s">
        <v>10</v>
      </c>
      <c r="C41" s="2">
        <f>SUMIF(Tabela165111821242730333639424548515457606366697275788158111519222528313437404346495255586164677073768285581115192225[Forma de Pagamento],"Dinheiro",Tabela165111821242730333639424548515457606366697275788158111519222528313437404346495255586164677073768285581115192225[Valor])</f>
        <v>372</v>
      </c>
      <c r="D41" s="4" t="s">
        <v>16</v>
      </c>
      <c r="E41" s="2">
        <f>SUMIF(Tabela165111821242730333639424548515457606366697275788158111519222528313437404346495255586164677073768285581115192225[Item],"Gás",Tabela165111821242730333639424548515457606366697275788158111519222528313437404346495255586164677073768285581115192225[QUANTIDADE])+G41</f>
        <v>13</v>
      </c>
      <c r="F41" s="4" t="s">
        <v>25</v>
      </c>
      <c r="G41" s="2">
        <f>SUMIF(Tabela165111821242730333639424548515457606366697275788158111519222528313437404346495255586164677073768285581115192225[Item],"Gás completo",Tabela165111821242730333639424548515457606366697275788158111519222528313437404346495255586164677073768285581115192225[QUANTIDADE])</f>
        <v>0</v>
      </c>
    </row>
    <row r="42" spans="2:11" x14ac:dyDescent="0.25">
      <c r="B42" s="4" t="s">
        <v>11</v>
      </c>
      <c r="C42" s="2">
        <f>SUMIF(Tabela165111821242730333639424548515457606366697275788158111519222528313437404346495255586164677073768285581115192225[Forma de Pagamento],"Cartão",Tabela165111821242730333639424548515457606366697275788158111519222528313437404346495255586164677073768285581115192225[Valor])</f>
        <v>600</v>
      </c>
      <c r="D42" s="4" t="s">
        <v>17</v>
      </c>
      <c r="E42" s="2">
        <f>SUMIF(Tabela165111821242730333639424548515457606366697275788158111519222528313437404346495255586164677073768285581115192225[Item],"Água",Tabela165111821242730333639424548515457606366697275788158111519222528313437404346495255586164677073768285581115192225[QUANTIDADE])+G42</f>
        <v>8</v>
      </c>
      <c r="F42" s="4" t="s">
        <v>27</v>
      </c>
      <c r="G42" s="2">
        <f>SUMIF(Tabela165111821242730333639424548515457606366697275788158111519222528313437404346495255586164677073768285581115192225[Item],"Água completa",Tabela165111821242730333639424548515457606366697275788158111519222528313437404346495255586164677073768285581115192225[QUANTIDADE])</f>
        <v>0</v>
      </c>
      <c r="J42" s="4" t="s">
        <v>5</v>
      </c>
      <c r="K42" s="4" t="s">
        <v>8</v>
      </c>
    </row>
    <row r="43" spans="2:11" x14ac:dyDescent="0.25">
      <c r="B43" s="4" t="s">
        <v>12</v>
      </c>
      <c r="C43" s="2">
        <f>SUMIF(Tabela165111821242730333639424548515457606366697275788158111519222528313437404346495255586164677073768285581115192225[Forma de Pagamento],"Pix",Tabela165111821242730333639424548515457606366697275788158111519222528313437404346495255586164677073768285581115192225[Valor])</f>
        <v>200</v>
      </c>
      <c r="I43" s="4" t="s">
        <v>6</v>
      </c>
      <c r="J43" s="1">
        <f>SUM(J7-E41+N7)</f>
        <v>18</v>
      </c>
      <c r="K43" s="2">
        <f>SUM(K7-E42+O7)</f>
        <v>2</v>
      </c>
    </row>
    <row r="44" spans="2:11" x14ac:dyDescent="0.25">
      <c r="B44" s="4" t="s">
        <v>13</v>
      </c>
      <c r="C44" s="2">
        <f>SUMIF(Tabela165111821242730333639424548515457606366697275788158111519222528313437404346495255586164677073768285581115192225[Forma de Pagamento],"Fiado",Tabela165111821242730333639424548515457606366697275788158111519222528313437404346495255586164677073768285581115192225[Valor])</f>
        <v>100</v>
      </c>
      <c r="D44" s="4" t="s">
        <v>14</v>
      </c>
      <c r="E44" s="7">
        <f>SUM(F3-J31+C41+N31)</f>
        <v>392</v>
      </c>
      <c r="I44" s="4" t="s">
        <v>7</v>
      </c>
      <c r="J44" s="2">
        <f>SUM(J8+E41-N7)-G41</f>
        <v>24</v>
      </c>
      <c r="K44" s="2">
        <f>SUM(K8+E42-O7)-G42</f>
        <v>14</v>
      </c>
    </row>
  </sheetData>
  <dataValidations count="2">
    <dataValidation type="list" allowBlank="1" showInputMessage="1" showErrorMessage="1" sqref="F7:F36" xr:uid="{5E66DEE5-9608-4889-A3D6-1B5986D5CC83}">
      <formula1>"Dinheiro,Cartão,Pix,Fiado,Pago"</formula1>
    </dataValidation>
    <dataValidation type="list" allowBlank="1" showInputMessage="1" showErrorMessage="1" sqref="B7:B16 B18:B36" xr:uid="{21241096-4608-44DA-AD81-D8255E2E2EBA}">
      <formula1>"Gás,Água,Gás completo,Água completa,Gás e Água, Recebimento"</formula1>
    </dataValidation>
  </dataValidations>
  <pageMargins left="0.511811024" right="0.511811024" top="0.78740157499999996" bottom="0.78740157499999996" header="0.31496062000000002" footer="0.31496062000000002"/>
  <pageSetup paperSize="0" orientation="portrait" horizontalDpi="203" verticalDpi="203" r:id="rId1"/>
  <drawing r:id="rId2"/>
  <tableParts count="3">
    <tablePart r:id="rId3"/>
    <tablePart r:id="rId4"/>
    <tablePart r:id="rId5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9B5B3-C8C2-4B53-ACFB-E4E07BB1332F}">
  <dimension ref="B2:O44"/>
  <sheetViews>
    <sheetView showGridLines="0" workbookViewId="0">
      <selection activeCell="L14" sqref="L14"/>
    </sheetView>
  </sheetViews>
  <sheetFormatPr defaultRowHeight="15" x14ac:dyDescent="0.25"/>
  <cols>
    <col min="2" max="2" width="14.7109375" customWidth="1"/>
    <col min="3" max="3" width="38.140625" customWidth="1"/>
    <col min="4" max="4" width="19.85546875" customWidth="1"/>
    <col min="5" max="5" width="21.85546875" customWidth="1"/>
    <col min="6" max="6" width="25.85546875" customWidth="1"/>
    <col min="7" max="7" width="16.7109375" customWidth="1"/>
    <col min="8" max="8" width="11.28515625" customWidth="1"/>
    <col min="9" max="9" width="21.85546875" customWidth="1"/>
    <col min="10" max="10" width="13.5703125" customWidth="1"/>
    <col min="11" max="11" width="12.28515625" customWidth="1"/>
    <col min="12" max="12" width="8.5703125" customWidth="1"/>
    <col min="13" max="13" width="19.7109375" customWidth="1"/>
    <col min="14" max="14" width="15.5703125" customWidth="1"/>
    <col min="15" max="15" width="13" customWidth="1"/>
  </cols>
  <sheetData>
    <row r="2" spans="2:15" ht="15.75" x14ac:dyDescent="0.25">
      <c r="E2" s="10" t="s">
        <v>4</v>
      </c>
      <c r="F2" s="3">
        <v>45171</v>
      </c>
    </row>
    <row r="3" spans="2:15" ht="15.75" x14ac:dyDescent="0.25">
      <c r="E3" s="10" t="s">
        <v>15</v>
      </c>
      <c r="F3" s="7"/>
    </row>
    <row r="4" spans="2:15" x14ac:dyDescent="0.25">
      <c r="J4" t="s">
        <v>19</v>
      </c>
      <c r="M4" t="s">
        <v>24</v>
      </c>
    </row>
    <row r="6" spans="2:15" x14ac:dyDescent="0.25">
      <c r="B6" s="6" t="s">
        <v>9</v>
      </c>
      <c r="C6" s="6" t="s">
        <v>0</v>
      </c>
      <c r="D6" s="6" t="s">
        <v>1</v>
      </c>
      <c r="E6" s="6" t="s">
        <v>2</v>
      </c>
      <c r="F6" s="6" t="s">
        <v>3</v>
      </c>
      <c r="G6" s="6" t="s">
        <v>26</v>
      </c>
      <c r="J6" s="4" t="s">
        <v>5</v>
      </c>
      <c r="K6" s="4" t="s">
        <v>8</v>
      </c>
      <c r="N6" s="4" t="s">
        <v>5</v>
      </c>
      <c r="O6" s="4" t="s">
        <v>8</v>
      </c>
    </row>
    <row r="7" spans="2:15" x14ac:dyDescent="0.25">
      <c r="B7" s="1" t="s">
        <v>5</v>
      </c>
      <c r="C7" s="1" t="s">
        <v>179</v>
      </c>
      <c r="D7" s="1" t="s">
        <v>180</v>
      </c>
      <c r="E7" s="8">
        <v>100</v>
      </c>
      <c r="F7" s="1" t="s">
        <v>11</v>
      </c>
      <c r="G7" s="1">
        <v>1</v>
      </c>
      <c r="I7" s="4" t="s">
        <v>6</v>
      </c>
      <c r="J7" s="1">
        <v>22</v>
      </c>
      <c r="K7" s="11">
        <v>11</v>
      </c>
      <c r="M7" s="4" t="s">
        <v>23</v>
      </c>
      <c r="N7" s="11"/>
      <c r="O7" s="11">
        <v>8</v>
      </c>
    </row>
    <row r="8" spans="2:15" x14ac:dyDescent="0.25">
      <c r="B8" s="1" t="s">
        <v>5</v>
      </c>
      <c r="C8" s="1"/>
      <c r="D8" s="1" t="s">
        <v>51</v>
      </c>
      <c r="E8" s="8">
        <v>100</v>
      </c>
      <c r="F8" s="1" t="s">
        <v>11</v>
      </c>
      <c r="G8" s="1">
        <v>1</v>
      </c>
      <c r="I8" s="4" t="s">
        <v>7</v>
      </c>
      <c r="J8" s="11">
        <v>9</v>
      </c>
      <c r="K8" s="11">
        <v>4</v>
      </c>
    </row>
    <row r="9" spans="2:15" x14ac:dyDescent="0.25">
      <c r="B9" s="1" t="s">
        <v>5</v>
      </c>
      <c r="C9" s="1" t="s">
        <v>178</v>
      </c>
      <c r="D9" s="1"/>
      <c r="E9" s="8">
        <v>100</v>
      </c>
      <c r="F9" s="1" t="s">
        <v>13</v>
      </c>
      <c r="G9" s="1">
        <v>1</v>
      </c>
    </row>
    <row r="10" spans="2:15" x14ac:dyDescent="0.25">
      <c r="B10" s="1" t="s">
        <v>5</v>
      </c>
      <c r="C10" s="1" t="s">
        <v>181</v>
      </c>
      <c r="D10" s="1" t="s">
        <v>182</v>
      </c>
      <c r="E10" s="8">
        <v>100</v>
      </c>
      <c r="F10" s="1" t="s">
        <v>10</v>
      </c>
      <c r="G10" s="1">
        <v>1</v>
      </c>
    </row>
    <row r="11" spans="2:15" x14ac:dyDescent="0.25">
      <c r="B11" s="1" t="s">
        <v>5</v>
      </c>
      <c r="C11" s="1" t="s">
        <v>183</v>
      </c>
      <c r="D11" s="1"/>
      <c r="E11" s="8">
        <v>95</v>
      </c>
      <c r="F11" s="1" t="s">
        <v>12</v>
      </c>
      <c r="G11" s="1">
        <v>1</v>
      </c>
    </row>
    <row r="12" spans="2:15" x14ac:dyDescent="0.25">
      <c r="B12" s="1" t="s">
        <v>5</v>
      </c>
      <c r="C12" s="1" t="s">
        <v>185</v>
      </c>
      <c r="D12" s="1"/>
      <c r="E12" s="8">
        <v>100</v>
      </c>
      <c r="F12" s="1" t="s">
        <v>11</v>
      </c>
      <c r="G12" s="1">
        <v>1</v>
      </c>
    </row>
    <row r="13" spans="2:15" x14ac:dyDescent="0.25">
      <c r="B13" s="1" t="s">
        <v>5</v>
      </c>
      <c r="C13" s="1" t="s">
        <v>186</v>
      </c>
      <c r="D13" s="1"/>
      <c r="E13" s="8">
        <v>100</v>
      </c>
      <c r="F13" s="1" t="s">
        <v>11</v>
      </c>
      <c r="G13" s="1">
        <v>1</v>
      </c>
      <c r="I13" t="s">
        <v>21</v>
      </c>
    </row>
    <row r="14" spans="2:15" x14ac:dyDescent="0.25">
      <c r="B14" s="1" t="s">
        <v>5</v>
      </c>
      <c r="C14" s="1" t="s">
        <v>187</v>
      </c>
      <c r="D14" s="1"/>
      <c r="E14" s="8">
        <v>100</v>
      </c>
      <c r="F14" s="1" t="s">
        <v>10</v>
      </c>
      <c r="G14" s="1">
        <v>1</v>
      </c>
    </row>
    <row r="15" spans="2:15" x14ac:dyDescent="0.25">
      <c r="B15" s="1" t="s">
        <v>5</v>
      </c>
      <c r="C15" s="1" t="s">
        <v>188</v>
      </c>
      <c r="D15" s="1"/>
      <c r="E15" s="8">
        <v>100</v>
      </c>
      <c r="F15" s="1" t="s">
        <v>11</v>
      </c>
      <c r="G15" s="1">
        <v>1</v>
      </c>
    </row>
    <row r="16" spans="2:15" x14ac:dyDescent="0.25">
      <c r="B16" s="1" t="s">
        <v>5</v>
      </c>
      <c r="C16" s="1"/>
      <c r="D16" s="1"/>
      <c r="E16" s="8">
        <v>100</v>
      </c>
      <c r="F16" s="1" t="s">
        <v>11</v>
      </c>
      <c r="G16" s="1">
        <v>1</v>
      </c>
      <c r="I16" s="5" t="s">
        <v>43</v>
      </c>
      <c r="J16" s="5" t="s">
        <v>44</v>
      </c>
      <c r="M16" s="5" t="s">
        <v>18</v>
      </c>
      <c r="N16" s="5" t="s">
        <v>2</v>
      </c>
    </row>
    <row r="17" spans="2:14" x14ac:dyDescent="0.25">
      <c r="B17" s="1" t="s">
        <v>5</v>
      </c>
      <c r="C17" s="1"/>
      <c r="D17" s="1"/>
      <c r="E17" s="8">
        <v>100</v>
      </c>
      <c r="F17" s="1" t="s">
        <v>10</v>
      </c>
      <c r="G17" s="1">
        <v>1</v>
      </c>
      <c r="I17" s="5"/>
      <c r="J17" s="7"/>
      <c r="M17" s="5"/>
      <c r="N17" s="12"/>
    </row>
    <row r="18" spans="2:14" x14ac:dyDescent="0.25">
      <c r="B18" s="1" t="s">
        <v>5</v>
      </c>
      <c r="C18" s="1" t="s">
        <v>184</v>
      </c>
      <c r="D18" s="1" t="s">
        <v>159</v>
      </c>
      <c r="E18" s="8">
        <v>100</v>
      </c>
      <c r="F18" s="1" t="s">
        <v>11</v>
      </c>
      <c r="G18" s="1">
        <v>1</v>
      </c>
      <c r="I18" s="5"/>
      <c r="J18" s="12"/>
      <c r="M18" s="5"/>
      <c r="N18" s="12"/>
    </row>
    <row r="19" spans="2:14" x14ac:dyDescent="0.25">
      <c r="B19" s="1" t="s">
        <v>8</v>
      </c>
      <c r="C19" s="1" t="s">
        <v>144</v>
      </c>
      <c r="D19" s="1"/>
      <c r="E19" s="8">
        <v>18</v>
      </c>
      <c r="F19" s="1"/>
      <c r="G19" s="1">
        <v>2</v>
      </c>
      <c r="I19" s="5"/>
      <c r="J19" s="12"/>
      <c r="M19" s="5"/>
      <c r="N19" s="12"/>
    </row>
    <row r="20" spans="2:14" x14ac:dyDescent="0.25">
      <c r="B20" s="1" t="s">
        <v>8</v>
      </c>
      <c r="C20" s="1" t="s">
        <v>191</v>
      </c>
      <c r="D20" s="1"/>
      <c r="E20" s="8">
        <v>9</v>
      </c>
      <c r="F20" s="1"/>
      <c r="G20" s="1">
        <v>1</v>
      </c>
      <c r="I20" s="5"/>
      <c r="J20" s="12"/>
      <c r="M20" s="5"/>
      <c r="N20" s="12"/>
    </row>
    <row r="21" spans="2:14" x14ac:dyDescent="0.25">
      <c r="B21" s="1" t="s">
        <v>8</v>
      </c>
      <c r="C21" s="1" t="s">
        <v>189</v>
      </c>
      <c r="D21" s="1"/>
      <c r="E21" s="8">
        <v>9</v>
      </c>
      <c r="F21" s="1" t="s">
        <v>10</v>
      </c>
      <c r="G21" s="1">
        <v>1</v>
      </c>
      <c r="I21" s="5"/>
      <c r="J21" s="12"/>
      <c r="M21" s="5"/>
      <c r="N21" s="12"/>
    </row>
    <row r="22" spans="2:14" x14ac:dyDescent="0.25">
      <c r="B22" s="1" t="s">
        <v>8</v>
      </c>
      <c r="C22" s="1" t="s">
        <v>190</v>
      </c>
      <c r="D22" s="1"/>
      <c r="E22" s="8">
        <v>9</v>
      </c>
      <c r="F22" s="1" t="s">
        <v>12</v>
      </c>
      <c r="G22" s="1">
        <v>1</v>
      </c>
      <c r="I22" s="5"/>
      <c r="J22" s="12"/>
      <c r="M22" s="5"/>
      <c r="N22" s="12"/>
    </row>
    <row r="23" spans="2:14" x14ac:dyDescent="0.25">
      <c r="B23" s="1"/>
      <c r="C23" s="1"/>
      <c r="D23" s="1"/>
      <c r="E23" s="8"/>
      <c r="F23" s="1"/>
      <c r="G23" s="1"/>
      <c r="I23" s="5"/>
      <c r="J23" s="12"/>
      <c r="M23" s="5"/>
      <c r="N23" s="12"/>
    </row>
    <row r="24" spans="2:14" x14ac:dyDescent="0.25">
      <c r="B24" s="1"/>
      <c r="C24" s="1"/>
      <c r="D24" s="1"/>
      <c r="E24" s="8"/>
      <c r="F24" s="1"/>
      <c r="G24" s="25"/>
      <c r="I24" s="5"/>
      <c r="J24" s="12"/>
      <c r="L24" s="14"/>
      <c r="M24" s="5"/>
      <c r="N24" s="12"/>
    </row>
    <row r="25" spans="2:14" x14ac:dyDescent="0.25">
      <c r="B25" s="1"/>
      <c r="C25" s="1"/>
      <c r="D25" s="1"/>
      <c r="E25" s="8"/>
      <c r="F25" s="1"/>
      <c r="G25" s="1"/>
      <c r="I25" s="5"/>
      <c r="J25" s="12"/>
      <c r="M25" s="5"/>
      <c r="N25" s="12"/>
    </row>
    <row r="26" spans="2:14" x14ac:dyDescent="0.25">
      <c r="B26" s="1"/>
      <c r="C26" s="1"/>
      <c r="D26" s="1"/>
      <c r="E26" s="8"/>
      <c r="F26" s="1"/>
      <c r="G26" s="1"/>
      <c r="I26" s="5"/>
      <c r="J26" s="12"/>
      <c r="M26" s="5"/>
      <c r="N26" s="12"/>
    </row>
    <row r="27" spans="2:14" x14ac:dyDescent="0.25">
      <c r="B27" s="1"/>
      <c r="C27" s="1"/>
      <c r="D27" s="1"/>
      <c r="E27" s="8"/>
      <c r="F27" s="1"/>
      <c r="G27" s="1"/>
      <c r="I27" s="5"/>
      <c r="J27" s="12"/>
      <c r="M27" s="5"/>
      <c r="N27" s="12"/>
    </row>
    <row r="28" spans="2:14" x14ac:dyDescent="0.25">
      <c r="B28" s="1"/>
      <c r="C28" s="1"/>
      <c r="D28" s="1"/>
      <c r="E28" s="8"/>
      <c r="F28" s="25"/>
      <c r="G28" s="1"/>
      <c r="I28" s="5"/>
      <c r="J28" s="12"/>
      <c r="M28" s="5"/>
      <c r="N28" s="12"/>
    </row>
    <row r="29" spans="2:14" x14ac:dyDescent="0.25">
      <c r="B29" s="1"/>
      <c r="C29" s="1"/>
      <c r="D29" s="1"/>
      <c r="E29" s="8"/>
      <c r="F29" s="1"/>
      <c r="G29" s="1"/>
      <c r="I29" s="5"/>
      <c r="J29" s="12"/>
      <c r="M29" s="5"/>
      <c r="N29" s="12"/>
    </row>
    <row r="30" spans="2:14" x14ac:dyDescent="0.25">
      <c r="B30" s="1"/>
      <c r="C30" s="1"/>
      <c r="D30" s="1"/>
      <c r="E30" s="8"/>
      <c r="F30" s="1"/>
      <c r="G30" s="1"/>
      <c r="I30" s="5"/>
      <c r="J30" s="5"/>
    </row>
    <row r="31" spans="2:14" ht="18.75" x14ac:dyDescent="0.4">
      <c r="B31" s="1"/>
      <c r="C31" s="1"/>
      <c r="D31" s="1"/>
      <c r="E31" s="8"/>
      <c r="F31" s="1"/>
      <c r="G31" s="1"/>
      <c r="I31" s="13" t="s">
        <v>22</v>
      </c>
      <c r="J31" s="15">
        <f>SUM(Tabela27812151922252831343740434649525558616467707376792691217202326293235384144475053565962656871747783269121720[valor])</f>
        <v>0</v>
      </c>
      <c r="M31" s="13" t="s">
        <v>42</v>
      </c>
      <c r="N31" s="15">
        <f>SUM(Tabela278121317202326293235384144475053565962656871747780371013182124273033363942454851545760636669727578843710131821[Valor])</f>
        <v>0</v>
      </c>
    </row>
    <row r="32" spans="2:14" x14ac:dyDescent="0.25">
      <c r="B32" s="1"/>
      <c r="C32" s="1"/>
      <c r="D32" s="1"/>
      <c r="E32" s="8"/>
      <c r="F32" s="1"/>
      <c r="G32" s="1"/>
      <c r="I32" s="5"/>
      <c r="J32" s="5"/>
    </row>
    <row r="33" spans="2:11" x14ac:dyDescent="0.25">
      <c r="B33" s="1"/>
      <c r="C33" s="1"/>
      <c r="D33" s="1"/>
      <c r="E33" s="8"/>
      <c r="F33" s="1"/>
      <c r="G33" s="1"/>
      <c r="I33" s="5"/>
      <c r="J33" s="5"/>
    </row>
    <row r="34" spans="2:11" x14ac:dyDescent="0.25">
      <c r="B34" s="1"/>
      <c r="C34" s="1" t="s">
        <v>34</v>
      </c>
      <c r="D34" s="1"/>
      <c r="E34" s="8"/>
      <c r="F34" s="1"/>
      <c r="G34" s="1"/>
      <c r="I34" s="5"/>
      <c r="J34" s="5"/>
    </row>
    <row r="35" spans="2:11" x14ac:dyDescent="0.25">
      <c r="B35" s="1"/>
      <c r="C35" s="1"/>
      <c r="D35" s="1"/>
      <c r="E35" s="8"/>
      <c r="F35" s="1"/>
      <c r="G35" s="1"/>
      <c r="I35" s="5"/>
      <c r="J35" s="5"/>
    </row>
    <row r="36" spans="2:11" x14ac:dyDescent="0.25">
      <c r="B36" s="1"/>
      <c r="C36" s="1"/>
      <c r="D36" s="1"/>
      <c r="E36" s="8"/>
      <c r="F36" s="1"/>
      <c r="G36" s="1"/>
      <c r="J36" s="5"/>
    </row>
    <row r="37" spans="2:11" x14ac:dyDescent="0.25">
      <c r="I37" s="5"/>
    </row>
    <row r="39" spans="2:11" x14ac:dyDescent="0.25">
      <c r="I39" s="9"/>
    </row>
    <row r="40" spans="2:11" x14ac:dyDescent="0.25">
      <c r="I40" t="s">
        <v>20</v>
      </c>
    </row>
    <row r="41" spans="2:11" x14ac:dyDescent="0.25">
      <c r="B41" s="4" t="s">
        <v>10</v>
      </c>
      <c r="C41" s="2">
        <f>SUMIF(Tabela1651118212427303336394245485154576063666972757881581115192225283134374043464952555861646770737682855811151922[Forma de Pagamento],"Dinheiro",Tabela1651118212427303336394245485154576063666972757881581115192225283134374043464952555861646770737682855811151922[Valor])</f>
        <v>309</v>
      </c>
      <c r="D41" s="4" t="s">
        <v>16</v>
      </c>
      <c r="E41" s="2">
        <f>SUMIF(Tabela1651118212427303336394245485154576063666972757881581115192225283134374043464952555861646770737682855811151922[Item],"Gás",Tabela1651118212427303336394245485154576063666972757881581115192225283134374043464952555861646770737682855811151922[QUANTIDADE])+G41</f>
        <v>12</v>
      </c>
      <c r="F41" s="4" t="s">
        <v>25</v>
      </c>
      <c r="G41" s="2">
        <f>SUMIF(Tabela1651118212427303336394245485154576063666972757881581115192225283134374043464952555861646770737682855811151922[Item],"Gás completo",Tabela1651118212427303336394245485154576063666972757881581115192225283134374043464952555861646770737682855811151922[QUANTIDADE])</f>
        <v>0</v>
      </c>
    </row>
    <row r="42" spans="2:11" x14ac:dyDescent="0.25">
      <c r="B42" s="4" t="s">
        <v>11</v>
      </c>
      <c r="C42" s="2">
        <f>SUMIF(Tabela1651118212427303336394245485154576063666972757881581115192225283134374043464952555861646770737682855811151922[Forma de Pagamento],"Cartão",Tabela1651118212427303336394245485154576063666972757881581115192225283134374043464952555861646770737682855811151922[Valor])</f>
        <v>700</v>
      </c>
      <c r="D42" s="4" t="s">
        <v>17</v>
      </c>
      <c r="E42" s="2">
        <f>SUMIF(Tabela1651118212427303336394245485154576063666972757881581115192225283134374043464952555861646770737682855811151922[Item],"Água",Tabela1651118212427303336394245485154576063666972757881581115192225283134374043464952555861646770737682855811151922[QUANTIDADE])+G42</f>
        <v>5</v>
      </c>
      <c r="F42" s="4" t="s">
        <v>27</v>
      </c>
      <c r="G42" s="2">
        <f>SUMIF(Tabela1651118212427303336394245485154576063666972757881581115192225283134374043464952555861646770737682855811151922[Item],"Água completa",Tabela1651118212427303336394245485154576063666972757881581115192225283134374043464952555861646770737682855811151922[QUANTIDADE])</f>
        <v>0</v>
      </c>
      <c r="J42" s="4" t="s">
        <v>5</v>
      </c>
      <c r="K42" s="4" t="s">
        <v>8</v>
      </c>
    </row>
    <row r="43" spans="2:11" x14ac:dyDescent="0.25">
      <c r="B43" s="4" t="s">
        <v>12</v>
      </c>
      <c r="C43" s="2">
        <f>SUMIF(Tabela1651118212427303336394245485154576063666972757881581115192225283134374043464952555861646770737682855811151922[Forma de Pagamento],"Pix",Tabela1651118212427303336394245485154576063666972757881581115192225283134374043464952555861646770737682855811151922[Valor])</f>
        <v>104</v>
      </c>
      <c r="I43" s="4" t="s">
        <v>6</v>
      </c>
      <c r="J43" s="1">
        <f>SUM(J7-E41+N7)</f>
        <v>10</v>
      </c>
      <c r="K43" s="2">
        <f>SUM(K7-E42+O7)</f>
        <v>14</v>
      </c>
    </row>
    <row r="44" spans="2:11" x14ac:dyDescent="0.25">
      <c r="B44" s="4" t="s">
        <v>13</v>
      </c>
      <c r="C44" s="2">
        <f>SUMIF(Tabela1651118212427303336394245485154576063666972757881581115192225283134374043464952555861646770737682855811151922[Forma de Pagamento],"Fiado",Tabela1651118212427303336394245485154576063666972757881581115192225283134374043464952555861646770737682855811151922[Valor])</f>
        <v>100</v>
      </c>
      <c r="D44" s="4" t="s">
        <v>14</v>
      </c>
      <c r="E44" s="7">
        <f>SUM(F3-J31+C41+N31)</f>
        <v>309</v>
      </c>
      <c r="I44" s="4" t="s">
        <v>7</v>
      </c>
      <c r="J44" s="2">
        <f>SUM(J8+E41-N7)-G41</f>
        <v>21</v>
      </c>
      <c r="K44" s="2">
        <f>SUM(K8+E42-O7)-G42</f>
        <v>1</v>
      </c>
    </row>
  </sheetData>
  <dataValidations count="2">
    <dataValidation type="list" allowBlank="1" showInputMessage="1" showErrorMessage="1" sqref="B7:B16 B18:B36" xr:uid="{6093563C-BC1F-4E3E-8FFD-AC5B1B271B05}">
      <formula1>"Gás,Água,Gás completo,Água completa,Gás e Água, Recebimento"</formula1>
    </dataValidation>
    <dataValidation type="list" allowBlank="1" showInputMessage="1" showErrorMessage="1" sqref="F7:F36" xr:uid="{24275CE4-2BEC-4D04-8A61-A3555A5FE02D}">
      <formula1>"Dinheiro,Cartão,Pix,Fiado,Pago"</formula1>
    </dataValidation>
  </dataValidations>
  <pageMargins left="0.511811024" right="0.511811024" top="0.78740157499999996" bottom="0.78740157499999996" header="0.31496062000000002" footer="0.31496062000000002"/>
  <pageSetup paperSize="0" orientation="portrait" horizontalDpi="203" verticalDpi="203" r:id="rId1"/>
  <drawing r:id="rId2"/>
  <tableParts count="3">
    <tablePart r:id="rId3"/>
    <tablePart r:id="rId4"/>
    <tablePart r:id="rId5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2DF86-CEC8-4574-8509-D4226510569E}">
  <dimension ref="B2:O44"/>
  <sheetViews>
    <sheetView showGridLines="0" workbookViewId="0">
      <selection activeCell="C32" sqref="C32"/>
    </sheetView>
  </sheetViews>
  <sheetFormatPr defaultRowHeight="15" x14ac:dyDescent="0.25"/>
  <cols>
    <col min="2" max="2" width="14.7109375" customWidth="1"/>
    <col min="3" max="3" width="38.140625" customWidth="1"/>
    <col min="4" max="4" width="19.85546875" customWidth="1"/>
    <col min="5" max="5" width="21.85546875" customWidth="1"/>
    <col min="6" max="6" width="25.85546875" customWidth="1"/>
    <col min="7" max="7" width="16.7109375" customWidth="1"/>
    <col min="8" max="8" width="11.28515625" customWidth="1"/>
    <col min="9" max="9" width="21.85546875" customWidth="1"/>
    <col min="10" max="10" width="13.5703125" customWidth="1"/>
    <col min="11" max="11" width="12.28515625" customWidth="1"/>
    <col min="12" max="12" width="8.5703125" customWidth="1"/>
    <col min="13" max="13" width="19.7109375" customWidth="1"/>
    <col min="14" max="14" width="15.5703125" customWidth="1"/>
    <col min="15" max="15" width="13" customWidth="1"/>
  </cols>
  <sheetData>
    <row r="2" spans="2:15" ht="15.75" x14ac:dyDescent="0.25">
      <c r="E2" s="10" t="s">
        <v>4</v>
      </c>
      <c r="F2" s="3">
        <v>45171</v>
      </c>
    </row>
    <row r="3" spans="2:15" ht="15.75" x14ac:dyDescent="0.25">
      <c r="E3" s="10" t="s">
        <v>15</v>
      </c>
      <c r="F3" s="7">
        <v>600</v>
      </c>
    </row>
    <row r="4" spans="2:15" x14ac:dyDescent="0.25">
      <c r="J4" t="s">
        <v>19</v>
      </c>
      <c r="M4" t="s">
        <v>24</v>
      </c>
    </row>
    <row r="6" spans="2:15" x14ac:dyDescent="0.25">
      <c r="B6" s="6" t="s">
        <v>9</v>
      </c>
      <c r="C6" s="6" t="s">
        <v>0</v>
      </c>
      <c r="D6" s="6" t="s">
        <v>1</v>
      </c>
      <c r="E6" s="6" t="s">
        <v>2</v>
      </c>
      <c r="F6" s="6" t="s">
        <v>3</v>
      </c>
      <c r="G6" s="6" t="s">
        <v>26</v>
      </c>
      <c r="J6" s="4" t="s">
        <v>5</v>
      </c>
      <c r="K6" s="4" t="s">
        <v>8</v>
      </c>
      <c r="N6" s="4" t="s">
        <v>5</v>
      </c>
      <c r="O6" s="4" t="s">
        <v>8</v>
      </c>
    </row>
    <row r="7" spans="2:15" x14ac:dyDescent="0.25">
      <c r="B7" s="1" t="s">
        <v>5</v>
      </c>
      <c r="C7" s="1" t="s">
        <v>123</v>
      </c>
      <c r="D7" s="1" t="s">
        <v>159</v>
      </c>
      <c r="E7" s="8">
        <v>100</v>
      </c>
      <c r="F7" s="1" t="s">
        <v>11</v>
      </c>
      <c r="G7" s="1">
        <v>1</v>
      </c>
      <c r="I7" s="4" t="s">
        <v>6</v>
      </c>
      <c r="J7" s="1">
        <v>23</v>
      </c>
      <c r="K7" s="11">
        <v>11</v>
      </c>
      <c r="M7" s="4" t="s">
        <v>23</v>
      </c>
      <c r="N7" s="11">
        <v>20</v>
      </c>
      <c r="O7" s="11"/>
    </row>
    <row r="8" spans="2:15" x14ac:dyDescent="0.25">
      <c r="B8" s="1" t="s">
        <v>5</v>
      </c>
      <c r="C8" s="1" t="s">
        <v>160</v>
      </c>
      <c r="D8" s="1"/>
      <c r="E8" s="8">
        <v>100</v>
      </c>
      <c r="F8" s="1" t="s">
        <v>11</v>
      </c>
      <c r="G8" s="1">
        <v>1</v>
      </c>
      <c r="I8" s="4" t="s">
        <v>7</v>
      </c>
      <c r="J8" s="11">
        <v>10</v>
      </c>
      <c r="K8" s="11">
        <v>4</v>
      </c>
    </row>
    <row r="9" spans="2:15" x14ac:dyDescent="0.25">
      <c r="B9" s="1" t="s">
        <v>5</v>
      </c>
      <c r="C9" s="1" t="s">
        <v>161</v>
      </c>
      <c r="D9" s="1"/>
      <c r="E9" s="8">
        <v>100</v>
      </c>
      <c r="F9" s="1" t="s">
        <v>10</v>
      </c>
      <c r="G9" s="1">
        <v>1</v>
      </c>
    </row>
    <row r="10" spans="2:15" x14ac:dyDescent="0.25">
      <c r="B10" s="1" t="s">
        <v>5</v>
      </c>
      <c r="C10" s="1" t="s">
        <v>162</v>
      </c>
      <c r="D10" s="1"/>
      <c r="E10" s="8">
        <v>70</v>
      </c>
      <c r="F10" s="1" t="s">
        <v>12</v>
      </c>
      <c r="G10" s="1">
        <v>1</v>
      </c>
    </row>
    <row r="11" spans="2:15" x14ac:dyDescent="0.25">
      <c r="B11" s="1" t="s">
        <v>5</v>
      </c>
      <c r="C11" s="1" t="s">
        <v>163</v>
      </c>
      <c r="D11" s="1"/>
      <c r="E11" s="8">
        <v>9</v>
      </c>
      <c r="F11" s="1" t="s">
        <v>13</v>
      </c>
      <c r="G11" s="1">
        <v>1</v>
      </c>
    </row>
    <row r="12" spans="2:15" x14ac:dyDescent="0.25">
      <c r="B12" s="1" t="s">
        <v>5</v>
      </c>
      <c r="C12" s="1" t="s">
        <v>164</v>
      </c>
      <c r="D12" s="1"/>
      <c r="E12" s="8">
        <v>100</v>
      </c>
      <c r="F12" s="1" t="s">
        <v>12</v>
      </c>
      <c r="G12" s="1">
        <v>1</v>
      </c>
    </row>
    <row r="13" spans="2:15" x14ac:dyDescent="0.25">
      <c r="B13" s="1" t="s">
        <v>5</v>
      </c>
      <c r="C13" s="1" t="s">
        <v>165</v>
      </c>
      <c r="D13" s="1"/>
      <c r="E13" s="8">
        <v>50</v>
      </c>
      <c r="F13" s="1" t="s">
        <v>10</v>
      </c>
      <c r="G13" s="1">
        <v>1</v>
      </c>
      <c r="I13" t="s">
        <v>21</v>
      </c>
    </row>
    <row r="14" spans="2:15" x14ac:dyDescent="0.25">
      <c r="B14" s="1" t="s">
        <v>5</v>
      </c>
      <c r="C14" s="1" t="s">
        <v>166</v>
      </c>
      <c r="D14" s="1" t="s">
        <v>154</v>
      </c>
      <c r="E14" s="8">
        <v>100</v>
      </c>
      <c r="F14" s="1" t="s">
        <v>11</v>
      </c>
      <c r="G14" s="1">
        <v>1</v>
      </c>
    </row>
    <row r="15" spans="2:15" x14ac:dyDescent="0.25">
      <c r="B15" s="1" t="s">
        <v>5</v>
      </c>
      <c r="C15" s="1" t="s">
        <v>167</v>
      </c>
      <c r="D15" s="1"/>
      <c r="E15" s="8">
        <v>100</v>
      </c>
      <c r="F15" s="1" t="s">
        <v>11</v>
      </c>
      <c r="G15" s="1">
        <v>1</v>
      </c>
    </row>
    <row r="16" spans="2:15" x14ac:dyDescent="0.25">
      <c r="B16" s="1" t="s">
        <v>5</v>
      </c>
      <c r="C16" s="1" t="s">
        <v>144</v>
      </c>
      <c r="D16" s="1"/>
      <c r="E16" s="8">
        <v>95</v>
      </c>
      <c r="F16" s="1" t="s">
        <v>10</v>
      </c>
      <c r="G16" s="1">
        <v>1</v>
      </c>
      <c r="I16" s="5" t="s">
        <v>43</v>
      </c>
      <c r="J16" s="5" t="s">
        <v>44</v>
      </c>
      <c r="M16" s="5" t="s">
        <v>18</v>
      </c>
      <c r="N16" s="5" t="s">
        <v>2</v>
      </c>
    </row>
    <row r="17" spans="2:14" x14ac:dyDescent="0.25">
      <c r="B17" s="1" t="s">
        <v>8</v>
      </c>
      <c r="C17" s="1" t="s">
        <v>168</v>
      </c>
      <c r="D17" s="1"/>
      <c r="E17" s="8">
        <v>9</v>
      </c>
      <c r="F17" s="1"/>
      <c r="G17" s="1">
        <v>1</v>
      </c>
      <c r="I17" s="5"/>
      <c r="J17" s="7">
        <v>1480</v>
      </c>
      <c r="M17" s="5"/>
      <c r="N17" s="12">
        <v>100</v>
      </c>
    </row>
    <row r="18" spans="2:14" x14ac:dyDescent="0.25">
      <c r="B18" s="1" t="s">
        <v>8</v>
      </c>
      <c r="C18" s="1"/>
      <c r="D18" s="1"/>
      <c r="E18" s="8">
        <v>7</v>
      </c>
      <c r="F18" s="1"/>
      <c r="G18" s="1">
        <v>1</v>
      </c>
      <c r="I18" s="5"/>
      <c r="J18" s="12"/>
      <c r="M18" s="5"/>
      <c r="N18" s="12">
        <v>1500</v>
      </c>
    </row>
    <row r="19" spans="2:14" x14ac:dyDescent="0.25">
      <c r="B19" s="1" t="s">
        <v>5</v>
      </c>
      <c r="C19" s="1" t="s">
        <v>173</v>
      </c>
      <c r="D19" s="1"/>
      <c r="E19" s="8">
        <v>100</v>
      </c>
      <c r="F19" s="1" t="s">
        <v>13</v>
      </c>
      <c r="G19" s="1">
        <v>1</v>
      </c>
      <c r="I19" s="5"/>
      <c r="J19" s="12"/>
      <c r="M19" s="5"/>
      <c r="N19" s="12"/>
    </row>
    <row r="20" spans="2:14" x14ac:dyDescent="0.25">
      <c r="B20" s="1" t="s">
        <v>5</v>
      </c>
      <c r="C20" s="1" t="s">
        <v>172</v>
      </c>
      <c r="D20" s="1"/>
      <c r="E20" s="8">
        <v>100</v>
      </c>
      <c r="F20" s="1" t="s">
        <v>13</v>
      </c>
      <c r="G20" s="1">
        <v>1</v>
      </c>
      <c r="I20" s="5"/>
      <c r="J20" s="12"/>
      <c r="M20" s="5"/>
      <c r="N20" s="12"/>
    </row>
    <row r="21" spans="2:14" x14ac:dyDescent="0.25">
      <c r="B21" s="1" t="s">
        <v>5</v>
      </c>
      <c r="C21" s="1" t="s">
        <v>169</v>
      </c>
      <c r="D21" s="1"/>
      <c r="E21" s="8">
        <v>100</v>
      </c>
      <c r="F21" s="1" t="s">
        <v>10</v>
      </c>
      <c r="G21" s="1">
        <v>1</v>
      </c>
      <c r="I21" s="5"/>
      <c r="J21" s="12"/>
      <c r="M21" s="5"/>
      <c r="N21" s="12"/>
    </row>
    <row r="22" spans="2:14" x14ac:dyDescent="0.25">
      <c r="B22" s="1" t="s">
        <v>8</v>
      </c>
      <c r="C22" s="1" t="s">
        <v>171</v>
      </c>
      <c r="D22" s="1"/>
      <c r="E22" s="8">
        <v>9</v>
      </c>
      <c r="F22" s="1"/>
      <c r="G22" s="1">
        <v>1</v>
      </c>
      <c r="I22" s="5"/>
      <c r="J22" s="12"/>
      <c r="M22" s="5"/>
      <c r="N22" s="12"/>
    </row>
    <row r="23" spans="2:14" x14ac:dyDescent="0.25">
      <c r="B23" s="1" t="s">
        <v>8</v>
      </c>
      <c r="C23" s="1" t="s">
        <v>170</v>
      </c>
      <c r="D23" s="1"/>
      <c r="E23" s="8">
        <v>9</v>
      </c>
      <c r="F23" s="1"/>
      <c r="G23" s="1">
        <v>1</v>
      </c>
      <c r="I23" s="5"/>
      <c r="J23" s="12"/>
      <c r="M23" s="5"/>
      <c r="N23" s="12"/>
    </row>
    <row r="24" spans="2:14" x14ac:dyDescent="0.25">
      <c r="B24" s="1" t="s">
        <v>5</v>
      </c>
      <c r="C24" s="1" t="s">
        <v>57</v>
      </c>
      <c r="D24" s="1"/>
      <c r="E24" s="8">
        <v>100</v>
      </c>
      <c r="F24" s="1" t="s">
        <v>10</v>
      </c>
      <c r="G24" s="25">
        <v>1</v>
      </c>
      <c r="I24" s="5"/>
      <c r="J24" s="12"/>
      <c r="L24" s="14"/>
      <c r="M24" s="5"/>
      <c r="N24" s="12"/>
    </row>
    <row r="25" spans="2:14" x14ac:dyDescent="0.25">
      <c r="B25" s="1" t="s">
        <v>5</v>
      </c>
      <c r="C25" s="1" t="s">
        <v>176</v>
      </c>
      <c r="D25" s="1"/>
      <c r="E25" s="8">
        <v>100</v>
      </c>
      <c r="F25" s="1" t="s">
        <v>11</v>
      </c>
      <c r="G25" s="1">
        <v>1</v>
      </c>
      <c r="I25" s="5"/>
      <c r="J25" s="12"/>
      <c r="M25" s="5"/>
      <c r="N25" s="12"/>
    </row>
    <row r="26" spans="2:14" x14ac:dyDescent="0.25">
      <c r="B26" s="1" t="s">
        <v>5</v>
      </c>
      <c r="C26" s="1" t="s">
        <v>175</v>
      </c>
      <c r="D26" s="1"/>
      <c r="E26" s="8">
        <v>100</v>
      </c>
      <c r="F26" s="1" t="s">
        <v>11</v>
      </c>
      <c r="G26" s="1">
        <v>1</v>
      </c>
      <c r="I26" s="5"/>
      <c r="J26" s="12"/>
      <c r="M26" s="5"/>
      <c r="N26" s="12"/>
    </row>
    <row r="27" spans="2:14" x14ac:dyDescent="0.25">
      <c r="B27" s="1" t="s">
        <v>5</v>
      </c>
      <c r="C27" s="1" t="s">
        <v>91</v>
      </c>
      <c r="D27" s="1"/>
      <c r="E27" s="8">
        <v>95</v>
      </c>
      <c r="F27" s="1" t="s">
        <v>11</v>
      </c>
      <c r="G27" s="1">
        <v>1</v>
      </c>
      <c r="I27" s="5"/>
      <c r="J27" s="12"/>
      <c r="M27" s="5"/>
      <c r="N27" s="12"/>
    </row>
    <row r="28" spans="2:14" x14ac:dyDescent="0.25">
      <c r="B28" s="1" t="s">
        <v>5</v>
      </c>
      <c r="C28" s="1" t="s">
        <v>174</v>
      </c>
      <c r="D28" s="1"/>
      <c r="E28" s="8">
        <v>100</v>
      </c>
      <c r="F28" s="25" t="s">
        <v>10</v>
      </c>
      <c r="G28" s="1">
        <v>1</v>
      </c>
      <c r="I28" s="5"/>
      <c r="J28" s="12"/>
      <c r="M28" s="5"/>
      <c r="N28" s="12"/>
    </row>
    <row r="29" spans="2:14" x14ac:dyDescent="0.25">
      <c r="B29" s="1" t="s">
        <v>5</v>
      </c>
      <c r="C29" s="1" t="s">
        <v>177</v>
      </c>
      <c r="D29" s="1"/>
      <c r="E29" s="8">
        <v>100</v>
      </c>
      <c r="F29" s="1" t="s">
        <v>11</v>
      </c>
      <c r="G29" s="1">
        <v>1</v>
      </c>
      <c r="I29" s="5"/>
      <c r="J29" s="12"/>
      <c r="M29" s="5"/>
      <c r="N29" s="12"/>
    </row>
    <row r="30" spans="2:14" x14ac:dyDescent="0.25">
      <c r="B30" s="1"/>
      <c r="C30" s="1"/>
      <c r="D30" s="1"/>
      <c r="E30" s="8"/>
      <c r="F30" s="1"/>
      <c r="G30" s="1"/>
      <c r="I30" s="5"/>
      <c r="J30" s="5"/>
    </row>
    <row r="31" spans="2:14" ht="18.75" x14ac:dyDescent="0.4">
      <c r="B31" s="1"/>
      <c r="C31" s="1"/>
      <c r="D31" s="1"/>
      <c r="E31" s="8"/>
      <c r="F31" s="1"/>
      <c r="G31" s="1"/>
      <c r="I31" s="13" t="s">
        <v>22</v>
      </c>
      <c r="J31" s="15">
        <f>SUM(Tabela278121519222528313437404346495255586164677073767926912172023262932353841444750535659626568717477832691217[valor])</f>
        <v>1480</v>
      </c>
      <c r="M31" s="13" t="s">
        <v>42</v>
      </c>
      <c r="N31" s="15">
        <f>SUM(Tabela2781213172023262932353841444750535659626568717477803710131821242730333639424548515457606366697275788437101318[Valor])</f>
        <v>1600</v>
      </c>
    </row>
    <row r="32" spans="2:14" x14ac:dyDescent="0.25">
      <c r="B32" s="1"/>
      <c r="C32" s="1"/>
      <c r="D32" s="1"/>
      <c r="E32" s="8"/>
      <c r="F32" s="1"/>
      <c r="G32" s="1"/>
      <c r="I32" s="5"/>
      <c r="J32" s="5"/>
    </row>
    <row r="33" spans="2:11" x14ac:dyDescent="0.25">
      <c r="B33" s="1"/>
      <c r="C33" s="1"/>
      <c r="D33" s="1"/>
      <c r="E33" s="8"/>
      <c r="F33" s="1"/>
      <c r="G33" s="1"/>
      <c r="I33" s="5"/>
      <c r="J33" s="5"/>
    </row>
    <row r="34" spans="2:11" x14ac:dyDescent="0.25">
      <c r="B34" s="1"/>
      <c r="C34" s="1" t="s">
        <v>34</v>
      </c>
      <c r="D34" s="1"/>
      <c r="E34" s="8"/>
      <c r="F34" s="1"/>
      <c r="G34" s="1"/>
      <c r="I34" s="5"/>
      <c r="J34" s="5"/>
    </row>
    <row r="35" spans="2:11" x14ac:dyDescent="0.25">
      <c r="B35" s="1"/>
      <c r="C35" s="1"/>
      <c r="D35" s="1"/>
      <c r="E35" s="8"/>
      <c r="F35" s="1"/>
      <c r="G35" s="1"/>
      <c r="I35" s="5"/>
      <c r="J35" s="5"/>
    </row>
    <row r="36" spans="2:11" x14ac:dyDescent="0.25">
      <c r="B36" s="1"/>
      <c r="C36" s="1"/>
      <c r="D36" s="1"/>
      <c r="E36" s="8"/>
      <c r="F36" s="1"/>
      <c r="G36" s="1"/>
      <c r="J36" s="5"/>
    </row>
    <row r="37" spans="2:11" x14ac:dyDescent="0.25">
      <c r="I37" s="5"/>
    </row>
    <row r="39" spans="2:11" x14ac:dyDescent="0.25">
      <c r="I39" s="9"/>
    </row>
    <row r="40" spans="2:11" x14ac:dyDescent="0.25">
      <c r="I40" t="s">
        <v>20</v>
      </c>
    </row>
    <row r="41" spans="2:11" x14ac:dyDescent="0.25">
      <c r="B41" s="4" t="s">
        <v>10</v>
      </c>
      <c r="C41" s="2">
        <f>SUMIF(Tabela16511182124273033363942454851545760636669727578815811151922252831343740434649525558616467707376828558111519[Forma de Pagamento],"Dinheiro",Tabela16511182124273033363942454851545760636669727578815811151922252831343740434649525558616467707376828558111519[Valor])</f>
        <v>545</v>
      </c>
      <c r="D41" s="4" t="s">
        <v>16</v>
      </c>
      <c r="E41" s="2">
        <f>SUMIF(Tabela16511182124273033363942454851545760636669727578815811151922252831343740434649525558616467707376828558111519[Item],"Gás",Tabela16511182124273033363942454851545760636669727578815811151922252831343740434649525558616467707376828558111519[QUANTIDADE])+G41</f>
        <v>19</v>
      </c>
      <c r="F41" s="4" t="s">
        <v>25</v>
      </c>
      <c r="G41" s="2">
        <f>SUMIF(Tabela16511182124273033363942454851545760636669727578815811151922252831343740434649525558616467707376828558111519[Item],"Gás completo",Tabela16511182124273033363942454851545760636669727578815811151922252831343740434649525558616467707376828558111519[QUANTIDADE])</f>
        <v>0</v>
      </c>
    </row>
    <row r="42" spans="2:11" x14ac:dyDescent="0.25">
      <c r="B42" s="4" t="s">
        <v>11</v>
      </c>
      <c r="C42" s="2">
        <f>SUMIF(Tabela16511182124273033363942454851545760636669727578815811151922252831343740434649525558616467707376828558111519[Forma de Pagamento],"Cartão",Tabela16511182124273033363942454851545760636669727578815811151922252831343740434649525558616467707376828558111519[Valor])</f>
        <v>795</v>
      </c>
      <c r="D42" s="4" t="s">
        <v>17</v>
      </c>
      <c r="E42" s="2">
        <f>SUMIF(Tabela16511182124273033363942454851545760636669727578815811151922252831343740434649525558616467707376828558111519[Item],"Água",Tabela16511182124273033363942454851545760636669727578815811151922252831343740434649525558616467707376828558111519[QUANTIDADE])+G42</f>
        <v>4</v>
      </c>
      <c r="F42" s="4" t="s">
        <v>27</v>
      </c>
      <c r="G42" s="2">
        <f>SUMIF(Tabela16511182124273033363942454851545760636669727578815811151922252831343740434649525558616467707376828558111519[Item],"Água completa",Tabela16511182124273033363942454851545760636669727578815811151922252831343740434649525558616467707376828558111519[QUANTIDADE])</f>
        <v>0</v>
      </c>
      <c r="J42" s="4" t="s">
        <v>5</v>
      </c>
      <c r="K42" s="4" t="s">
        <v>8</v>
      </c>
    </row>
    <row r="43" spans="2:11" x14ac:dyDescent="0.25">
      <c r="B43" s="4" t="s">
        <v>12</v>
      </c>
      <c r="C43" s="2">
        <f>SUMIF(Tabela16511182124273033363942454851545760636669727578815811151922252831343740434649525558616467707376828558111519[Forma de Pagamento],"Pix",Tabela16511182124273033363942454851545760636669727578815811151922252831343740434649525558616467707376828558111519[Valor])</f>
        <v>170</v>
      </c>
      <c r="I43" s="4" t="s">
        <v>6</v>
      </c>
      <c r="J43" s="1">
        <f>SUM(J7-E41+N7)</f>
        <v>24</v>
      </c>
      <c r="K43" s="2">
        <f>SUM(K7-E42+O7)</f>
        <v>7</v>
      </c>
    </row>
    <row r="44" spans="2:11" x14ac:dyDescent="0.25">
      <c r="B44" s="4" t="s">
        <v>13</v>
      </c>
      <c r="C44" s="2">
        <f>SUMIF(Tabela16511182124273033363942454851545760636669727578815811151922252831343740434649525558616467707376828558111519[Forma de Pagamento],"Fiado",Tabela16511182124273033363942454851545760636669727578815811151922252831343740434649525558616467707376828558111519[Valor])</f>
        <v>209</v>
      </c>
      <c r="D44" s="4" t="s">
        <v>14</v>
      </c>
      <c r="E44" s="7">
        <f>SUM(F3-J31+C41+N31)</f>
        <v>1265</v>
      </c>
      <c r="I44" s="4" t="s">
        <v>7</v>
      </c>
      <c r="J44" s="2">
        <f>SUM(J8+E41-N7)-G41</f>
        <v>9</v>
      </c>
      <c r="K44" s="2">
        <f>SUM(K8+E42-O7)-G42</f>
        <v>8</v>
      </c>
    </row>
  </sheetData>
  <dataValidations count="2">
    <dataValidation type="list" allowBlank="1" showInputMessage="1" showErrorMessage="1" sqref="F7:F36" xr:uid="{FA0C3BB6-9861-4A40-A525-E6A44B7CD534}">
      <formula1>"Dinheiro,Cartão,Pix,Fiado,Pago"</formula1>
    </dataValidation>
    <dataValidation type="list" allowBlank="1" showInputMessage="1" showErrorMessage="1" sqref="B18:B36 B7:B16" xr:uid="{87188B53-7E83-4AF8-ACFE-3298EA9AFA4D}">
      <formula1>"Gás,Água,Gás completo,Água completa,Gás e Água, Recebimento"</formula1>
    </dataValidation>
  </dataValidations>
  <pageMargins left="0.511811024" right="0.511811024" top="0.78740157499999996" bottom="0.78740157499999996" header="0.31496062000000002" footer="0.31496062000000002"/>
  <pageSetup paperSize="0" orientation="portrait" horizontalDpi="203" verticalDpi="203" r:id="rId1"/>
  <drawing r:id="rId2"/>
  <tableParts count="3">
    <tablePart r:id="rId3"/>
    <tablePart r:id="rId4"/>
    <tablePart r:id="rId5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A2D09-3A4A-4C23-96A7-24A2BAB97CA6}">
  <dimension ref="B2:O44"/>
  <sheetViews>
    <sheetView showGridLines="0" topLeftCell="A10" workbookViewId="0">
      <selection activeCell="F33" sqref="F33"/>
    </sheetView>
  </sheetViews>
  <sheetFormatPr defaultRowHeight="15" x14ac:dyDescent="0.25"/>
  <cols>
    <col min="2" max="2" width="14.7109375" customWidth="1"/>
    <col min="3" max="3" width="38.140625" customWidth="1"/>
    <col min="4" max="4" width="19.85546875" customWidth="1"/>
    <col min="5" max="5" width="21.85546875" customWidth="1"/>
    <col min="6" max="6" width="25.85546875" customWidth="1"/>
    <col min="7" max="7" width="16.7109375" customWidth="1"/>
    <col min="8" max="8" width="11.28515625" customWidth="1"/>
    <col min="9" max="9" width="21.85546875" customWidth="1"/>
    <col min="10" max="10" width="13.5703125" customWidth="1"/>
    <col min="11" max="11" width="12.28515625" customWidth="1"/>
    <col min="12" max="12" width="8.5703125" customWidth="1"/>
    <col min="13" max="13" width="19.7109375" customWidth="1"/>
    <col min="14" max="14" width="15.5703125" customWidth="1"/>
    <col min="15" max="15" width="13" customWidth="1"/>
  </cols>
  <sheetData>
    <row r="2" spans="2:15" ht="15.75" x14ac:dyDescent="0.25">
      <c r="E2" s="10" t="s">
        <v>4</v>
      </c>
      <c r="F2" s="3">
        <v>45171</v>
      </c>
    </row>
    <row r="3" spans="2:15" ht="15.75" x14ac:dyDescent="0.25">
      <c r="E3" s="10" t="s">
        <v>15</v>
      </c>
      <c r="F3" s="7">
        <v>300</v>
      </c>
    </row>
    <row r="4" spans="2:15" x14ac:dyDescent="0.25">
      <c r="J4" t="s">
        <v>19</v>
      </c>
      <c r="M4" t="s">
        <v>24</v>
      </c>
    </row>
    <row r="6" spans="2:15" x14ac:dyDescent="0.25">
      <c r="B6" s="6" t="s">
        <v>9</v>
      </c>
      <c r="C6" s="6" t="s">
        <v>0</v>
      </c>
      <c r="D6" s="6" t="s">
        <v>1</v>
      </c>
      <c r="E6" s="6" t="s">
        <v>2</v>
      </c>
      <c r="F6" s="6" t="s">
        <v>3</v>
      </c>
      <c r="G6" s="6" t="s">
        <v>26</v>
      </c>
      <c r="J6" s="4" t="s">
        <v>5</v>
      </c>
      <c r="K6" s="4" t="s">
        <v>8</v>
      </c>
      <c r="N6" s="4" t="s">
        <v>5</v>
      </c>
      <c r="O6" s="4" t="s">
        <v>8</v>
      </c>
    </row>
    <row r="7" spans="2:15" x14ac:dyDescent="0.25">
      <c r="B7" s="1" t="s">
        <v>5</v>
      </c>
      <c r="C7" s="1" t="s">
        <v>135</v>
      </c>
      <c r="D7" s="1"/>
      <c r="E7" s="8">
        <v>100</v>
      </c>
      <c r="F7" s="1" t="s">
        <v>10</v>
      </c>
      <c r="G7" s="1">
        <v>1</v>
      </c>
      <c r="I7" s="4" t="s">
        <v>6</v>
      </c>
      <c r="J7" s="1">
        <v>34</v>
      </c>
      <c r="K7" s="11">
        <v>11</v>
      </c>
      <c r="M7" s="4" t="s">
        <v>23</v>
      </c>
      <c r="N7" s="11">
        <v>10</v>
      </c>
      <c r="O7" s="11"/>
    </row>
    <row r="8" spans="2:15" x14ac:dyDescent="0.25">
      <c r="B8" s="1" t="s">
        <v>5</v>
      </c>
      <c r="C8" s="1" t="s">
        <v>136</v>
      </c>
      <c r="D8" s="1"/>
      <c r="E8" s="8">
        <v>100</v>
      </c>
      <c r="F8" s="1" t="s">
        <v>11</v>
      </c>
      <c r="G8" s="1">
        <v>1</v>
      </c>
      <c r="I8" s="4" t="s">
        <v>7</v>
      </c>
      <c r="J8" s="11">
        <v>8</v>
      </c>
      <c r="K8" s="11">
        <v>6</v>
      </c>
    </row>
    <row r="9" spans="2:15" x14ac:dyDescent="0.25">
      <c r="B9" s="1" t="s">
        <v>5</v>
      </c>
      <c r="C9" s="1" t="s">
        <v>156</v>
      </c>
      <c r="D9" s="1"/>
      <c r="E9" s="8">
        <v>100</v>
      </c>
      <c r="F9" s="1" t="s">
        <v>13</v>
      </c>
      <c r="G9" s="1">
        <v>1</v>
      </c>
    </row>
    <row r="10" spans="2:15" x14ac:dyDescent="0.25">
      <c r="B10" s="1" t="s">
        <v>8</v>
      </c>
      <c r="C10" s="1" t="s">
        <v>137</v>
      </c>
      <c r="D10" s="1"/>
      <c r="E10" s="8">
        <v>7</v>
      </c>
      <c r="F10" s="1"/>
      <c r="G10" s="1">
        <v>1</v>
      </c>
    </row>
    <row r="11" spans="2:15" x14ac:dyDescent="0.25">
      <c r="B11" s="1" t="s">
        <v>5</v>
      </c>
      <c r="C11" s="1" t="s">
        <v>138</v>
      </c>
      <c r="D11" s="1"/>
      <c r="E11" s="8">
        <v>100</v>
      </c>
      <c r="F11" s="1" t="s">
        <v>11</v>
      </c>
      <c r="G11" s="1">
        <v>1</v>
      </c>
    </row>
    <row r="12" spans="2:15" x14ac:dyDescent="0.25">
      <c r="B12" s="1" t="s">
        <v>5</v>
      </c>
      <c r="C12" s="1" t="s">
        <v>139</v>
      </c>
      <c r="D12" s="1"/>
      <c r="E12" s="8">
        <v>100</v>
      </c>
      <c r="F12" s="1" t="s">
        <v>12</v>
      </c>
      <c r="G12" s="1">
        <v>1</v>
      </c>
    </row>
    <row r="13" spans="2:15" x14ac:dyDescent="0.25">
      <c r="B13" s="1" t="s">
        <v>5</v>
      </c>
      <c r="C13" s="1" t="s">
        <v>140</v>
      </c>
      <c r="D13" s="1"/>
      <c r="E13" s="8">
        <v>100</v>
      </c>
      <c r="F13" s="1" t="s">
        <v>10</v>
      </c>
      <c r="G13" s="1">
        <v>1</v>
      </c>
      <c r="I13" t="s">
        <v>21</v>
      </c>
    </row>
    <row r="14" spans="2:15" x14ac:dyDescent="0.25">
      <c r="B14" s="1" t="s">
        <v>5</v>
      </c>
      <c r="C14" s="1" t="s">
        <v>141</v>
      </c>
      <c r="D14" s="1"/>
      <c r="E14" s="8">
        <v>100</v>
      </c>
      <c r="F14" s="1" t="s">
        <v>10</v>
      </c>
      <c r="G14" s="1">
        <v>1</v>
      </c>
    </row>
    <row r="15" spans="2:15" x14ac:dyDescent="0.25">
      <c r="B15" s="1" t="s">
        <v>5</v>
      </c>
      <c r="C15" s="1" t="s">
        <v>142</v>
      </c>
      <c r="D15" s="1"/>
      <c r="E15" s="8">
        <v>95</v>
      </c>
      <c r="F15" s="1" t="s">
        <v>11</v>
      </c>
      <c r="G15" s="1">
        <v>1</v>
      </c>
    </row>
    <row r="16" spans="2:15" x14ac:dyDescent="0.25">
      <c r="B16" s="1" t="s">
        <v>5</v>
      </c>
      <c r="C16" s="1" t="s">
        <v>143</v>
      </c>
      <c r="D16" s="1"/>
      <c r="E16" s="8">
        <v>100</v>
      </c>
      <c r="F16" s="1" t="s">
        <v>11</v>
      </c>
      <c r="G16" s="1">
        <v>1</v>
      </c>
      <c r="I16" s="5" t="s">
        <v>43</v>
      </c>
      <c r="J16" s="5" t="s">
        <v>44</v>
      </c>
      <c r="M16" s="5" t="s">
        <v>18</v>
      </c>
      <c r="N16" s="5" t="s">
        <v>2</v>
      </c>
    </row>
    <row r="17" spans="2:14" x14ac:dyDescent="0.25">
      <c r="B17" s="1" t="s">
        <v>5</v>
      </c>
      <c r="C17" s="1" t="s">
        <v>149</v>
      </c>
      <c r="D17" s="1"/>
      <c r="E17" s="8">
        <v>100</v>
      </c>
      <c r="F17" s="1" t="s">
        <v>13</v>
      </c>
      <c r="G17" s="1">
        <v>1</v>
      </c>
      <c r="I17" s="5"/>
      <c r="J17" s="7">
        <v>730</v>
      </c>
      <c r="M17" s="5"/>
      <c r="N17" s="12"/>
    </row>
    <row r="18" spans="2:14" x14ac:dyDescent="0.25">
      <c r="B18" s="1" t="s">
        <v>5</v>
      </c>
      <c r="C18" s="1" t="s">
        <v>144</v>
      </c>
      <c r="D18" s="1"/>
      <c r="E18" s="8">
        <v>95</v>
      </c>
      <c r="F18" s="1" t="s">
        <v>11</v>
      </c>
      <c r="G18" s="1">
        <v>1</v>
      </c>
      <c r="I18" s="5"/>
      <c r="J18" s="12"/>
      <c r="M18" s="5"/>
      <c r="N18" s="12"/>
    </row>
    <row r="19" spans="2:14" x14ac:dyDescent="0.25">
      <c r="B19" s="1" t="s">
        <v>5</v>
      </c>
      <c r="C19" s="1" t="s">
        <v>144</v>
      </c>
      <c r="D19" s="1"/>
      <c r="E19" s="8">
        <v>100</v>
      </c>
      <c r="F19" s="1" t="s">
        <v>11</v>
      </c>
      <c r="G19" s="1">
        <v>1</v>
      </c>
      <c r="I19" s="5"/>
      <c r="J19" s="12"/>
      <c r="M19" s="5"/>
      <c r="N19" s="12"/>
    </row>
    <row r="20" spans="2:14" x14ac:dyDescent="0.25">
      <c r="B20" s="1" t="s">
        <v>5</v>
      </c>
      <c r="C20" s="1" t="s">
        <v>145</v>
      </c>
      <c r="D20" s="1"/>
      <c r="E20" s="8">
        <v>100</v>
      </c>
      <c r="F20" s="1" t="s">
        <v>11</v>
      </c>
      <c r="G20" s="1">
        <v>1</v>
      </c>
      <c r="I20" s="5"/>
      <c r="J20" s="12"/>
      <c r="M20" s="5"/>
      <c r="N20" s="12"/>
    </row>
    <row r="21" spans="2:14" x14ac:dyDescent="0.25">
      <c r="B21" s="1" t="s">
        <v>5</v>
      </c>
      <c r="C21" s="1" t="s">
        <v>146</v>
      </c>
      <c r="D21" s="1"/>
      <c r="E21" s="8">
        <v>100</v>
      </c>
      <c r="F21" s="1" t="s">
        <v>11</v>
      </c>
      <c r="G21" s="1">
        <v>1</v>
      </c>
      <c r="I21" s="5"/>
      <c r="J21" s="12"/>
      <c r="M21" s="5"/>
      <c r="N21" s="12"/>
    </row>
    <row r="22" spans="2:14" x14ac:dyDescent="0.25">
      <c r="B22" s="1" t="s">
        <v>5</v>
      </c>
      <c r="C22" s="1" t="s">
        <v>147</v>
      </c>
      <c r="D22" s="1"/>
      <c r="E22" s="8">
        <v>100</v>
      </c>
      <c r="F22" s="1" t="s">
        <v>11</v>
      </c>
      <c r="G22" s="1">
        <v>1</v>
      </c>
      <c r="I22" s="5"/>
      <c r="J22" s="12"/>
      <c r="M22" s="5"/>
      <c r="N22" s="12"/>
    </row>
    <row r="23" spans="2:14" x14ac:dyDescent="0.25">
      <c r="B23" s="1"/>
      <c r="C23" s="1"/>
      <c r="D23" s="1"/>
      <c r="E23" s="8"/>
      <c r="F23" s="1"/>
      <c r="G23" s="1"/>
      <c r="I23" s="5"/>
      <c r="J23" s="12"/>
      <c r="M23" s="5"/>
      <c r="N23" s="12"/>
    </row>
    <row r="24" spans="2:14" x14ac:dyDescent="0.25">
      <c r="B24" s="1" t="s">
        <v>5</v>
      </c>
      <c r="C24" s="1" t="s">
        <v>148</v>
      </c>
      <c r="D24" s="1"/>
      <c r="E24" s="8">
        <v>100</v>
      </c>
      <c r="F24" s="1" t="s">
        <v>13</v>
      </c>
      <c r="G24" s="25">
        <v>1</v>
      </c>
      <c r="I24" s="5"/>
      <c r="J24" s="12"/>
      <c r="L24" s="14"/>
      <c r="M24" s="5"/>
      <c r="N24" s="12"/>
    </row>
    <row r="25" spans="2:14" x14ac:dyDescent="0.25">
      <c r="B25" s="1" t="s">
        <v>5</v>
      </c>
      <c r="C25" s="1" t="s">
        <v>150</v>
      </c>
      <c r="D25" s="1"/>
      <c r="E25" s="8">
        <v>100</v>
      </c>
      <c r="F25" s="1" t="s">
        <v>12</v>
      </c>
      <c r="G25" s="1">
        <v>1</v>
      </c>
      <c r="I25" s="5"/>
      <c r="J25" s="12"/>
      <c r="M25" s="5"/>
      <c r="N25" s="12"/>
    </row>
    <row r="26" spans="2:14" x14ac:dyDescent="0.25">
      <c r="B26" s="1" t="s">
        <v>5</v>
      </c>
      <c r="C26" s="1" t="s">
        <v>151</v>
      </c>
      <c r="D26" s="1"/>
      <c r="E26" s="8">
        <v>100</v>
      </c>
      <c r="F26" s="1" t="s">
        <v>11</v>
      </c>
      <c r="G26" s="1">
        <v>1</v>
      </c>
      <c r="I26" s="5"/>
      <c r="J26" s="12"/>
      <c r="M26" s="5"/>
      <c r="N26" s="12"/>
    </row>
    <row r="27" spans="2:14" x14ac:dyDescent="0.25">
      <c r="B27" s="1" t="s">
        <v>8</v>
      </c>
      <c r="C27" s="1" t="s">
        <v>152</v>
      </c>
      <c r="D27" s="1"/>
      <c r="E27" s="8">
        <v>9</v>
      </c>
      <c r="F27" s="1" t="s">
        <v>11</v>
      </c>
      <c r="G27" s="1">
        <v>1</v>
      </c>
      <c r="I27" s="5"/>
      <c r="J27" s="12"/>
      <c r="M27" s="5"/>
      <c r="N27" s="12"/>
    </row>
    <row r="28" spans="2:14" x14ac:dyDescent="0.25">
      <c r="B28" s="1" t="s">
        <v>5</v>
      </c>
      <c r="C28" s="1" t="s">
        <v>153</v>
      </c>
      <c r="D28" s="1" t="s">
        <v>154</v>
      </c>
      <c r="E28" s="8">
        <v>100</v>
      </c>
      <c r="F28" s="25" t="s">
        <v>10</v>
      </c>
      <c r="G28" s="1">
        <v>1</v>
      </c>
      <c r="I28" s="5"/>
      <c r="J28" s="12"/>
      <c r="M28" s="5"/>
      <c r="N28" s="12"/>
    </row>
    <row r="29" spans="2:14" x14ac:dyDescent="0.25">
      <c r="B29" s="1" t="s">
        <v>5</v>
      </c>
      <c r="C29" s="1" t="s">
        <v>146</v>
      </c>
      <c r="D29" s="1"/>
      <c r="E29" s="8">
        <v>100</v>
      </c>
      <c r="F29" s="1" t="s">
        <v>10</v>
      </c>
      <c r="G29" s="1">
        <v>1</v>
      </c>
      <c r="I29" s="5"/>
      <c r="J29" s="12"/>
      <c r="M29" s="5"/>
      <c r="N29" s="12"/>
    </row>
    <row r="30" spans="2:14" x14ac:dyDescent="0.25">
      <c r="B30" s="1" t="s">
        <v>5</v>
      </c>
      <c r="C30" s="1" t="s">
        <v>155</v>
      </c>
      <c r="D30" s="1"/>
      <c r="E30" s="8">
        <v>100</v>
      </c>
      <c r="F30" s="1" t="s">
        <v>10</v>
      </c>
      <c r="G30" s="1">
        <v>1</v>
      </c>
      <c r="I30" s="5"/>
      <c r="J30" s="5"/>
    </row>
    <row r="31" spans="2:14" ht="18.75" x14ac:dyDescent="0.4">
      <c r="B31" s="1"/>
      <c r="C31" s="1"/>
      <c r="D31" s="1"/>
      <c r="E31" s="8"/>
      <c r="F31" s="1"/>
      <c r="G31" s="1"/>
      <c r="I31" s="13" t="s">
        <v>22</v>
      </c>
      <c r="J31" s="15">
        <f>SUM(Tabela2781215192225283134374043464952555861646770737679269121720232629323538414447505356596265687174778326912[valor])</f>
        <v>730</v>
      </c>
      <c r="M31" s="13" t="s">
        <v>42</v>
      </c>
      <c r="N31" s="15">
        <f>SUM(Tabela27812131720232629323538414447505356596265687174778037101318212427303336394245485154576063666972757884371013[Valor])</f>
        <v>0</v>
      </c>
    </row>
    <row r="32" spans="2:14" x14ac:dyDescent="0.25">
      <c r="B32" s="1"/>
      <c r="C32" s="1"/>
      <c r="D32" s="1"/>
      <c r="E32" s="8"/>
      <c r="F32" s="1"/>
      <c r="G32" s="1"/>
      <c r="I32" s="5"/>
      <c r="J32" s="5"/>
    </row>
    <row r="33" spans="2:11" x14ac:dyDescent="0.25">
      <c r="B33" s="1"/>
      <c r="C33" s="1"/>
      <c r="D33" s="1"/>
      <c r="E33" s="8"/>
      <c r="F33" s="1"/>
      <c r="G33" s="1"/>
      <c r="I33" s="5"/>
      <c r="J33" s="5"/>
    </row>
    <row r="34" spans="2:11" x14ac:dyDescent="0.25">
      <c r="B34" s="1"/>
      <c r="C34" s="1" t="s">
        <v>34</v>
      </c>
      <c r="D34" s="1"/>
      <c r="E34" s="8"/>
      <c r="F34" s="1"/>
      <c r="G34" s="1"/>
      <c r="I34" s="5"/>
      <c r="J34" s="5"/>
    </row>
    <row r="35" spans="2:11" x14ac:dyDescent="0.25">
      <c r="B35" s="1"/>
      <c r="C35" s="1"/>
      <c r="D35" s="1"/>
      <c r="E35" s="8"/>
      <c r="F35" s="1"/>
      <c r="G35" s="1"/>
      <c r="I35" s="5"/>
      <c r="J35" s="5"/>
    </row>
    <row r="36" spans="2:11" x14ac:dyDescent="0.25">
      <c r="B36" s="1"/>
      <c r="C36" s="1"/>
      <c r="D36" s="1"/>
      <c r="E36" s="8"/>
      <c r="F36" s="1"/>
      <c r="G36" s="1"/>
      <c r="J36" s="5"/>
    </row>
    <row r="37" spans="2:11" x14ac:dyDescent="0.25">
      <c r="I37" s="5"/>
    </row>
    <row r="39" spans="2:11" x14ac:dyDescent="0.25">
      <c r="I39" s="9"/>
    </row>
    <row r="40" spans="2:11" x14ac:dyDescent="0.25">
      <c r="I40" t="s">
        <v>20</v>
      </c>
    </row>
    <row r="41" spans="2:11" x14ac:dyDescent="0.25">
      <c r="B41" s="4" t="s">
        <v>10</v>
      </c>
      <c r="C41" s="2">
        <f>SUMIF(Tabela165111821242730333639424548515457606366697275788158111519222528313437404346495255586164677073768285581115[Forma de Pagamento],"Dinheiro",Tabela165111821242730333639424548515457606366697275788158111519222528313437404346495255586164677073768285581115[Valor])</f>
        <v>600</v>
      </c>
      <c r="D41" s="4" t="s">
        <v>16</v>
      </c>
      <c r="E41" s="2">
        <f>SUMIF(Tabela165111821242730333639424548515457606366697275788158111519222528313437404346495255586164677073768285581115[Item],"Gás",Tabela165111821242730333639424548515457606366697275788158111519222528313437404346495255586164677073768285581115[QUANTIDADE])+G41</f>
        <v>21</v>
      </c>
      <c r="F41" s="4" t="s">
        <v>25</v>
      </c>
      <c r="G41" s="2">
        <f>SUMIF(Tabela165111821242730333639424548515457606366697275788158111519222528313437404346495255586164677073768285581115[Item],"Gás completo",Tabela165111821242730333639424548515457606366697275788158111519222528313437404346495255586164677073768285581115[QUANTIDADE])</f>
        <v>0</v>
      </c>
    </row>
    <row r="42" spans="2:11" x14ac:dyDescent="0.25">
      <c r="B42" s="4" t="s">
        <v>11</v>
      </c>
      <c r="C42" s="2">
        <f>SUMIF(Tabela165111821242730333639424548515457606366697275788158111519222528313437404346495255586164677073768285581115[Forma de Pagamento],"Cartão",Tabela165111821242730333639424548515457606366697275788158111519222528313437404346495255586164677073768285581115[Valor])</f>
        <v>999</v>
      </c>
      <c r="D42" s="4" t="s">
        <v>17</v>
      </c>
      <c r="E42" s="2">
        <f>SUMIF(Tabela165111821242730333639424548515457606366697275788158111519222528313437404346495255586164677073768285581115[Item],"Água",Tabela165111821242730333639424548515457606366697275788158111519222528313437404346495255586164677073768285581115[QUANTIDADE])+G42</f>
        <v>2</v>
      </c>
      <c r="F42" s="4" t="s">
        <v>27</v>
      </c>
      <c r="G42" s="2">
        <f>SUMIF(Tabela165111821242730333639424548515457606366697275788158111519222528313437404346495255586164677073768285581115[Item],"Água completa",Tabela165111821242730333639424548515457606366697275788158111519222528313437404346495255586164677073768285581115[QUANTIDADE])</f>
        <v>0</v>
      </c>
      <c r="J42" s="4" t="s">
        <v>5</v>
      </c>
      <c r="K42" s="4" t="s">
        <v>8</v>
      </c>
    </row>
    <row r="43" spans="2:11" x14ac:dyDescent="0.25">
      <c r="B43" s="4" t="s">
        <v>12</v>
      </c>
      <c r="C43" s="2">
        <f>SUMIF(Tabela165111821242730333639424548515457606366697275788158111519222528313437404346495255586164677073768285581115[Forma de Pagamento],"Pix",Tabela165111821242730333639424548515457606366697275788158111519222528313437404346495255586164677073768285581115[Valor])</f>
        <v>200</v>
      </c>
      <c r="I43" s="4" t="s">
        <v>6</v>
      </c>
      <c r="J43" s="1">
        <f>SUM(J7-E41+N7)</f>
        <v>23</v>
      </c>
      <c r="K43" s="2">
        <f>SUM(K7-E42+O7)</f>
        <v>9</v>
      </c>
    </row>
    <row r="44" spans="2:11" x14ac:dyDescent="0.25">
      <c r="B44" s="4" t="s">
        <v>13</v>
      </c>
      <c r="C44" s="2">
        <f>SUMIF(Tabela165111821242730333639424548515457606366697275788158111519222528313437404346495255586164677073768285581115[Forma de Pagamento],"Fiado",Tabela165111821242730333639424548515457606366697275788158111519222528313437404346495255586164677073768285581115[Valor])</f>
        <v>300</v>
      </c>
      <c r="D44" s="4" t="s">
        <v>14</v>
      </c>
      <c r="E44" s="7">
        <f>SUM(F3-J31+C41+N31)</f>
        <v>170</v>
      </c>
      <c r="I44" s="4" t="s">
        <v>7</v>
      </c>
      <c r="J44" s="2">
        <f>SUM(J8+E41-N7)-G41</f>
        <v>19</v>
      </c>
      <c r="K44" s="2">
        <f>SUM(K8+E42-O7)-G42</f>
        <v>8</v>
      </c>
    </row>
  </sheetData>
  <dataValidations count="2">
    <dataValidation type="list" allowBlank="1" showInputMessage="1" showErrorMessage="1" sqref="B18:B36 B7:B16" xr:uid="{44D28A8A-BC28-4719-8574-70D2467721CB}">
      <formula1>"Gás,Água,Gás completo,Água completa,Gás e Água, Recebimento"</formula1>
    </dataValidation>
    <dataValidation type="list" allowBlank="1" showInputMessage="1" showErrorMessage="1" sqref="F7:F36" xr:uid="{5AFBFB3C-B7E1-42C7-8B09-E123B5EE9D90}">
      <formula1>"Dinheiro,Cartão,Pix,Fiado,Pago"</formula1>
    </dataValidation>
  </dataValidations>
  <pageMargins left="0.511811024" right="0.511811024" top="0.78740157499999996" bottom="0.78740157499999996" header="0.31496062000000002" footer="0.31496062000000002"/>
  <pageSetup paperSize="0" orientation="portrait" horizontalDpi="203" verticalDpi="203" r:id="rId1"/>
  <drawing r:id="rId2"/>
  <tableParts count="3">
    <tablePart r:id="rId3"/>
    <tablePart r:id="rId4"/>
    <tablePart r:id="rId5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E8133-8AC7-4AC6-B91B-177C7BA5F55E}">
  <dimension ref="B2:O44"/>
  <sheetViews>
    <sheetView showGridLines="0" workbookViewId="0">
      <selection activeCell="F13" sqref="F13"/>
    </sheetView>
  </sheetViews>
  <sheetFormatPr defaultRowHeight="15" x14ac:dyDescent="0.25"/>
  <cols>
    <col min="2" max="2" width="14.7109375" customWidth="1"/>
    <col min="3" max="3" width="38.140625" customWidth="1"/>
    <col min="4" max="4" width="19.85546875" customWidth="1"/>
    <col min="5" max="5" width="21.85546875" customWidth="1"/>
    <col min="6" max="6" width="25.85546875" customWidth="1"/>
    <col min="7" max="7" width="16.7109375" customWidth="1"/>
    <col min="8" max="8" width="11.28515625" customWidth="1"/>
    <col min="9" max="9" width="21.85546875" customWidth="1"/>
    <col min="10" max="10" width="13.5703125" customWidth="1"/>
    <col min="11" max="11" width="12.28515625" customWidth="1"/>
    <col min="12" max="12" width="8.5703125" customWidth="1"/>
    <col min="13" max="13" width="19.7109375" customWidth="1"/>
    <col min="14" max="14" width="15.5703125" customWidth="1"/>
    <col min="15" max="15" width="13" customWidth="1"/>
  </cols>
  <sheetData>
    <row r="2" spans="2:15" ht="15.75" x14ac:dyDescent="0.25">
      <c r="E2" s="10" t="s">
        <v>4</v>
      </c>
      <c r="F2" s="3">
        <v>45171</v>
      </c>
    </row>
    <row r="3" spans="2:15" ht="15.75" x14ac:dyDescent="0.25">
      <c r="E3" s="10" t="s">
        <v>15</v>
      </c>
      <c r="F3" s="7">
        <v>1170</v>
      </c>
    </row>
    <row r="4" spans="2:15" x14ac:dyDescent="0.25">
      <c r="J4" t="s">
        <v>19</v>
      </c>
      <c r="M4" t="s">
        <v>24</v>
      </c>
    </row>
    <row r="6" spans="2:15" x14ac:dyDescent="0.25">
      <c r="B6" s="6" t="s">
        <v>9</v>
      </c>
      <c r="C6" s="6" t="s">
        <v>0</v>
      </c>
      <c r="D6" s="6" t="s">
        <v>1</v>
      </c>
      <c r="E6" s="6" t="s">
        <v>2</v>
      </c>
      <c r="F6" s="6" t="s">
        <v>3</v>
      </c>
      <c r="G6" s="6" t="s">
        <v>26</v>
      </c>
      <c r="J6" s="4" t="s">
        <v>5</v>
      </c>
      <c r="K6" s="4" t="s">
        <v>8</v>
      </c>
      <c r="N6" s="4" t="s">
        <v>5</v>
      </c>
      <c r="O6" s="4" t="s">
        <v>8</v>
      </c>
    </row>
    <row r="7" spans="2:15" x14ac:dyDescent="0.25">
      <c r="B7" s="1" t="s">
        <v>5</v>
      </c>
      <c r="C7" s="1" t="s">
        <v>129</v>
      </c>
      <c r="D7" s="1"/>
      <c r="E7" s="8">
        <v>100</v>
      </c>
      <c r="F7" s="1" t="s">
        <v>12</v>
      </c>
      <c r="G7" s="1">
        <v>1</v>
      </c>
      <c r="I7" s="4" t="s">
        <v>6</v>
      </c>
      <c r="J7" s="1">
        <v>6</v>
      </c>
      <c r="K7" s="11">
        <v>6</v>
      </c>
      <c r="M7" s="4" t="s">
        <v>23</v>
      </c>
      <c r="N7" s="11">
        <v>37</v>
      </c>
      <c r="O7" s="11"/>
    </row>
    <row r="8" spans="2:15" x14ac:dyDescent="0.25">
      <c r="B8" s="1" t="s">
        <v>8</v>
      </c>
      <c r="C8" s="1" t="s">
        <v>128</v>
      </c>
      <c r="D8" s="1"/>
      <c r="E8" s="8">
        <v>9</v>
      </c>
      <c r="F8" s="1"/>
      <c r="G8" s="1">
        <v>1</v>
      </c>
      <c r="I8" s="4" t="s">
        <v>7</v>
      </c>
      <c r="J8" s="11">
        <v>36</v>
      </c>
      <c r="K8" s="11">
        <v>3</v>
      </c>
    </row>
    <row r="9" spans="2:15" x14ac:dyDescent="0.25">
      <c r="B9" s="1" t="s">
        <v>8</v>
      </c>
      <c r="C9" s="1" t="s">
        <v>127</v>
      </c>
      <c r="D9" s="1"/>
      <c r="E9" s="8">
        <v>18</v>
      </c>
      <c r="F9" s="1" t="s">
        <v>12</v>
      </c>
      <c r="G9" s="1">
        <v>1</v>
      </c>
    </row>
    <row r="10" spans="2:15" x14ac:dyDescent="0.25">
      <c r="B10" s="1" t="s">
        <v>8</v>
      </c>
      <c r="C10" s="1" t="s">
        <v>126</v>
      </c>
      <c r="D10" s="1"/>
      <c r="E10" s="8">
        <v>8</v>
      </c>
      <c r="F10" s="1"/>
      <c r="G10" s="1">
        <v>1</v>
      </c>
    </row>
    <row r="11" spans="2:15" x14ac:dyDescent="0.25">
      <c r="B11" s="1" t="s">
        <v>5</v>
      </c>
      <c r="C11" s="1" t="s">
        <v>125</v>
      </c>
      <c r="D11" s="1"/>
      <c r="E11" s="8">
        <v>95</v>
      </c>
      <c r="F11" s="1" t="s">
        <v>11</v>
      </c>
      <c r="G11" s="1">
        <v>1</v>
      </c>
    </row>
    <row r="12" spans="2:15" x14ac:dyDescent="0.25">
      <c r="B12" s="1" t="s">
        <v>8</v>
      </c>
      <c r="C12" s="1" t="s">
        <v>124</v>
      </c>
      <c r="D12" s="1"/>
      <c r="E12" s="8">
        <v>9</v>
      </c>
      <c r="F12" s="1"/>
      <c r="G12" s="1">
        <v>1</v>
      </c>
    </row>
    <row r="13" spans="2:15" x14ac:dyDescent="0.25">
      <c r="B13" s="1" t="s">
        <v>8</v>
      </c>
      <c r="C13" s="1" t="s">
        <v>123</v>
      </c>
      <c r="D13" s="1"/>
      <c r="E13" s="8">
        <v>9</v>
      </c>
      <c r="F13" s="1"/>
      <c r="G13" s="1">
        <v>1</v>
      </c>
      <c r="I13" t="s">
        <v>21</v>
      </c>
    </row>
    <row r="14" spans="2:15" x14ac:dyDescent="0.25">
      <c r="B14" s="1" t="s">
        <v>5</v>
      </c>
      <c r="C14" s="1" t="s">
        <v>41</v>
      </c>
      <c r="D14" s="1"/>
      <c r="E14" s="8">
        <v>100</v>
      </c>
      <c r="F14" s="1" t="s">
        <v>12</v>
      </c>
      <c r="G14" s="1">
        <v>1</v>
      </c>
    </row>
    <row r="15" spans="2:15" x14ac:dyDescent="0.25">
      <c r="B15" s="1" t="s">
        <v>8</v>
      </c>
      <c r="C15" s="1" t="s">
        <v>130</v>
      </c>
      <c r="D15" s="1"/>
      <c r="E15" s="8">
        <v>9</v>
      </c>
      <c r="F15" s="1" t="s">
        <v>12</v>
      </c>
      <c r="G15" s="1">
        <v>1</v>
      </c>
    </row>
    <row r="16" spans="2:15" x14ac:dyDescent="0.25">
      <c r="B16" s="1" t="s">
        <v>5</v>
      </c>
      <c r="C16" s="1"/>
      <c r="D16" s="1"/>
      <c r="E16" s="8">
        <v>100</v>
      </c>
      <c r="F16" s="1" t="s">
        <v>10</v>
      </c>
      <c r="G16" s="1">
        <v>1</v>
      </c>
      <c r="I16" s="5" t="s">
        <v>43</v>
      </c>
      <c r="J16" s="5" t="s">
        <v>44</v>
      </c>
      <c r="M16" s="5" t="s">
        <v>18</v>
      </c>
      <c r="N16" s="5" t="s">
        <v>2</v>
      </c>
    </row>
    <row r="17" spans="2:14" x14ac:dyDescent="0.25">
      <c r="B17" s="1" t="s">
        <v>5</v>
      </c>
      <c r="C17" s="1" t="s">
        <v>133</v>
      </c>
      <c r="D17" s="1"/>
      <c r="E17" s="8">
        <v>100</v>
      </c>
      <c r="F17" s="1" t="s">
        <v>10</v>
      </c>
      <c r="G17" s="1">
        <v>1</v>
      </c>
      <c r="I17" s="5"/>
      <c r="J17" s="7">
        <v>1160</v>
      </c>
      <c r="M17" s="5"/>
      <c r="N17" s="12">
        <v>100</v>
      </c>
    </row>
    <row r="18" spans="2:14" x14ac:dyDescent="0.25">
      <c r="B18" s="1" t="s">
        <v>5</v>
      </c>
      <c r="C18" s="1" t="s">
        <v>132</v>
      </c>
      <c r="D18" s="1"/>
      <c r="E18" s="8">
        <v>95</v>
      </c>
      <c r="F18" s="1" t="s">
        <v>12</v>
      </c>
      <c r="G18" s="1">
        <v>1</v>
      </c>
      <c r="I18" s="5"/>
      <c r="J18" s="12">
        <v>160</v>
      </c>
      <c r="M18" s="5"/>
      <c r="N18" s="12"/>
    </row>
    <row r="19" spans="2:14" x14ac:dyDescent="0.25">
      <c r="B19" s="1" t="s">
        <v>5</v>
      </c>
      <c r="C19" s="1" t="s">
        <v>91</v>
      </c>
      <c r="D19" s="1"/>
      <c r="E19" s="8">
        <v>100</v>
      </c>
      <c r="F19" s="1" t="s">
        <v>10</v>
      </c>
      <c r="G19" s="1">
        <v>1</v>
      </c>
      <c r="I19" s="5"/>
      <c r="J19" s="12">
        <v>45</v>
      </c>
      <c r="M19" s="5"/>
      <c r="N19" s="12"/>
    </row>
    <row r="20" spans="2:14" x14ac:dyDescent="0.25">
      <c r="B20" s="1" t="s">
        <v>5</v>
      </c>
      <c r="C20" s="1" t="s">
        <v>131</v>
      </c>
      <c r="D20" s="1"/>
      <c r="E20" s="8">
        <v>100</v>
      </c>
      <c r="F20" s="1" t="s">
        <v>10</v>
      </c>
      <c r="G20" s="1">
        <v>1</v>
      </c>
      <c r="I20" s="5"/>
      <c r="J20" s="12"/>
      <c r="M20" s="5"/>
      <c r="N20" s="12"/>
    </row>
    <row r="21" spans="2:14" x14ac:dyDescent="0.25">
      <c r="B21" s="1" t="s">
        <v>5</v>
      </c>
      <c r="C21" s="1" t="s">
        <v>134</v>
      </c>
      <c r="D21" s="1"/>
      <c r="E21" s="8">
        <v>100</v>
      </c>
      <c r="F21" s="1" t="s">
        <v>11</v>
      </c>
      <c r="G21" s="1">
        <v>1</v>
      </c>
      <c r="I21" s="5"/>
      <c r="J21" s="12"/>
      <c r="M21" s="5"/>
      <c r="N21" s="12"/>
    </row>
    <row r="22" spans="2:14" x14ac:dyDescent="0.25">
      <c r="B22" s="1"/>
      <c r="C22" s="1"/>
      <c r="D22" s="1"/>
      <c r="E22" s="8"/>
      <c r="F22" s="1"/>
      <c r="G22" s="1"/>
      <c r="I22" s="5"/>
      <c r="J22" s="12"/>
      <c r="M22" s="5"/>
      <c r="N22" s="12"/>
    </row>
    <row r="23" spans="2:14" x14ac:dyDescent="0.25">
      <c r="B23" s="1"/>
      <c r="C23" s="1"/>
      <c r="D23" s="1"/>
      <c r="E23" s="8"/>
      <c r="F23" s="1"/>
      <c r="G23" s="1"/>
      <c r="I23" s="5"/>
      <c r="J23" s="12"/>
      <c r="M23" s="5"/>
      <c r="N23" s="12"/>
    </row>
    <row r="24" spans="2:14" x14ac:dyDescent="0.25">
      <c r="B24" s="1"/>
      <c r="C24" s="1"/>
      <c r="D24" s="1"/>
      <c r="E24" s="8"/>
      <c r="F24" s="1"/>
      <c r="G24" s="25"/>
      <c r="I24" s="5"/>
      <c r="J24" s="12"/>
      <c r="L24" s="14"/>
      <c r="M24" s="5"/>
      <c r="N24" s="12"/>
    </row>
    <row r="25" spans="2:14" x14ac:dyDescent="0.25">
      <c r="B25" s="1"/>
      <c r="C25" s="1"/>
      <c r="D25" s="1"/>
      <c r="E25" s="8"/>
      <c r="F25" s="1"/>
      <c r="G25" s="1"/>
      <c r="I25" s="5"/>
      <c r="J25" s="12"/>
      <c r="M25" s="5"/>
      <c r="N25" s="12"/>
    </row>
    <row r="26" spans="2:14" x14ac:dyDescent="0.25">
      <c r="B26" s="1"/>
      <c r="C26" s="1"/>
      <c r="D26" s="1"/>
      <c r="E26" s="8"/>
      <c r="F26" s="1"/>
      <c r="G26" s="1"/>
      <c r="I26" s="5"/>
      <c r="J26" s="12"/>
      <c r="M26" s="5"/>
      <c r="N26" s="12"/>
    </row>
    <row r="27" spans="2:14" x14ac:dyDescent="0.25">
      <c r="B27" s="1"/>
      <c r="C27" s="1"/>
      <c r="D27" s="1"/>
      <c r="E27" s="8"/>
      <c r="F27" s="1"/>
      <c r="G27" s="1"/>
      <c r="I27" s="5"/>
      <c r="J27" s="12"/>
      <c r="M27" s="5"/>
      <c r="N27" s="12"/>
    </row>
    <row r="28" spans="2:14" x14ac:dyDescent="0.25">
      <c r="B28" s="1"/>
      <c r="C28" s="1"/>
      <c r="D28" s="1"/>
      <c r="E28" s="8"/>
      <c r="F28" s="25"/>
      <c r="G28" s="1"/>
      <c r="I28" s="5"/>
      <c r="J28" s="12"/>
      <c r="M28" s="5"/>
      <c r="N28" s="12"/>
    </row>
    <row r="29" spans="2:14" x14ac:dyDescent="0.25">
      <c r="B29" s="1"/>
      <c r="C29" s="1"/>
      <c r="D29" s="1"/>
      <c r="E29" s="8"/>
      <c r="F29" s="1"/>
      <c r="G29" s="1"/>
      <c r="I29" s="5"/>
      <c r="J29" s="12"/>
      <c r="M29" s="5"/>
      <c r="N29" s="12"/>
    </row>
    <row r="30" spans="2:14" x14ac:dyDescent="0.25">
      <c r="B30" s="1"/>
      <c r="C30" s="1"/>
      <c r="D30" s="1"/>
      <c r="E30" s="8"/>
      <c r="F30" s="1"/>
      <c r="G30" s="1"/>
      <c r="I30" s="5"/>
      <c r="J30" s="5"/>
    </row>
    <row r="31" spans="2:14" ht="18.75" x14ac:dyDescent="0.4">
      <c r="B31" s="1"/>
      <c r="C31" s="1"/>
      <c r="D31" s="1"/>
      <c r="E31" s="8"/>
      <c r="F31" s="1"/>
      <c r="G31" s="1"/>
      <c r="I31" s="13" t="s">
        <v>22</v>
      </c>
      <c r="J31" s="15">
        <f>SUM(Tabela27812151922252831343740434649525558616467707376792691217202326293235384144475053565962656871747783269[valor])</f>
        <v>1365</v>
      </c>
      <c r="M31" s="13" t="s">
        <v>42</v>
      </c>
      <c r="N31" s="15">
        <f>SUM(Tabela278121317202326293235384144475053565962656871747780371013182124273033363942454851545760636669727578843710[Valor])</f>
        <v>100</v>
      </c>
    </row>
    <row r="32" spans="2:14" x14ac:dyDescent="0.25">
      <c r="B32" s="1"/>
      <c r="C32" s="1"/>
      <c r="D32" s="1"/>
      <c r="E32" s="8"/>
      <c r="F32" s="1"/>
      <c r="G32" s="1"/>
      <c r="I32" s="5"/>
      <c r="J32" s="5"/>
    </row>
    <row r="33" spans="2:11" x14ac:dyDescent="0.25">
      <c r="B33" s="1"/>
      <c r="C33" s="1"/>
      <c r="D33" s="1"/>
      <c r="E33" s="8"/>
      <c r="F33" s="1"/>
      <c r="G33" s="1"/>
      <c r="I33" s="5"/>
      <c r="J33" s="5"/>
    </row>
    <row r="34" spans="2:11" x14ac:dyDescent="0.25">
      <c r="B34" s="1"/>
      <c r="C34" s="1" t="s">
        <v>34</v>
      </c>
      <c r="D34" s="1"/>
      <c r="E34" s="8"/>
      <c r="F34" s="1"/>
      <c r="G34" s="1"/>
      <c r="I34" s="5"/>
      <c r="J34" s="5"/>
    </row>
    <row r="35" spans="2:11" x14ac:dyDescent="0.25">
      <c r="B35" s="1"/>
      <c r="C35" s="1"/>
      <c r="D35" s="1"/>
      <c r="E35" s="8"/>
      <c r="F35" s="1"/>
      <c r="G35" s="1"/>
      <c r="I35" s="5"/>
      <c r="J35" s="5"/>
    </row>
    <row r="36" spans="2:11" x14ac:dyDescent="0.25">
      <c r="B36" s="1"/>
      <c r="C36" s="1"/>
      <c r="D36" s="1"/>
      <c r="E36" s="8"/>
      <c r="F36" s="1"/>
      <c r="G36" s="1"/>
      <c r="J36" s="5"/>
    </row>
    <row r="37" spans="2:11" x14ac:dyDescent="0.25">
      <c r="I37" s="5"/>
    </row>
    <row r="39" spans="2:11" x14ac:dyDescent="0.25">
      <c r="I39" s="9"/>
    </row>
    <row r="40" spans="2:11" x14ac:dyDescent="0.25">
      <c r="I40" t="s">
        <v>20</v>
      </c>
    </row>
    <row r="41" spans="2:11" x14ac:dyDescent="0.25">
      <c r="B41" s="4" t="s">
        <v>10</v>
      </c>
      <c r="C41" s="2">
        <f>SUMIF(Tabela1651118212427303336394245485154576063666972757881581115192225283134374043464952555861646770737682855811[Forma de Pagamento],"Dinheiro",Tabela1651118212427303336394245485154576063666972757881581115192225283134374043464952555861646770737682855811[Valor])</f>
        <v>400</v>
      </c>
      <c r="D41" s="4" t="s">
        <v>16</v>
      </c>
      <c r="E41" s="2">
        <f>SUMIF(Tabela1651118212427303336394245485154576063666972757881581115192225283134374043464952555861646770737682855811[Item],"Gás",Tabela1651118212427303336394245485154576063666972757881581115192225283134374043464952555861646770737682855811[QUANTIDADE])+G41</f>
        <v>9</v>
      </c>
      <c r="F41" s="4" t="s">
        <v>25</v>
      </c>
      <c r="G41" s="2">
        <f>SUMIF(Tabela1651118212427303336394245485154576063666972757881581115192225283134374043464952555861646770737682855811[Item],"Gás completo",Tabela1651118212427303336394245485154576063666972757881581115192225283134374043464952555861646770737682855811[QUANTIDADE])</f>
        <v>0</v>
      </c>
    </row>
    <row r="42" spans="2:11" x14ac:dyDescent="0.25">
      <c r="B42" s="4" t="s">
        <v>11</v>
      </c>
      <c r="C42" s="2">
        <f>SUMIF(Tabela1651118212427303336394245485154576063666972757881581115192225283134374043464952555861646770737682855811[Forma de Pagamento],"Cartão",Tabela1651118212427303336394245485154576063666972757881581115192225283134374043464952555861646770737682855811[Valor])</f>
        <v>195</v>
      </c>
      <c r="D42" s="4" t="s">
        <v>17</v>
      </c>
      <c r="E42" s="2">
        <f>SUMIF(Tabela1651118212427303336394245485154576063666972757881581115192225283134374043464952555861646770737682855811[Item],"Água",Tabela1651118212427303336394245485154576063666972757881581115192225283134374043464952555861646770737682855811[QUANTIDADE])+G42</f>
        <v>6</v>
      </c>
      <c r="F42" s="4" t="s">
        <v>27</v>
      </c>
      <c r="G42" s="2">
        <f>SUMIF(Tabela1651118212427303336394245485154576063666972757881581115192225283134374043464952555861646770737682855811[Item],"Água completa",Tabela1651118212427303336394245485154576063666972757881581115192225283134374043464952555861646770737682855811[QUANTIDADE])</f>
        <v>0</v>
      </c>
      <c r="J42" s="4" t="s">
        <v>5</v>
      </c>
      <c r="K42" s="4" t="s">
        <v>8</v>
      </c>
    </row>
    <row r="43" spans="2:11" x14ac:dyDescent="0.25">
      <c r="B43" s="4" t="s">
        <v>12</v>
      </c>
      <c r="C43" s="2">
        <f>SUMIF(Tabela1651118212427303336394245485154576063666972757881581115192225283134374043464952555861646770737682855811[Forma de Pagamento],"Pix",Tabela1651118212427303336394245485154576063666972757881581115192225283134374043464952555861646770737682855811[Valor])</f>
        <v>322</v>
      </c>
      <c r="I43" s="4" t="s">
        <v>6</v>
      </c>
      <c r="J43" s="1">
        <f>SUM(J7-E41+N7)</f>
        <v>34</v>
      </c>
      <c r="K43" s="2">
        <f>SUM(K7-E42+O7)</f>
        <v>0</v>
      </c>
    </row>
    <row r="44" spans="2:11" x14ac:dyDescent="0.25">
      <c r="B44" s="4" t="s">
        <v>13</v>
      </c>
      <c r="C44" s="2">
        <f>SUMIF(Tabela1651118212427303336394245485154576063666972757881581115192225283134374043464952555861646770737682855811[Forma de Pagamento],"Fiado",Tabela1651118212427303336394245485154576063666972757881581115192225283134374043464952555861646770737682855811[Valor])</f>
        <v>0</v>
      </c>
      <c r="D44" s="4" t="s">
        <v>14</v>
      </c>
      <c r="E44" s="7">
        <f>SUM(F3-J31+C41+N31)</f>
        <v>305</v>
      </c>
      <c r="I44" s="4" t="s">
        <v>7</v>
      </c>
      <c r="J44" s="2">
        <f>SUM(J8+E41-N7)-G41</f>
        <v>8</v>
      </c>
      <c r="K44" s="2">
        <f>SUM(K8+E42-O7)-G42</f>
        <v>9</v>
      </c>
    </row>
  </sheetData>
  <dataValidations count="2">
    <dataValidation type="list" allowBlank="1" showInputMessage="1" showErrorMessage="1" sqref="F7:F36" xr:uid="{F11BC494-9E83-40F3-B14D-9D63A87D0C31}">
      <formula1>"Dinheiro,Cartão,Pix,Fiado,Pago"</formula1>
    </dataValidation>
    <dataValidation type="list" allowBlank="1" showInputMessage="1" showErrorMessage="1" sqref="B18:B36 B7:B16" xr:uid="{EA691614-6A09-4F31-98ED-BBCE72B566A5}">
      <formula1>"Gás,Água,Gás completo,Água completa,Gás e Água, Recebimento"</formula1>
    </dataValidation>
  </dataValidations>
  <pageMargins left="0.511811024" right="0.511811024" top="0.78740157499999996" bottom="0.78740157499999996" header="0.31496062000000002" footer="0.31496062000000002"/>
  <pageSetup paperSize="0" orientation="portrait" horizontalDpi="203" verticalDpi="203" r:id="rId1"/>
  <drawing r:id="rId2"/>
  <tableParts count="3">
    <tablePart r:id="rId3"/>
    <tablePart r:id="rId4"/>
    <tablePart r:id="rId5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ADCA8-E974-46C1-A877-EAB0F928ACCE}">
  <dimension ref="B2:O44"/>
  <sheetViews>
    <sheetView showGridLines="0" workbookViewId="0">
      <selection activeCell="F28" sqref="F28"/>
    </sheetView>
  </sheetViews>
  <sheetFormatPr defaultRowHeight="15" x14ac:dyDescent="0.25"/>
  <cols>
    <col min="2" max="2" width="14.7109375" customWidth="1"/>
    <col min="3" max="3" width="38.140625" customWidth="1"/>
    <col min="4" max="4" width="19.85546875" customWidth="1"/>
    <col min="5" max="5" width="21.85546875" customWidth="1"/>
    <col min="6" max="6" width="25.85546875" customWidth="1"/>
    <col min="7" max="7" width="16.7109375" customWidth="1"/>
    <col min="8" max="8" width="11.28515625" customWidth="1"/>
    <col min="9" max="9" width="21.85546875" customWidth="1"/>
    <col min="10" max="10" width="13.5703125" customWidth="1"/>
    <col min="11" max="11" width="12.28515625" customWidth="1"/>
    <col min="12" max="12" width="8.5703125" customWidth="1"/>
    <col min="13" max="13" width="19.7109375" customWidth="1"/>
    <col min="14" max="14" width="15.5703125" customWidth="1"/>
    <col min="15" max="15" width="13" customWidth="1"/>
  </cols>
  <sheetData>
    <row r="2" spans="2:15" ht="15.75" x14ac:dyDescent="0.25">
      <c r="E2" s="10" t="s">
        <v>4</v>
      </c>
      <c r="F2" s="3">
        <v>45171</v>
      </c>
    </row>
    <row r="3" spans="2:15" ht="15.75" x14ac:dyDescent="0.25">
      <c r="E3" s="10" t="s">
        <v>15</v>
      </c>
      <c r="F3" s="7"/>
    </row>
    <row r="4" spans="2:15" x14ac:dyDescent="0.25">
      <c r="J4" t="s">
        <v>19</v>
      </c>
      <c r="M4" t="s">
        <v>24</v>
      </c>
    </row>
    <row r="6" spans="2:15" x14ac:dyDescent="0.25">
      <c r="B6" s="6" t="s">
        <v>9</v>
      </c>
      <c r="C6" s="6" t="s">
        <v>0</v>
      </c>
      <c r="D6" s="6" t="s">
        <v>1</v>
      </c>
      <c r="E6" s="6" t="s">
        <v>2</v>
      </c>
      <c r="F6" s="6" t="s">
        <v>3</v>
      </c>
      <c r="G6" s="6" t="s">
        <v>26</v>
      </c>
      <c r="J6" s="4" t="s">
        <v>5</v>
      </c>
      <c r="K6" s="4" t="s">
        <v>8</v>
      </c>
      <c r="N6" s="4" t="s">
        <v>5</v>
      </c>
      <c r="O6" s="4" t="s">
        <v>8</v>
      </c>
    </row>
    <row r="7" spans="2:15" x14ac:dyDescent="0.25">
      <c r="B7" s="1" t="s">
        <v>5</v>
      </c>
      <c r="C7" s="1" t="s">
        <v>108</v>
      </c>
      <c r="D7" s="1"/>
      <c r="E7" s="8">
        <v>90</v>
      </c>
      <c r="F7" s="1" t="s">
        <v>11</v>
      </c>
      <c r="G7" s="1">
        <v>1</v>
      </c>
      <c r="I7" s="4" t="s">
        <v>6</v>
      </c>
      <c r="J7" s="1">
        <v>30</v>
      </c>
      <c r="K7" s="11">
        <v>11</v>
      </c>
      <c r="M7" s="4" t="s">
        <v>23</v>
      </c>
      <c r="N7" s="11"/>
      <c r="O7" s="11"/>
    </row>
    <row r="8" spans="2:15" x14ac:dyDescent="0.25">
      <c r="B8" s="1" t="s">
        <v>5</v>
      </c>
      <c r="C8" s="1" t="s">
        <v>109</v>
      </c>
      <c r="D8" s="1"/>
      <c r="E8" s="8">
        <v>100</v>
      </c>
      <c r="F8" s="1" t="s">
        <v>12</v>
      </c>
      <c r="G8" s="1">
        <v>1</v>
      </c>
      <c r="I8" s="4" t="s">
        <v>7</v>
      </c>
      <c r="J8" s="11">
        <v>10</v>
      </c>
      <c r="K8" s="11">
        <v>5</v>
      </c>
    </row>
    <row r="9" spans="2:15" x14ac:dyDescent="0.25">
      <c r="B9" s="1" t="s">
        <v>5</v>
      </c>
      <c r="C9" s="1" t="s">
        <v>110</v>
      </c>
      <c r="D9" s="1" t="s">
        <v>51</v>
      </c>
      <c r="E9" s="8">
        <v>100</v>
      </c>
      <c r="F9" s="1" t="s">
        <v>11</v>
      </c>
      <c r="G9" s="1">
        <v>1</v>
      </c>
    </row>
    <row r="10" spans="2:15" x14ac:dyDescent="0.25">
      <c r="B10" s="1" t="s">
        <v>8</v>
      </c>
      <c r="C10" s="1" t="s">
        <v>111</v>
      </c>
      <c r="D10" s="1"/>
      <c r="E10" s="8">
        <v>9</v>
      </c>
      <c r="F10" s="1"/>
      <c r="G10" s="1">
        <v>1</v>
      </c>
    </row>
    <row r="11" spans="2:15" x14ac:dyDescent="0.25">
      <c r="B11" s="1" t="s">
        <v>5</v>
      </c>
      <c r="C11" s="1" t="s">
        <v>112</v>
      </c>
      <c r="D11" s="1" t="s">
        <v>113</v>
      </c>
      <c r="E11" s="8">
        <v>100</v>
      </c>
      <c r="F11" s="1" t="s">
        <v>11</v>
      </c>
      <c r="G11" s="1">
        <v>1</v>
      </c>
    </row>
    <row r="12" spans="2:15" x14ac:dyDescent="0.25">
      <c r="B12" s="1" t="s">
        <v>5</v>
      </c>
      <c r="C12" s="1" t="s">
        <v>114</v>
      </c>
      <c r="D12" s="1"/>
      <c r="E12" s="8">
        <v>100</v>
      </c>
      <c r="F12" s="1" t="s">
        <v>10</v>
      </c>
      <c r="G12" s="1">
        <v>1</v>
      </c>
    </row>
    <row r="13" spans="2:15" x14ac:dyDescent="0.25">
      <c r="B13" s="1" t="s">
        <v>5</v>
      </c>
      <c r="C13" s="1" t="s">
        <v>115</v>
      </c>
      <c r="D13" s="1"/>
      <c r="E13" s="8">
        <v>95</v>
      </c>
      <c r="F13" s="1" t="s">
        <v>10</v>
      </c>
      <c r="G13" s="1">
        <v>1</v>
      </c>
      <c r="I13" t="s">
        <v>21</v>
      </c>
    </row>
    <row r="14" spans="2:15" x14ac:dyDescent="0.25">
      <c r="B14" s="1" t="s">
        <v>5</v>
      </c>
      <c r="C14" s="1" t="s">
        <v>116</v>
      </c>
      <c r="D14" s="1"/>
      <c r="E14" s="8">
        <v>100</v>
      </c>
      <c r="F14" s="1" t="s">
        <v>10</v>
      </c>
      <c r="G14" s="1">
        <v>1</v>
      </c>
    </row>
    <row r="15" spans="2:15" x14ac:dyDescent="0.25">
      <c r="B15" s="1" t="s">
        <v>5</v>
      </c>
      <c r="C15" s="1" t="s">
        <v>117</v>
      </c>
      <c r="D15" s="1"/>
      <c r="E15" s="8">
        <v>100</v>
      </c>
      <c r="F15" s="1" t="s">
        <v>10</v>
      </c>
      <c r="G15" s="1">
        <v>1</v>
      </c>
    </row>
    <row r="16" spans="2:15" x14ac:dyDescent="0.25">
      <c r="B16" s="1" t="s">
        <v>5</v>
      </c>
      <c r="C16" s="1" t="s">
        <v>91</v>
      </c>
      <c r="D16" s="1"/>
      <c r="E16" s="8">
        <v>95</v>
      </c>
      <c r="F16" s="1" t="s">
        <v>11</v>
      </c>
      <c r="G16" s="1">
        <v>1</v>
      </c>
      <c r="I16" s="5" t="s">
        <v>43</v>
      </c>
      <c r="J16" s="5" t="s">
        <v>44</v>
      </c>
      <c r="M16" s="5" t="s">
        <v>18</v>
      </c>
      <c r="N16" s="5" t="s">
        <v>2</v>
      </c>
    </row>
    <row r="17" spans="2:14" x14ac:dyDescent="0.25">
      <c r="B17" s="1" t="s">
        <v>5</v>
      </c>
      <c r="C17" s="1" t="s">
        <v>118</v>
      </c>
      <c r="D17" s="1" t="s">
        <v>51</v>
      </c>
      <c r="E17" s="8">
        <v>100</v>
      </c>
      <c r="F17" s="1" t="s">
        <v>11</v>
      </c>
      <c r="G17" s="1">
        <v>1</v>
      </c>
      <c r="I17" s="5"/>
      <c r="J17" s="7"/>
      <c r="M17" s="5"/>
      <c r="N17" s="12"/>
    </row>
    <row r="18" spans="2:14" x14ac:dyDescent="0.25">
      <c r="B18" s="1" t="s">
        <v>5</v>
      </c>
      <c r="C18" s="1" t="s">
        <v>119</v>
      </c>
      <c r="D18" s="1"/>
      <c r="E18" s="8">
        <v>100</v>
      </c>
      <c r="F18" s="1" t="s">
        <v>13</v>
      </c>
      <c r="G18" s="1">
        <v>1</v>
      </c>
      <c r="I18" s="5"/>
      <c r="J18" s="12"/>
      <c r="M18" s="5"/>
      <c r="N18" s="12"/>
    </row>
    <row r="19" spans="2:14" x14ac:dyDescent="0.25">
      <c r="B19" s="1" t="s">
        <v>8</v>
      </c>
      <c r="C19" s="1" t="s">
        <v>57</v>
      </c>
      <c r="D19" s="1"/>
      <c r="E19" s="8">
        <v>18</v>
      </c>
      <c r="F19" s="1" t="s">
        <v>13</v>
      </c>
      <c r="G19" s="1">
        <v>2</v>
      </c>
      <c r="I19" s="5"/>
      <c r="J19" s="12"/>
      <c r="M19" s="5"/>
      <c r="N19" s="12"/>
    </row>
    <row r="20" spans="2:14" x14ac:dyDescent="0.25">
      <c r="B20" s="1" t="s">
        <v>5</v>
      </c>
      <c r="C20" s="1" t="s">
        <v>121</v>
      </c>
      <c r="D20" s="1"/>
      <c r="E20" s="8">
        <v>100</v>
      </c>
      <c r="F20" s="1" t="s">
        <v>11</v>
      </c>
      <c r="G20" s="1">
        <v>1</v>
      </c>
      <c r="I20" s="5"/>
      <c r="J20" s="12"/>
      <c r="M20" s="5"/>
      <c r="N20" s="12"/>
    </row>
    <row r="21" spans="2:14" x14ac:dyDescent="0.25">
      <c r="B21" s="1" t="s">
        <v>5</v>
      </c>
      <c r="C21" s="1"/>
      <c r="D21" s="1"/>
      <c r="E21" s="8">
        <v>100</v>
      </c>
      <c r="F21" s="1" t="s">
        <v>10</v>
      </c>
      <c r="G21" s="1">
        <v>1</v>
      </c>
      <c r="I21" s="5"/>
      <c r="J21" s="12"/>
      <c r="M21" s="5"/>
      <c r="N21" s="12"/>
    </row>
    <row r="22" spans="2:14" x14ac:dyDescent="0.25">
      <c r="B22" s="1" t="s">
        <v>5</v>
      </c>
      <c r="C22" s="1" t="s">
        <v>122</v>
      </c>
      <c r="D22" s="1"/>
      <c r="E22" s="8">
        <v>100</v>
      </c>
      <c r="F22" s="1" t="s">
        <v>12</v>
      </c>
      <c r="G22" s="1">
        <v>1</v>
      </c>
      <c r="I22" s="5"/>
      <c r="J22" s="12"/>
      <c r="M22" s="5"/>
      <c r="N22" s="12"/>
    </row>
    <row r="23" spans="2:14" x14ac:dyDescent="0.25">
      <c r="B23" s="1" t="s">
        <v>5</v>
      </c>
      <c r="C23" s="1"/>
      <c r="D23" s="1"/>
      <c r="E23" s="8">
        <v>100</v>
      </c>
      <c r="F23" s="1" t="s">
        <v>11</v>
      </c>
      <c r="G23" s="1">
        <v>1</v>
      </c>
      <c r="I23" s="5"/>
      <c r="J23" s="12"/>
      <c r="M23" s="5"/>
      <c r="N23" s="12"/>
    </row>
    <row r="24" spans="2:14" x14ac:dyDescent="0.25">
      <c r="B24" s="1"/>
      <c r="C24" s="1"/>
      <c r="D24" s="1"/>
      <c r="E24" s="8"/>
      <c r="F24" s="1"/>
      <c r="G24" s="25"/>
      <c r="I24" s="5"/>
      <c r="J24" s="12"/>
      <c r="L24" s="14"/>
      <c r="M24" s="5"/>
      <c r="N24" s="12"/>
    </row>
    <row r="25" spans="2:14" x14ac:dyDescent="0.25">
      <c r="B25" s="1"/>
      <c r="C25" s="1"/>
      <c r="D25" s="1"/>
      <c r="E25" s="8"/>
      <c r="F25" s="1"/>
      <c r="G25" s="1"/>
      <c r="I25" s="5"/>
      <c r="J25" s="12"/>
      <c r="M25" s="5"/>
      <c r="N25" s="12"/>
    </row>
    <row r="26" spans="2:14" x14ac:dyDescent="0.25">
      <c r="B26" s="1"/>
      <c r="C26" s="1"/>
      <c r="D26" s="1"/>
      <c r="E26" s="8"/>
      <c r="F26" s="1"/>
      <c r="G26" s="1"/>
      <c r="I26" s="5"/>
      <c r="J26" s="12"/>
      <c r="M26" s="5"/>
      <c r="N26" s="12"/>
    </row>
    <row r="27" spans="2:14" x14ac:dyDescent="0.25">
      <c r="B27" s="1"/>
      <c r="C27" s="1"/>
      <c r="D27" s="1"/>
      <c r="E27" s="8"/>
      <c r="F27" s="1"/>
      <c r="G27" s="1"/>
      <c r="I27" s="5"/>
      <c r="J27" s="12"/>
      <c r="M27" s="5"/>
      <c r="N27" s="12"/>
    </row>
    <row r="28" spans="2:14" x14ac:dyDescent="0.25">
      <c r="B28" s="1"/>
      <c r="C28" s="1"/>
      <c r="D28" s="1"/>
      <c r="E28" s="8"/>
      <c r="F28" s="25"/>
      <c r="G28" s="1"/>
      <c r="I28" s="5"/>
      <c r="J28" s="12"/>
      <c r="M28" s="5"/>
      <c r="N28" s="12"/>
    </row>
    <row r="29" spans="2:14" x14ac:dyDescent="0.25">
      <c r="B29" s="1"/>
      <c r="C29" s="1"/>
      <c r="D29" s="1"/>
      <c r="E29" s="8"/>
      <c r="F29" s="1"/>
      <c r="G29" s="1"/>
      <c r="I29" s="5"/>
      <c r="J29" s="12"/>
      <c r="M29" s="5"/>
      <c r="N29" s="12"/>
    </row>
    <row r="30" spans="2:14" x14ac:dyDescent="0.25">
      <c r="B30" s="1"/>
      <c r="C30" s="1"/>
      <c r="D30" s="1"/>
      <c r="E30" s="8"/>
      <c r="F30" s="1"/>
      <c r="G30" s="1"/>
      <c r="I30" s="5"/>
      <c r="J30" s="5"/>
    </row>
    <row r="31" spans="2:14" ht="18.75" x14ac:dyDescent="0.4">
      <c r="B31" s="1"/>
      <c r="C31" s="1"/>
      <c r="D31" s="1"/>
      <c r="E31" s="8"/>
      <c r="F31" s="1"/>
      <c r="G31" s="1"/>
      <c r="I31" s="13" t="s">
        <v>22</v>
      </c>
      <c r="J31" s="15">
        <f>SUM(Tabela2781215192225283134374043464952555861646770737679269121720232629323538414447505356596265687174778326[valor])</f>
        <v>0</v>
      </c>
      <c r="M31" s="13" t="s">
        <v>42</v>
      </c>
      <c r="N31" s="15">
        <f>SUM(Tabela2781213172023262932353841444750535659626568717477803710131821242730333639424548515457606366697275788437[Valor])</f>
        <v>0</v>
      </c>
    </row>
    <row r="32" spans="2:14" x14ac:dyDescent="0.25">
      <c r="B32" s="1"/>
      <c r="C32" s="1"/>
      <c r="D32" s="1"/>
      <c r="E32" s="8"/>
      <c r="F32" s="1"/>
      <c r="G32" s="1"/>
      <c r="I32" s="5"/>
      <c r="J32" s="5"/>
    </row>
    <row r="33" spans="2:11" x14ac:dyDescent="0.25">
      <c r="B33" s="1"/>
      <c r="C33" s="1"/>
      <c r="D33" s="1"/>
      <c r="E33" s="8"/>
      <c r="F33" s="1"/>
      <c r="G33" s="1"/>
      <c r="I33" s="5"/>
      <c r="J33" s="5"/>
    </row>
    <row r="34" spans="2:11" x14ac:dyDescent="0.25">
      <c r="B34" s="1"/>
      <c r="C34" s="1" t="s">
        <v>34</v>
      </c>
      <c r="D34" s="1"/>
      <c r="E34" s="8"/>
      <c r="F34" s="1"/>
      <c r="G34" s="1"/>
      <c r="I34" s="5"/>
      <c r="J34" s="5"/>
    </row>
    <row r="35" spans="2:11" x14ac:dyDescent="0.25">
      <c r="B35" s="1"/>
      <c r="C35" s="1"/>
      <c r="D35" s="1"/>
      <c r="E35" s="8"/>
      <c r="F35" s="1"/>
      <c r="G35" s="1"/>
      <c r="I35" s="5"/>
      <c r="J35" s="5"/>
    </row>
    <row r="36" spans="2:11" x14ac:dyDescent="0.25">
      <c r="B36" s="1"/>
      <c r="C36" s="1"/>
      <c r="D36" s="1"/>
      <c r="E36" s="8"/>
      <c r="F36" s="1"/>
      <c r="G36" s="1"/>
      <c r="J36" s="5"/>
    </row>
    <row r="37" spans="2:11" x14ac:dyDescent="0.25">
      <c r="I37" s="5"/>
    </row>
    <row r="39" spans="2:11" x14ac:dyDescent="0.25">
      <c r="I39" s="9"/>
    </row>
    <row r="40" spans="2:11" x14ac:dyDescent="0.25">
      <c r="I40" t="s">
        <v>20</v>
      </c>
    </row>
    <row r="41" spans="2:11" x14ac:dyDescent="0.25">
      <c r="B41" s="4" t="s">
        <v>10</v>
      </c>
      <c r="C41" s="2">
        <f>SUMIF(Tabela16511182124273033363942454851545760636669727578815811151922252831343740434649525558616467707376828558[Forma de Pagamento],"Dinheiro",Tabela16511182124273033363942454851545760636669727578815811151922252831343740434649525558616467707376828558[Valor])</f>
        <v>495</v>
      </c>
      <c r="D41" s="4" t="s">
        <v>16</v>
      </c>
      <c r="E41" s="2">
        <f>SUMIF(Tabela16511182124273033363942454851545760636669727578815811151922252831343740434649525558616467707376828558[Item],"Gás",Tabela16511182124273033363942454851545760636669727578815811151922252831343740434649525558616467707376828558[QUANTIDADE])+G41</f>
        <v>15</v>
      </c>
      <c r="F41" s="4" t="s">
        <v>25</v>
      </c>
      <c r="G41" s="2">
        <f>SUMIF(Tabela16511182124273033363942454851545760636669727578815811151922252831343740434649525558616467707376828558[Item],"Gás completo",Tabela16511182124273033363942454851545760636669727578815811151922252831343740434649525558616467707376828558[QUANTIDADE])</f>
        <v>0</v>
      </c>
    </row>
    <row r="42" spans="2:11" x14ac:dyDescent="0.25">
      <c r="B42" s="4" t="s">
        <v>11</v>
      </c>
      <c r="C42" s="2">
        <f>SUMIF(Tabela16511182124273033363942454851545760636669727578815811151922252831343740434649525558616467707376828558[Forma de Pagamento],"Cartão",Tabela16511182124273033363942454851545760636669727578815811151922252831343740434649525558616467707376828558[Valor])</f>
        <v>685</v>
      </c>
      <c r="D42" s="4" t="s">
        <v>17</v>
      </c>
      <c r="E42" s="2">
        <f>SUMIF(Tabela16511182124273033363942454851545760636669727578815811151922252831343740434649525558616467707376828558[Item],"Água",Tabela16511182124273033363942454851545760636669727578815811151922252831343740434649525558616467707376828558[QUANTIDADE])+G42</f>
        <v>3</v>
      </c>
      <c r="F42" s="4" t="s">
        <v>27</v>
      </c>
      <c r="G42" s="2">
        <f>SUMIF(Tabela16511182124273033363942454851545760636669727578815811151922252831343740434649525558616467707376828558[Item],"Água completa",Tabela16511182124273033363942454851545760636669727578815811151922252831343740434649525558616467707376828558[QUANTIDADE])</f>
        <v>0</v>
      </c>
      <c r="J42" s="4" t="s">
        <v>5</v>
      </c>
      <c r="K42" s="4" t="s">
        <v>8</v>
      </c>
    </row>
    <row r="43" spans="2:11" x14ac:dyDescent="0.25">
      <c r="B43" s="4" t="s">
        <v>12</v>
      </c>
      <c r="C43" s="2">
        <f>SUMIF(Tabela16511182124273033363942454851545760636669727578815811151922252831343740434649525558616467707376828558[Forma de Pagamento],"Pix",Tabela16511182124273033363942454851545760636669727578815811151922252831343740434649525558616467707376828558[Valor])</f>
        <v>200</v>
      </c>
      <c r="I43" s="4" t="s">
        <v>6</v>
      </c>
      <c r="J43" s="1">
        <f>SUM(J7-E41+N7)</f>
        <v>15</v>
      </c>
      <c r="K43" s="2">
        <f>SUM(K7-E42+O7)</f>
        <v>8</v>
      </c>
    </row>
    <row r="44" spans="2:11" x14ac:dyDescent="0.25">
      <c r="B44" s="4" t="s">
        <v>13</v>
      </c>
      <c r="C44" s="2">
        <f>SUMIF(Tabela16511182124273033363942454851545760636669727578815811151922252831343740434649525558616467707376828558[Forma de Pagamento],"Fiado",Tabela16511182124273033363942454851545760636669727578815811151922252831343740434649525558616467707376828558[Valor])</f>
        <v>118</v>
      </c>
      <c r="D44" s="4" t="s">
        <v>14</v>
      </c>
      <c r="E44" s="7">
        <f>SUM(F3-J31+C41+N31)</f>
        <v>495</v>
      </c>
      <c r="I44" s="4" t="s">
        <v>7</v>
      </c>
      <c r="J44" s="2">
        <f>SUM(J8+E41-N7)-G41</f>
        <v>25</v>
      </c>
      <c r="K44" s="2">
        <f>SUM(K8+E42-O7)-G42</f>
        <v>8</v>
      </c>
    </row>
  </sheetData>
  <dataValidations count="2">
    <dataValidation type="list" allowBlank="1" showInputMessage="1" showErrorMessage="1" sqref="B18:B36 B7:B16" xr:uid="{7080DB99-C4A0-427A-ABC3-F4057DE04B46}">
      <formula1>"Gás,Água,Gás completo,Água completa,Gás e Água, Recebimento"</formula1>
    </dataValidation>
    <dataValidation type="list" allowBlank="1" showInputMessage="1" showErrorMessage="1" sqref="F7:F36" xr:uid="{F10E65AE-9BEB-4DBB-B501-234D655D3712}">
      <formula1>"Dinheiro,Cartão,Pix,Fiado,Pago"</formula1>
    </dataValidation>
  </dataValidations>
  <pageMargins left="0.511811024" right="0.511811024" top="0.78740157499999996" bottom="0.78740157499999996" header="0.31496062000000002" footer="0.31496062000000002"/>
  <pageSetup paperSize="0" orientation="portrait" horizontalDpi="203" verticalDpi="203" r:id="rId1"/>
  <drawing r:id="rId2"/>
  <tableParts count="3">
    <tablePart r:id="rId3"/>
    <tablePart r:id="rId4"/>
    <tablePart r:id="rId5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8D13B-331F-4939-B9B7-3367FF2BF709}">
  <dimension ref="B2:O44"/>
  <sheetViews>
    <sheetView showGridLines="0" tabSelected="1" workbookViewId="0">
      <selection activeCell="F16" sqref="F16"/>
    </sheetView>
  </sheetViews>
  <sheetFormatPr defaultRowHeight="15" x14ac:dyDescent="0.25"/>
  <cols>
    <col min="2" max="2" width="14.7109375" customWidth="1"/>
    <col min="3" max="3" width="38.140625" customWidth="1"/>
    <col min="4" max="4" width="19.85546875" customWidth="1"/>
    <col min="5" max="5" width="21.85546875" customWidth="1"/>
    <col min="6" max="6" width="25.85546875" customWidth="1"/>
    <col min="7" max="7" width="16.7109375" customWidth="1"/>
    <col min="8" max="8" width="11.28515625" customWidth="1"/>
    <col min="9" max="9" width="21.85546875" customWidth="1"/>
    <col min="10" max="10" width="13.5703125" customWidth="1"/>
    <col min="11" max="11" width="12.28515625" customWidth="1"/>
    <col min="12" max="12" width="8.5703125" customWidth="1"/>
    <col min="13" max="13" width="19.7109375" customWidth="1"/>
    <col min="14" max="14" width="15.5703125" customWidth="1"/>
    <col min="15" max="15" width="13" customWidth="1"/>
  </cols>
  <sheetData>
    <row r="2" spans="2:15" ht="15.75" x14ac:dyDescent="0.25">
      <c r="E2" s="10" t="s">
        <v>4</v>
      </c>
      <c r="F2" s="3">
        <v>45171</v>
      </c>
    </row>
    <row r="3" spans="2:15" ht="15.75" x14ac:dyDescent="0.25">
      <c r="E3" s="10" t="s">
        <v>15</v>
      </c>
      <c r="F3" s="7">
        <v>550</v>
      </c>
    </row>
    <row r="4" spans="2:15" x14ac:dyDescent="0.25">
      <c r="J4" t="s">
        <v>19</v>
      </c>
      <c r="M4" t="s">
        <v>24</v>
      </c>
    </row>
    <row r="6" spans="2:15" x14ac:dyDescent="0.25">
      <c r="B6" s="6" t="s">
        <v>9</v>
      </c>
      <c r="C6" s="6" t="s">
        <v>0</v>
      </c>
      <c r="D6" s="6" t="s">
        <v>1</v>
      </c>
      <c r="E6" s="6" t="s">
        <v>2</v>
      </c>
      <c r="F6" s="6" t="s">
        <v>3</v>
      </c>
      <c r="G6" s="6" t="s">
        <v>26</v>
      </c>
      <c r="J6" s="4" t="s">
        <v>5</v>
      </c>
      <c r="K6" s="4" t="s">
        <v>8</v>
      </c>
      <c r="N6" s="4" t="s">
        <v>5</v>
      </c>
      <c r="O6" s="4" t="s">
        <v>8</v>
      </c>
    </row>
    <row r="7" spans="2:15" x14ac:dyDescent="0.25">
      <c r="B7" s="1" t="s">
        <v>5</v>
      </c>
      <c r="C7" s="1" t="s">
        <v>83</v>
      </c>
      <c r="D7" s="1" t="s">
        <v>471</v>
      </c>
      <c r="E7" s="8">
        <v>100</v>
      </c>
      <c r="F7" s="1" t="s">
        <v>11</v>
      </c>
      <c r="G7" s="1">
        <v>1</v>
      </c>
      <c r="I7" s="4" t="s">
        <v>6</v>
      </c>
      <c r="J7" s="1">
        <v>28</v>
      </c>
      <c r="K7" s="11">
        <v>11</v>
      </c>
      <c r="M7" s="4" t="s">
        <v>23</v>
      </c>
      <c r="N7" s="11">
        <v>20</v>
      </c>
      <c r="O7" s="11"/>
    </row>
    <row r="8" spans="2:15" x14ac:dyDescent="0.25">
      <c r="B8" s="1" t="s">
        <v>5</v>
      </c>
      <c r="C8" s="1" t="s">
        <v>84</v>
      </c>
      <c r="D8" s="1" t="s">
        <v>470</v>
      </c>
      <c r="E8" s="8">
        <v>100</v>
      </c>
      <c r="F8" s="1" t="s">
        <v>11</v>
      </c>
      <c r="G8" s="1">
        <v>1</v>
      </c>
      <c r="I8" s="4" t="s">
        <v>7</v>
      </c>
      <c r="J8" s="11">
        <v>13</v>
      </c>
      <c r="K8" s="11">
        <v>5</v>
      </c>
    </row>
    <row r="9" spans="2:15" x14ac:dyDescent="0.25">
      <c r="B9" s="1" t="s">
        <v>8</v>
      </c>
      <c r="C9" s="1" t="s">
        <v>85</v>
      </c>
      <c r="D9" s="1" t="s">
        <v>254</v>
      </c>
      <c r="E9" s="8">
        <v>14</v>
      </c>
      <c r="F9" s="1" t="s">
        <v>12</v>
      </c>
      <c r="G9" s="1">
        <v>2</v>
      </c>
    </row>
    <row r="10" spans="2:15" x14ac:dyDescent="0.25">
      <c r="B10" s="1" t="s">
        <v>5</v>
      </c>
      <c r="C10" s="1" t="s">
        <v>86</v>
      </c>
      <c r="D10" s="1" t="s">
        <v>470</v>
      </c>
      <c r="E10" s="8">
        <v>100</v>
      </c>
      <c r="F10" s="1" t="s">
        <v>11</v>
      </c>
      <c r="G10" s="1">
        <v>1</v>
      </c>
    </row>
    <row r="11" spans="2:15" x14ac:dyDescent="0.25">
      <c r="B11" s="1" t="s">
        <v>5</v>
      </c>
      <c r="C11" s="1" t="s">
        <v>87</v>
      </c>
      <c r="D11" s="1" t="s">
        <v>88</v>
      </c>
      <c r="E11" s="8">
        <v>95</v>
      </c>
      <c r="F11" s="1" t="s">
        <v>12</v>
      </c>
      <c r="G11" s="1">
        <v>1</v>
      </c>
    </row>
    <row r="12" spans="2:15" x14ac:dyDescent="0.25">
      <c r="B12" s="1" t="s">
        <v>5</v>
      </c>
      <c r="C12" s="1" t="s">
        <v>89</v>
      </c>
      <c r="D12" s="1" t="s">
        <v>90</v>
      </c>
      <c r="E12" s="8">
        <v>95</v>
      </c>
      <c r="F12" s="1" t="s">
        <v>10</v>
      </c>
      <c r="G12" s="1">
        <v>1</v>
      </c>
    </row>
    <row r="13" spans="2:15" x14ac:dyDescent="0.25">
      <c r="B13" s="1" t="s">
        <v>5</v>
      </c>
      <c r="C13" s="1" t="s">
        <v>91</v>
      </c>
      <c r="D13" s="1"/>
      <c r="E13" s="8">
        <v>95</v>
      </c>
      <c r="F13" s="1" t="s">
        <v>10</v>
      </c>
      <c r="G13" s="1">
        <v>1</v>
      </c>
      <c r="I13" t="s">
        <v>21</v>
      </c>
    </row>
    <row r="14" spans="2:15" x14ac:dyDescent="0.25">
      <c r="B14" s="1" t="s">
        <v>5</v>
      </c>
      <c r="C14" s="1" t="s">
        <v>92</v>
      </c>
      <c r="D14" s="1" t="s">
        <v>471</v>
      </c>
      <c r="E14" s="8">
        <v>100</v>
      </c>
      <c r="F14" s="1" t="s">
        <v>13</v>
      </c>
      <c r="G14" s="1">
        <v>1</v>
      </c>
    </row>
    <row r="15" spans="2:15" x14ac:dyDescent="0.25">
      <c r="B15" s="1" t="s">
        <v>8</v>
      </c>
      <c r="C15" s="1" t="s">
        <v>93</v>
      </c>
      <c r="D15" s="1" t="s">
        <v>470</v>
      </c>
      <c r="E15" s="8">
        <v>9</v>
      </c>
      <c r="F15" s="1" t="s">
        <v>10</v>
      </c>
      <c r="G15" s="1">
        <v>1</v>
      </c>
    </row>
    <row r="16" spans="2:15" x14ac:dyDescent="0.25">
      <c r="B16" s="1" t="s">
        <v>8</v>
      </c>
      <c r="C16" s="1" t="s">
        <v>94</v>
      </c>
      <c r="D16" s="1" t="s">
        <v>254</v>
      </c>
      <c r="E16" s="8">
        <v>9</v>
      </c>
      <c r="F16" s="1" t="s">
        <v>11</v>
      </c>
      <c r="G16" s="1">
        <v>1</v>
      </c>
      <c r="I16" s="5" t="s">
        <v>43</v>
      </c>
      <c r="J16" s="5" t="s">
        <v>44</v>
      </c>
      <c r="M16" s="5" t="s">
        <v>18</v>
      </c>
      <c r="N16" s="5" t="s">
        <v>2</v>
      </c>
    </row>
    <row r="17" spans="2:14" x14ac:dyDescent="0.25">
      <c r="B17" s="1" t="s">
        <v>5</v>
      </c>
      <c r="C17" s="1" t="s">
        <v>95</v>
      </c>
      <c r="D17" s="1" t="s">
        <v>51</v>
      </c>
      <c r="E17" s="8">
        <v>110</v>
      </c>
      <c r="F17" s="1" t="s">
        <v>10</v>
      </c>
      <c r="G17" s="1">
        <v>1</v>
      </c>
      <c r="I17" s="5"/>
      <c r="J17" s="7">
        <v>365</v>
      </c>
      <c r="M17" s="5"/>
      <c r="N17" s="12">
        <v>305</v>
      </c>
    </row>
    <row r="18" spans="2:14" x14ac:dyDescent="0.25">
      <c r="B18" s="1" t="s">
        <v>8</v>
      </c>
      <c r="C18" s="1" t="s">
        <v>96</v>
      </c>
      <c r="D18" s="1" t="s">
        <v>159</v>
      </c>
      <c r="E18" s="8">
        <v>10</v>
      </c>
      <c r="F18" s="1" t="s">
        <v>12</v>
      </c>
      <c r="G18" s="1">
        <v>1</v>
      </c>
      <c r="I18" s="5"/>
      <c r="J18" s="12">
        <v>550</v>
      </c>
      <c r="M18" s="5"/>
      <c r="N18" s="12"/>
    </row>
    <row r="19" spans="2:14" x14ac:dyDescent="0.25">
      <c r="B19" s="1" t="s">
        <v>5</v>
      </c>
      <c r="C19" s="1" t="s">
        <v>97</v>
      </c>
      <c r="D19" s="1" t="s">
        <v>159</v>
      </c>
      <c r="E19" s="8">
        <v>100</v>
      </c>
      <c r="F19" s="1" t="s">
        <v>10</v>
      </c>
      <c r="G19" s="1">
        <v>1</v>
      </c>
      <c r="I19" s="5"/>
      <c r="J19" s="12"/>
      <c r="M19" s="5"/>
      <c r="N19" s="12"/>
    </row>
    <row r="20" spans="2:14" x14ac:dyDescent="0.25">
      <c r="B20" s="1" t="s">
        <v>8</v>
      </c>
      <c r="C20" s="1" t="s">
        <v>97</v>
      </c>
      <c r="D20" s="1" t="s">
        <v>47</v>
      </c>
      <c r="E20" s="8">
        <v>18</v>
      </c>
      <c r="F20" s="1" t="s">
        <v>12</v>
      </c>
      <c r="G20" s="1">
        <v>2</v>
      </c>
      <c r="I20" s="5"/>
      <c r="J20" s="12"/>
      <c r="M20" s="5"/>
      <c r="N20" s="12"/>
    </row>
    <row r="21" spans="2:14" x14ac:dyDescent="0.25">
      <c r="B21" s="1" t="s">
        <v>5</v>
      </c>
      <c r="C21" s="1" t="s">
        <v>98</v>
      </c>
      <c r="D21" s="1" t="s">
        <v>212</v>
      </c>
      <c r="E21" s="8">
        <v>100</v>
      </c>
      <c r="F21" s="1" t="s">
        <v>12</v>
      </c>
      <c r="G21" s="1">
        <v>1</v>
      </c>
      <c r="I21" s="5"/>
      <c r="J21" s="12"/>
      <c r="M21" s="5"/>
      <c r="N21" s="12"/>
    </row>
    <row r="22" spans="2:14" x14ac:dyDescent="0.25">
      <c r="B22" s="1" t="s">
        <v>8</v>
      </c>
      <c r="C22" s="1" t="s">
        <v>99</v>
      </c>
      <c r="D22" s="1" t="s">
        <v>254</v>
      </c>
      <c r="E22" s="8">
        <v>18</v>
      </c>
      <c r="F22" s="1" t="s">
        <v>11</v>
      </c>
      <c r="G22" s="1">
        <v>2</v>
      </c>
      <c r="I22" s="5"/>
      <c r="J22" s="12"/>
      <c r="M22" s="5"/>
      <c r="N22" s="12"/>
    </row>
    <row r="23" spans="2:14" x14ac:dyDescent="0.25">
      <c r="B23" s="1" t="s">
        <v>5</v>
      </c>
      <c r="C23" s="1" t="s">
        <v>100</v>
      </c>
      <c r="D23" s="1" t="s">
        <v>51</v>
      </c>
      <c r="E23" s="8">
        <v>100</v>
      </c>
      <c r="F23" s="1" t="s">
        <v>11</v>
      </c>
      <c r="G23" s="1">
        <v>1</v>
      </c>
      <c r="I23" s="5"/>
      <c r="J23" s="12"/>
      <c r="M23" s="5"/>
      <c r="N23" s="12"/>
    </row>
    <row r="24" spans="2:14" x14ac:dyDescent="0.25">
      <c r="B24" s="1" t="s">
        <v>5</v>
      </c>
      <c r="C24" s="1" t="s">
        <v>101</v>
      </c>
      <c r="D24" s="1" t="s">
        <v>254</v>
      </c>
      <c r="E24" s="8">
        <v>100</v>
      </c>
      <c r="F24" s="1" t="s">
        <v>13</v>
      </c>
      <c r="G24" s="1">
        <v>1</v>
      </c>
      <c r="I24" s="5"/>
      <c r="J24" s="12"/>
      <c r="L24" s="14"/>
      <c r="M24" s="5"/>
      <c r="N24" s="12"/>
    </row>
    <row r="25" spans="2:14" x14ac:dyDescent="0.25">
      <c r="B25" s="1" t="s">
        <v>5</v>
      </c>
      <c r="C25" s="1" t="s">
        <v>102</v>
      </c>
      <c r="D25" s="1" t="s">
        <v>469</v>
      </c>
      <c r="E25" s="8">
        <v>95</v>
      </c>
      <c r="F25" s="1" t="s">
        <v>10</v>
      </c>
      <c r="G25" s="1">
        <v>1</v>
      </c>
      <c r="I25" s="5"/>
      <c r="J25" s="12"/>
      <c r="M25" s="5"/>
      <c r="N25" s="12"/>
    </row>
    <row r="26" spans="2:14" x14ac:dyDescent="0.25">
      <c r="B26" s="1" t="s">
        <v>5</v>
      </c>
      <c r="C26" s="1" t="s">
        <v>104</v>
      </c>
      <c r="D26" s="1" t="s">
        <v>51</v>
      </c>
      <c r="E26" s="8">
        <v>100</v>
      </c>
      <c r="F26" s="1" t="s">
        <v>10</v>
      </c>
      <c r="G26" s="1">
        <v>1</v>
      </c>
      <c r="I26" s="5"/>
      <c r="J26" s="12"/>
      <c r="M26" s="5"/>
      <c r="N26" s="12"/>
    </row>
    <row r="27" spans="2:14" x14ac:dyDescent="0.25">
      <c r="B27" s="1" t="s">
        <v>5</v>
      </c>
      <c r="C27" s="1" t="s">
        <v>103</v>
      </c>
      <c r="D27" s="1" t="s">
        <v>159</v>
      </c>
      <c r="E27" s="8">
        <v>100</v>
      </c>
      <c r="F27" s="1" t="s">
        <v>13</v>
      </c>
      <c r="G27" s="1">
        <v>1</v>
      </c>
      <c r="I27" s="5"/>
      <c r="J27" s="12"/>
      <c r="M27" s="5"/>
      <c r="N27" s="12"/>
    </row>
    <row r="28" spans="2:14" x14ac:dyDescent="0.25">
      <c r="B28" s="1" t="s">
        <v>5</v>
      </c>
      <c r="C28" s="1" t="s">
        <v>468</v>
      </c>
      <c r="D28" s="1" t="s">
        <v>88</v>
      </c>
      <c r="E28" s="8">
        <v>100</v>
      </c>
      <c r="F28" s="1" t="s">
        <v>11</v>
      </c>
      <c r="G28" s="1">
        <v>1</v>
      </c>
      <c r="I28" s="5"/>
      <c r="J28" s="12"/>
      <c r="M28" s="5"/>
      <c r="N28" s="12"/>
    </row>
    <row r="29" spans="2:14" x14ac:dyDescent="0.25">
      <c r="B29" s="1"/>
      <c r="C29" s="1"/>
      <c r="D29" s="1"/>
      <c r="E29" s="8"/>
      <c r="F29" s="1"/>
      <c r="G29" s="1"/>
      <c r="I29" s="5"/>
      <c r="J29" s="12"/>
      <c r="M29" s="5"/>
      <c r="N29" s="12"/>
    </row>
    <row r="30" spans="2:14" x14ac:dyDescent="0.25">
      <c r="B30" s="1"/>
      <c r="C30" s="1"/>
      <c r="D30" s="1"/>
      <c r="E30" s="8"/>
      <c r="F30" s="1"/>
      <c r="G30" s="1"/>
      <c r="I30" s="5"/>
      <c r="J30" s="5"/>
    </row>
    <row r="31" spans="2:14" ht="18.75" x14ac:dyDescent="0.4">
      <c r="B31" s="1"/>
      <c r="C31" s="1"/>
      <c r="D31" s="1"/>
      <c r="E31" s="8"/>
      <c r="F31" s="1"/>
      <c r="G31" s="1"/>
      <c r="I31" s="13" t="s">
        <v>22</v>
      </c>
      <c r="J31" s="15">
        <f>SUM(Tabela278121519222528313437404346495255586164677073767926912172023262932353841444750535659626568717477832[valor])</f>
        <v>915</v>
      </c>
      <c r="M31" s="13" t="s">
        <v>42</v>
      </c>
      <c r="N31" s="15">
        <f>SUM(Tabela278121317202326293235384144475053565962656871747780371013182124273033363942454851545760636669727578843[Valor])</f>
        <v>305</v>
      </c>
    </row>
    <row r="32" spans="2:14" x14ac:dyDescent="0.25">
      <c r="B32" s="1"/>
      <c r="C32" s="1"/>
      <c r="D32" s="1"/>
      <c r="E32" s="8"/>
      <c r="F32" s="1"/>
      <c r="G32" s="1"/>
      <c r="I32" s="5"/>
      <c r="J32" s="5"/>
    </row>
    <row r="33" spans="2:11" x14ac:dyDescent="0.25">
      <c r="B33" s="1"/>
      <c r="C33" s="1"/>
      <c r="D33" s="1"/>
      <c r="E33" s="8"/>
      <c r="F33" s="1"/>
      <c r="G33" s="1"/>
      <c r="I33" s="5"/>
      <c r="J33" s="5"/>
    </row>
    <row r="34" spans="2:11" x14ac:dyDescent="0.25">
      <c r="B34" s="1"/>
      <c r="C34" s="1" t="s">
        <v>34</v>
      </c>
      <c r="D34" s="1"/>
      <c r="E34" s="8"/>
      <c r="F34" s="1"/>
      <c r="G34" s="1"/>
      <c r="I34" s="5"/>
      <c r="J34" s="5"/>
    </row>
    <row r="35" spans="2:11" x14ac:dyDescent="0.25">
      <c r="B35" s="1"/>
      <c r="C35" s="1"/>
      <c r="D35" s="1"/>
      <c r="E35" s="8"/>
      <c r="F35" s="1"/>
      <c r="G35" s="1"/>
      <c r="I35" s="5"/>
      <c r="J35" s="5"/>
    </row>
    <row r="36" spans="2:11" x14ac:dyDescent="0.25">
      <c r="B36" s="1"/>
      <c r="C36" s="1"/>
      <c r="D36" s="1"/>
      <c r="E36" s="8"/>
      <c r="F36" s="1"/>
      <c r="G36" s="1"/>
      <c r="J36" s="5"/>
    </row>
    <row r="37" spans="2:11" x14ac:dyDescent="0.25">
      <c r="I37" s="5"/>
    </row>
    <row r="39" spans="2:11" x14ac:dyDescent="0.25">
      <c r="I39" s="9"/>
    </row>
    <row r="40" spans="2:11" x14ac:dyDescent="0.25">
      <c r="I40" t="s">
        <v>20</v>
      </c>
    </row>
    <row r="41" spans="2:11" x14ac:dyDescent="0.25">
      <c r="B41" s="4" t="s">
        <v>10</v>
      </c>
      <c r="C41" s="2">
        <f>SUMIF(Tabela1651118212427303336394245485154576063666972757881581115192225283134374043464952555861646770737682855[Forma de Pagamento],"Dinheiro",Tabela1651118212427303336394245485154576063666972757881581115192225283134374043464952555861646770737682855[Valor])</f>
        <v>604</v>
      </c>
      <c r="D41" s="4" t="s">
        <v>16</v>
      </c>
      <c r="E41" s="2">
        <f>SUMIF(Tabela1651118212427303336394245485154576063666972757881581115192225283134374043464952555861646770737682855[Item],"Gás",Tabela1651118212427303336394245485154576063666972757881581115192225283134374043464952555861646770737682855[QUANTIDADE])+G41</f>
        <v>16</v>
      </c>
      <c r="F41" s="4" t="s">
        <v>25</v>
      </c>
      <c r="G41" s="2">
        <f>SUMIF(Tabela1651118212427303336394245485154576063666972757881581115192225283134374043464952555861646770737682855[Item],"Gás completo",Tabela1651118212427303336394245485154576063666972757881581115192225283134374043464952555861646770737682855[QUANTIDADE])</f>
        <v>0</v>
      </c>
    </row>
    <row r="42" spans="2:11" x14ac:dyDescent="0.25">
      <c r="B42" s="4" t="s">
        <v>11</v>
      </c>
      <c r="C42" s="2">
        <f>SUMIF(Tabela1651118212427303336394245485154576063666972757881581115192225283134374043464952555861646770737682855[Forma de Pagamento],"Cartão",Tabela1651118212427303336394245485154576063666972757881581115192225283134374043464952555861646770737682855[Valor])</f>
        <v>527</v>
      </c>
      <c r="D42" s="4" t="s">
        <v>17</v>
      </c>
      <c r="E42" s="2">
        <f>SUMIF(Tabela1651118212427303336394245485154576063666972757881581115192225283134374043464952555861646770737682855[Item],"Água",Tabela1651118212427303336394245485154576063666972757881581115192225283134374043464952555861646770737682855[QUANTIDADE])+G42</f>
        <v>9</v>
      </c>
      <c r="F42" s="4" t="s">
        <v>27</v>
      </c>
      <c r="G42" s="2">
        <f>SUMIF(Tabela1651118212427303336394245485154576063666972757881581115192225283134374043464952555861646770737682855[Item],"Água completa",Tabela1651118212427303336394245485154576063666972757881581115192225283134374043464952555861646770737682855[QUANTIDADE])</f>
        <v>0</v>
      </c>
      <c r="J42" s="4" t="s">
        <v>5</v>
      </c>
      <c r="K42" s="4" t="s">
        <v>8</v>
      </c>
    </row>
    <row r="43" spans="2:11" x14ac:dyDescent="0.25">
      <c r="B43" s="4" t="s">
        <v>12</v>
      </c>
      <c r="C43" s="2">
        <f>SUMIF(Tabela1651118212427303336394245485154576063666972757881581115192225283134374043464952555861646770737682855[Forma de Pagamento],"Pix",Tabela1651118212427303336394245485154576063666972757881581115192225283134374043464952555861646770737682855[Valor])</f>
        <v>237</v>
      </c>
      <c r="I43" s="4" t="s">
        <v>6</v>
      </c>
      <c r="J43" s="1">
        <f>SUM(J7-E41+N7)</f>
        <v>32</v>
      </c>
      <c r="K43" s="2">
        <f>SUM(K7-E42+O7)</f>
        <v>2</v>
      </c>
    </row>
    <row r="44" spans="2:11" x14ac:dyDescent="0.25">
      <c r="B44" s="4" t="s">
        <v>13</v>
      </c>
      <c r="C44" s="2">
        <f>SUMIF(Tabela1651118212427303336394245485154576063666972757881581115192225283134374043464952555861646770737682855[Forma de Pagamento],"Fiado",Tabela1651118212427303336394245485154576063666972757881581115192225283134374043464952555861646770737682855[Valor])</f>
        <v>300</v>
      </c>
      <c r="D44" s="4" t="s">
        <v>14</v>
      </c>
      <c r="E44" s="7">
        <f>SUM(F3-J31+C41+N31)</f>
        <v>544</v>
      </c>
      <c r="I44" s="4" t="s">
        <v>7</v>
      </c>
      <c r="J44" s="2">
        <f>SUM(J8+E41-N7)-G41</f>
        <v>9</v>
      </c>
      <c r="K44" s="2">
        <f>SUM(K8+E42-O7)-G42</f>
        <v>14</v>
      </c>
    </row>
  </sheetData>
  <dataValidations count="2">
    <dataValidation type="list" allowBlank="1" showInputMessage="1" showErrorMessage="1" sqref="F7:F36" xr:uid="{4B53D7A9-9CE5-4878-9BD3-DE7994A2EBB7}">
      <formula1>"Dinheiro,Cartão,Pix,Fiado,Pago"</formula1>
    </dataValidation>
    <dataValidation type="list" allowBlank="1" showInputMessage="1" showErrorMessage="1" sqref="B18:B36 B7:B16" xr:uid="{71B47E54-5922-4050-BC32-562E0488C832}">
      <formula1>"Gás,Água,Gás completo,Água completa,Gás e Água, Recebimento"</formula1>
    </dataValidation>
  </dataValidations>
  <pageMargins left="0.511811024" right="0.511811024" top="0.78740157499999996" bottom="0.78740157499999996" header="0.31496062000000002" footer="0.31496062000000002"/>
  <pageSetup paperSize="0" orientation="portrait" horizontalDpi="203" verticalDpi="203" r:id="rId1"/>
  <drawing r:id="rId2"/>
  <tableParts count="3"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3AEC0-30D4-42A4-B4AD-9AA215527FBF}">
  <dimension ref="B2:O44"/>
  <sheetViews>
    <sheetView showGridLines="0" workbookViewId="0">
      <selection activeCell="C24" sqref="C24"/>
    </sheetView>
  </sheetViews>
  <sheetFormatPr defaultRowHeight="15" x14ac:dyDescent="0.25"/>
  <cols>
    <col min="2" max="2" width="14.7109375" customWidth="1"/>
    <col min="3" max="3" width="38.140625" customWidth="1"/>
    <col min="4" max="4" width="19.85546875" customWidth="1"/>
    <col min="5" max="5" width="21.85546875" customWidth="1"/>
    <col min="6" max="6" width="25.85546875" customWidth="1"/>
    <col min="7" max="7" width="16.7109375" customWidth="1"/>
    <col min="8" max="8" width="11.28515625" customWidth="1"/>
    <col min="9" max="9" width="21.85546875" customWidth="1"/>
    <col min="10" max="10" width="13.5703125" customWidth="1"/>
    <col min="11" max="11" width="12.28515625" customWidth="1"/>
    <col min="12" max="12" width="8.5703125" customWidth="1"/>
    <col min="13" max="13" width="19.7109375" customWidth="1"/>
    <col min="14" max="14" width="15.5703125" customWidth="1"/>
    <col min="15" max="15" width="13" customWidth="1"/>
  </cols>
  <sheetData>
    <row r="2" spans="2:15" ht="15.75" x14ac:dyDescent="0.25">
      <c r="E2" s="10" t="s">
        <v>4</v>
      </c>
      <c r="F2" s="3">
        <v>45196</v>
      </c>
    </row>
    <row r="3" spans="2:15" ht="15.75" x14ac:dyDescent="0.25">
      <c r="E3" s="10" t="s">
        <v>15</v>
      </c>
      <c r="F3" s="7"/>
    </row>
    <row r="4" spans="2:15" x14ac:dyDescent="0.25">
      <c r="J4" t="s">
        <v>19</v>
      </c>
      <c r="M4" t="s">
        <v>24</v>
      </c>
    </row>
    <row r="6" spans="2:15" x14ac:dyDescent="0.25">
      <c r="B6" s="6" t="s">
        <v>9</v>
      </c>
      <c r="C6" s="6" t="s">
        <v>0</v>
      </c>
      <c r="D6" s="6" t="s">
        <v>1</v>
      </c>
      <c r="E6" s="6" t="s">
        <v>2</v>
      </c>
      <c r="F6" s="6" t="s">
        <v>3</v>
      </c>
      <c r="G6" s="6" t="s">
        <v>26</v>
      </c>
      <c r="J6" s="4" t="s">
        <v>5</v>
      </c>
      <c r="K6" s="4" t="s">
        <v>8</v>
      </c>
      <c r="N6" s="4" t="s">
        <v>5</v>
      </c>
      <c r="O6" s="4" t="s">
        <v>8</v>
      </c>
    </row>
    <row r="7" spans="2:15" x14ac:dyDescent="0.25">
      <c r="B7" s="1" t="s">
        <v>5</v>
      </c>
      <c r="C7" s="1"/>
      <c r="D7" s="1"/>
      <c r="E7" s="8">
        <v>200</v>
      </c>
      <c r="F7" s="1" t="s">
        <v>11</v>
      </c>
      <c r="G7" s="1">
        <v>2</v>
      </c>
      <c r="I7" s="4" t="s">
        <v>6</v>
      </c>
      <c r="J7" s="1">
        <v>19</v>
      </c>
      <c r="K7" s="11">
        <v>28</v>
      </c>
      <c r="M7" s="4" t="s">
        <v>23</v>
      </c>
      <c r="N7" s="11">
        <v>20</v>
      </c>
      <c r="O7" s="11"/>
    </row>
    <row r="8" spans="2:15" x14ac:dyDescent="0.25">
      <c r="B8" s="1" t="s">
        <v>5</v>
      </c>
      <c r="C8" s="1"/>
      <c r="D8" s="1"/>
      <c r="E8" s="8">
        <v>95</v>
      </c>
      <c r="F8" s="1" t="s">
        <v>12</v>
      </c>
      <c r="G8" s="1">
        <v>1</v>
      </c>
      <c r="I8" s="4" t="s">
        <v>7</v>
      </c>
      <c r="J8" s="11">
        <v>22</v>
      </c>
      <c r="K8" s="11">
        <v>13</v>
      </c>
    </row>
    <row r="9" spans="2:15" x14ac:dyDescent="0.25">
      <c r="B9" s="1" t="s">
        <v>8</v>
      </c>
      <c r="C9" s="1"/>
      <c r="D9" s="1"/>
      <c r="E9" s="8">
        <v>9</v>
      </c>
      <c r="F9" s="1" t="s">
        <v>12</v>
      </c>
      <c r="G9" s="1">
        <v>1</v>
      </c>
    </row>
    <row r="10" spans="2:15" x14ac:dyDescent="0.25">
      <c r="B10" s="1" t="s">
        <v>5</v>
      </c>
      <c r="C10" s="1"/>
      <c r="D10" s="1"/>
      <c r="E10" s="8">
        <v>100</v>
      </c>
      <c r="F10" s="1" t="s">
        <v>11</v>
      </c>
      <c r="G10" s="1">
        <v>1</v>
      </c>
    </row>
    <row r="11" spans="2:15" x14ac:dyDescent="0.25">
      <c r="B11" s="1" t="s">
        <v>5</v>
      </c>
      <c r="C11" s="1" t="s">
        <v>444</v>
      </c>
      <c r="D11" s="1"/>
      <c r="E11" s="8">
        <v>90</v>
      </c>
      <c r="F11" s="1" t="s">
        <v>11</v>
      </c>
      <c r="G11" s="1">
        <v>1</v>
      </c>
    </row>
    <row r="12" spans="2:15" x14ac:dyDescent="0.25">
      <c r="B12" s="1" t="s">
        <v>5</v>
      </c>
      <c r="C12" s="1" t="s">
        <v>443</v>
      </c>
      <c r="D12" s="1"/>
      <c r="E12" s="8">
        <v>100</v>
      </c>
      <c r="F12" s="1" t="s">
        <v>11</v>
      </c>
      <c r="G12" s="1">
        <v>1</v>
      </c>
    </row>
    <row r="13" spans="2:15" x14ac:dyDescent="0.25">
      <c r="B13" s="1" t="s">
        <v>5</v>
      </c>
      <c r="C13" s="1" t="s">
        <v>285</v>
      </c>
      <c r="D13" s="1"/>
      <c r="E13" s="8">
        <v>100</v>
      </c>
      <c r="F13" s="1" t="s">
        <v>13</v>
      </c>
      <c r="G13" s="1">
        <v>1</v>
      </c>
      <c r="I13" t="s">
        <v>21</v>
      </c>
    </row>
    <row r="14" spans="2:15" x14ac:dyDescent="0.25">
      <c r="B14" s="1" t="s">
        <v>8</v>
      </c>
      <c r="C14" s="1"/>
      <c r="D14" s="1"/>
      <c r="E14" s="8">
        <v>18</v>
      </c>
      <c r="F14" s="1"/>
      <c r="G14" s="1">
        <v>2</v>
      </c>
    </row>
    <row r="15" spans="2:15" x14ac:dyDescent="0.25">
      <c r="B15" s="1" t="s">
        <v>8</v>
      </c>
      <c r="C15" s="1"/>
      <c r="D15" s="1"/>
      <c r="E15" s="8">
        <v>18</v>
      </c>
      <c r="F15" s="1"/>
      <c r="G15" s="1">
        <v>2</v>
      </c>
    </row>
    <row r="16" spans="2:15" x14ac:dyDescent="0.25">
      <c r="B16" s="1" t="s">
        <v>8</v>
      </c>
      <c r="C16" s="1"/>
      <c r="D16" s="1"/>
      <c r="E16" s="8">
        <v>9</v>
      </c>
      <c r="F16" s="1"/>
      <c r="G16" s="1">
        <v>1</v>
      </c>
      <c r="I16" s="5" t="s">
        <v>43</v>
      </c>
      <c r="J16" s="5" t="s">
        <v>44</v>
      </c>
      <c r="M16" s="5" t="s">
        <v>18</v>
      </c>
      <c r="N16" s="5" t="s">
        <v>2</v>
      </c>
    </row>
    <row r="17" spans="2:14" x14ac:dyDescent="0.25">
      <c r="B17" s="1" t="s">
        <v>8</v>
      </c>
      <c r="C17" s="1"/>
      <c r="D17" s="1"/>
      <c r="E17" s="8">
        <v>9</v>
      </c>
      <c r="F17" s="1"/>
      <c r="G17" s="1">
        <v>1</v>
      </c>
      <c r="I17" s="5"/>
      <c r="J17" s="7"/>
      <c r="M17" s="5"/>
      <c r="N17" s="12"/>
    </row>
    <row r="18" spans="2:14" x14ac:dyDescent="0.25">
      <c r="B18" s="1" t="s">
        <v>5</v>
      </c>
      <c r="C18" s="1"/>
      <c r="D18" s="1"/>
      <c r="E18" s="8">
        <v>95</v>
      </c>
      <c r="F18" s="1" t="s">
        <v>10</v>
      </c>
      <c r="G18" s="1">
        <v>1</v>
      </c>
      <c r="I18" s="5"/>
      <c r="J18" s="12"/>
      <c r="M18" s="5"/>
      <c r="N18" s="12"/>
    </row>
    <row r="19" spans="2:14" x14ac:dyDescent="0.25">
      <c r="B19" s="1" t="s">
        <v>5</v>
      </c>
      <c r="C19" s="1">
        <v>51</v>
      </c>
      <c r="D19" s="1" t="s">
        <v>51</v>
      </c>
      <c r="E19" s="8">
        <v>100</v>
      </c>
      <c r="F19" s="1" t="s">
        <v>12</v>
      </c>
      <c r="G19" s="1">
        <v>1</v>
      </c>
      <c r="I19" s="5"/>
      <c r="J19" s="12"/>
      <c r="M19" s="5"/>
      <c r="N19" s="12"/>
    </row>
    <row r="20" spans="2:14" x14ac:dyDescent="0.25">
      <c r="B20" s="1"/>
      <c r="C20" s="1"/>
      <c r="D20" s="1"/>
      <c r="E20" s="8"/>
      <c r="F20" s="1"/>
      <c r="G20" s="1"/>
      <c r="I20" s="5"/>
      <c r="J20" s="12"/>
      <c r="M20" s="5"/>
      <c r="N20" s="12"/>
    </row>
    <row r="21" spans="2:14" x14ac:dyDescent="0.25">
      <c r="B21" s="1"/>
      <c r="C21" s="1"/>
      <c r="D21" s="1"/>
      <c r="E21" s="8"/>
      <c r="F21" s="1"/>
      <c r="G21" s="1"/>
      <c r="I21" s="5"/>
      <c r="J21" s="12"/>
      <c r="M21" s="5"/>
      <c r="N21" s="12"/>
    </row>
    <row r="22" spans="2:14" x14ac:dyDescent="0.25">
      <c r="B22" s="1"/>
      <c r="C22" s="1"/>
      <c r="D22" s="1"/>
      <c r="E22" s="8"/>
      <c r="F22" s="1"/>
      <c r="G22" s="1"/>
      <c r="I22" s="5"/>
      <c r="J22" s="12"/>
      <c r="M22" s="5"/>
      <c r="N22" s="12"/>
    </row>
    <row r="23" spans="2:14" x14ac:dyDescent="0.25">
      <c r="B23" s="1"/>
      <c r="C23" s="1"/>
      <c r="D23" s="1"/>
      <c r="E23" s="8"/>
      <c r="F23" s="1"/>
      <c r="G23" s="1"/>
      <c r="I23" s="5"/>
      <c r="J23" s="12"/>
      <c r="M23" s="5"/>
      <c r="N23" s="12"/>
    </row>
    <row r="24" spans="2:14" x14ac:dyDescent="0.25">
      <c r="B24" s="1"/>
      <c r="C24" s="1"/>
      <c r="D24" s="1"/>
      <c r="E24" s="8"/>
      <c r="F24" s="1"/>
      <c r="G24" s="25"/>
      <c r="I24" s="5"/>
      <c r="J24" s="12"/>
      <c r="L24" s="14"/>
      <c r="M24" s="5"/>
      <c r="N24" s="12"/>
    </row>
    <row r="25" spans="2:14" x14ac:dyDescent="0.25">
      <c r="B25" s="1"/>
      <c r="C25" s="1"/>
      <c r="D25" s="1"/>
      <c r="E25" s="8"/>
      <c r="F25" s="1"/>
      <c r="G25" s="1"/>
      <c r="I25" s="5"/>
      <c r="J25" s="12"/>
      <c r="M25" s="5"/>
      <c r="N25" s="12"/>
    </row>
    <row r="26" spans="2:14" x14ac:dyDescent="0.25">
      <c r="B26" s="1"/>
      <c r="C26" s="1"/>
      <c r="D26" s="1"/>
      <c r="E26" s="8"/>
      <c r="F26" s="1"/>
      <c r="G26" s="1"/>
      <c r="I26" s="5"/>
      <c r="J26" s="12"/>
      <c r="M26" s="5"/>
      <c r="N26" s="12"/>
    </row>
    <row r="27" spans="2:14" x14ac:dyDescent="0.25">
      <c r="B27" s="1"/>
      <c r="C27" s="1"/>
      <c r="D27" s="1"/>
      <c r="E27" s="8"/>
      <c r="F27" s="1"/>
      <c r="G27" s="1"/>
      <c r="I27" s="5"/>
      <c r="J27" s="12"/>
      <c r="M27" s="5"/>
      <c r="N27" s="12"/>
    </row>
    <row r="28" spans="2:14" x14ac:dyDescent="0.25">
      <c r="B28" s="1"/>
      <c r="C28" s="1"/>
      <c r="D28" s="1"/>
      <c r="E28" s="8"/>
      <c r="F28" s="1"/>
      <c r="G28" s="1"/>
      <c r="I28" s="5"/>
      <c r="J28" s="12"/>
      <c r="M28" s="5"/>
      <c r="N28" s="12"/>
    </row>
    <row r="29" spans="2:14" x14ac:dyDescent="0.25">
      <c r="B29" s="1"/>
      <c r="C29" s="1"/>
      <c r="D29" s="1"/>
      <c r="E29" s="8"/>
      <c r="F29" s="1"/>
      <c r="G29" s="1"/>
      <c r="I29" s="5"/>
      <c r="J29" s="12"/>
      <c r="M29" s="5"/>
      <c r="N29" s="12"/>
    </row>
    <row r="30" spans="2:14" x14ac:dyDescent="0.25">
      <c r="B30" s="1"/>
      <c r="C30" s="1"/>
      <c r="D30" s="1"/>
      <c r="E30" s="8"/>
      <c r="F30" s="1"/>
      <c r="G30" s="1"/>
      <c r="I30" s="5"/>
      <c r="J30" s="5"/>
    </row>
    <row r="31" spans="2:14" ht="18.75" x14ac:dyDescent="0.4">
      <c r="B31" s="1"/>
      <c r="C31" s="1"/>
      <c r="D31" s="1"/>
      <c r="E31" s="8"/>
      <c r="F31" s="1"/>
      <c r="G31" s="1"/>
      <c r="I31" s="13" t="s">
        <v>22</v>
      </c>
      <c r="J31" s="15">
        <f>SUM(Tabela27812151922252831343740434649525558616467707376792691217202326293235384144475053565962656871747783269121720232629323538414447505356596265687174778086[valor])</f>
        <v>0</v>
      </c>
      <c r="M31" s="13" t="s">
        <v>42</v>
      </c>
      <c r="N31" s="15">
        <f>SUM(Tabela278121317202326293235384144475053565962656871747780371013182124273033363942454851545760636669727578843710131821242730333639424548515457606366697275788187[Valor])</f>
        <v>0</v>
      </c>
    </row>
    <row r="32" spans="2:14" x14ac:dyDescent="0.25">
      <c r="B32" s="1"/>
      <c r="C32" s="1"/>
      <c r="D32" s="1"/>
      <c r="E32" s="8"/>
      <c r="F32" s="1"/>
      <c r="G32" s="1"/>
      <c r="I32" s="5"/>
      <c r="J32" s="5"/>
    </row>
    <row r="33" spans="2:11" x14ac:dyDescent="0.25">
      <c r="B33" s="1"/>
      <c r="C33" s="1"/>
      <c r="D33" s="1"/>
      <c r="E33" s="8"/>
      <c r="F33" s="1"/>
      <c r="G33" s="1"/>
      <c r="I33" s="5"/>
      <c r="J33" s="5"/>
    </row>
    <row r="34" spans="2:11" x14ac:dyDescent="0.25">
      <c r="B34" s="1"/>
      <c r="C34" s="1"/>
      <c r="D34" s="1"/>
      <c r="E34" s="8"/>
      <c r="F34" s="1"/>
      <c r="G34" s="1"/>
      <c r="I34" s="5"/>
      <c r="J34" s="5"/>
    </row>
    <row r="35" spans="2:11" x14ac:dyDescent="0.25">
      <c r="B35" s="1"/>
      <c r="C35" s="1"/>
      <c r="D35" s="1"/>
      <c r="E35" s="8"/>
      <c r="F35" s="1"/>
      <c r="G35" s="1"/>
      <c r="I35" s="5"/>
      <c r="J35" s="5"/>
    </row>
    <row r="36" spans="2:11" x14ac:dyDescent="0.25">
      <c r="B36" s="1"/>
      <c r="C36" s="1"/>
      <c r="D36" s="1"/>
      <c r="E36" s="8"/>
      <c r="F36" s="1"/>
      <c r="G36" s="1"/>
      <c r="J36" s="5"/>
    </row>
    <row r="37" spans="2:11" x14ac:dyDescent="0.25">
      <c r="I37" s="5"/>
    </row>
    <row r="39" spans="2:11" x14ac:dyDescent="0.25">
      <c r="I39" s="9"/>
    </row>
    <row r="40" spans="2:11" x14ac:dyDescent="0.25">
      <c r="I40" t="s">
        <v>20</v>
      </c>
    </row>
    <row r="41" spans="2:11" x14ac:dyDescent="0.25">
      <c r="B41" s="4" t="s">
        <v>10</v>
      </c>
      <c r="C41" s="2">
        <f>SUMIF(Tabela1651118212427303336394245485154576063666972757881581115192225283134374043464952555861646770737682855811151922252831343740434649525558616467707376798288[Forma de Pagamento],"Dinheiro",Tabela1651118212427303336394245485154576063666972757881581115192225283134374043464952555861646770737682855811151922252831343740434649525558616467707376798288[Valor])</f>
        <v>95</v>
      </c>
      <c r="D41" s="4" t="s">
        <v>16</v>
      </c>
      <c r="E41" s="2">
        <f>SUMIF(Tabela1651118212427303336394245485154576063666972757881581115192225283134374043464952555861646770737682855811151922252831343740434649525558616467707376798288[Item],"Gás",Tabela1651118212427303336394245485154576063666972757881581115192225283134374043464952555861646770737682855811151922252831343740434649525558616467707376798288[QUANTIDADE])+G41</f>
        <v>9</v>
      </c>
      <c r="F41" s="4" t="s">
        <v>25</v>
      </c>
      <c r="G41" s="2">
        <f>SUMIF(Tabela1651118212427303336394245485154576063666972757881581115192225283134374043464952555861646770737682855811151922252831343740434649525558616467707376798288[Item],"Gás completo",Tabela1651118212427303336394245485154576063666972757881581115192225283134374043464952555861646770737682855811151922252831343740434649525558616467707376798288[QUANTIDADE])</f>
        <v>0</v>
      </c>
    </row>
    <row r="42" spans="2:11" x14ac:dyDescent="0.25">
      <c r="B42" s="4" t="s">
        <v>11</v>
      </c>
      <c r="C42" s="2">
        <f>SUMIF(Tabela1651118212427303336394245485154576063666972757881581115192225283134374043464952555861646770737682855811151922252831343740434649525558616467707376798288[Forma de Pagamento],"Cartão",Tabela1651118212427303336394245485154576063666972757881581115192225283134374043464952555861646770737682855811151922252831343740434649525558616467707376798288[Valor])</f>
        <v>490</v>
      </c>
      <c r="D42" s="4" t="s">
        <v>17</v>
      </c>
      <c r="E42" s="2">
        <f>SUMIF(Tabela1651118212427303336394245485154576063666972757881581115192225283134374043464952555861646770737682855811151922252831343740434649525558616467707376798288[Item],"Água",Tabela1651118212427303336394245485154576063666972757881581115192225283134374043464952555861646770737682855811151922252831343740434649525558616467707376798288[QUANTIDADE])+G42</f>
        <v>7</v>
      </c>
      <c r="F42" s="4" t="s">
        <v>27</v>
      </c>
      <c r="G42" s="2">
        <f>SUMIF(Tabela1651118212427303336394245485154576063666972757881581115192225283134374043464952555861646770737682855811151922252831343740434649525558616467707376798288[Item],"Água completa",Tabela1651118212427303336394245485154576063666972757881581115192225283134374043464952555861646770737682855811151922252831343740434649525558616467707376798288[QUANTIDADE])</f>
        <v>0</v>
      </c>
      <c r="J42" s="4" t="s">
        <v>5</v>
      </c>
      <c r="K42" s="4" t="s">
        <v>8</v>
      </c>
    </row>
    <row r="43" spans="2:11" x14ac:dyDescent="0.25">
      <c r="B43" s="4" t="s">
        <v>12</v>
      </c>
      <c r="C43" s="2">
        <f>SUMIF(Tabela1651118212427303336394245485154576063666972757881581115192225283134374043464952555861646770737682855811151922252831343740434649525558616467707376798288[Forma de Pagamento],"Pix",Tabela1651118212427303336394245485154576063666972757881581115192225283134374043464952555861646770737682855811151922252831343740434649525558616467707376798288[Valor])</f>
        <v>204</v>
      </c>
      <c r="I43" s="4" t="s">
        <v>6</v>
      </c>
      <c r="J43" s="1">
        <f>SUM(J7-E41+N7)</f>
        <v>30</v>
      </c>
      <c r="K43" s="2">
        <f>SUM(K7-E42+O7)</f>
        <v>21</v>
      </c>
    </row>
    <row r="44" spans="2:11" x14ac:dyDescent="0.25">
      <c r="B44" s="4" t="s">
        <v>13</v>
      </c>
      <c r="C44" s="2">
        <f>SUMIF(Tabela1651118212427303336394245485154576063666972757881581115192225283134374043464952555861646770737682855811151922252831343740434649525558616467707376798288[Forma de Pagamento],"Fiado",Tabela1651118212427303336394245485154576063666972757881581115192225283134374043464952555861646770737682855811151922252831343740434649525558616467707376798288[Valor])</f>
        <v>100</v>
      </c>
      <c r="D44" s="4" t="s">
        <v>14</v>
      </c>
      <c r="E44" s="7">
        <f>SUM(F3-J31+C41+N31)</f>
        <v>95</v>
      </c>
      <c r="I44" s="4" t="s">
        <v>7</v>
      </c>
      <c r="J44" s="2">
        <f>SUM(J8+E41-N7)-G41</f>
        <v>11</v>
      </c>
      <c r="K44" s="2">
        <f>SUM(K8+E42-O7)-G42</f>
        <v>20</v>
      </c>
    </row>
  </sheetData>
  <dataValidations count="2">
    <dataValidation type="list" allowBlank="1" showInputMessage="1" showErrorMessage="1" sqref="F7:F36" xr:uid="{0BE5B484-523E-4362-8264-93A11BF3EDA7}">
      <formula1>"Dinheiro,Cartão,Pix,Fiado,Pago"</formula1>
    </dataValidation>
    <dataValidation type="list" allowBlank="1" showInputMessage="1" showErrorMessage="1" sqref="B7:B16 B18:B36" xr:uid="{AF3FF337-122F-47C1-A644-FF693377E623}">
      <formula1>"Gás,Água,Gás completo,Água completa,Gás e Água, Recebimento"</formula1>
    </dataValidation>
  </dataValidations>
  <pageMargins left="0.511811024" right="0.511811024" top="0.78740157499999996" bottom="0.78740157499999996" header="0.31496062000000002" footer="0.31496062000000002"/>
  <pageSetup paperSize="0" orientation="portrait" horizontalDpi="203" verticalDpi="203" r:id="rId1"/>
  <drawing r:id="rId2"/>
  <tableParts count="3">
    <tablePart r:id="rId3"/>
    <tablePart r:id="rId4"/>
    <tablePart r:id="rId5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66F50-F2EB-45F8-93C9-695DEEB8E063}">
  <dimension ref="B2:O44"/>
  <sheetViews>
    <sheetView showGridLines="0" workbookViewId="0">
      <selection activeCell="D8" sqref="D8"/>
    </sheetView>
  </sheetViews>
  <sheetFormatPr defaultRowHeight="15" x14ac:dyDescent="0.25"/>
  <cols>
    <col min="2" max="2" width="14.7109375" customWidth="1"/>
    <col min="3" max="3" width="38.140625" customWidth="1"/>
    <col min="4" max="4" width="19.85546875" customWidth="1"/>
    <col min="5" max="5" width="21.85546875" customWidth="1"/>
    <col min="6" max="6" width="25.85546875" customWidth="1"/>
    <col min="7" max="7" width="16.7109375" customWidth="1"/>
    <col min="8" max="8" width="11.28515625" customWidth="1"/>
    <col min="9" max="9" width="21.85546875" customWidth="1"/>
    <col min="10" max="10" width="13.5703125" customWidth="1"/>
    <col min="11" max="11" width="12.28515625" customWidth="1"/>
    <col min="12" max="12" width="8.5703125" customWidth="1"/>
    <col min="13" max="13" width="19.7109375" customWidth="1"/>
    <col min="14" max="14" width="15.5703125" customWidth="1"/>
    <col min="15" max="15" width="13" customWidth="1"/>
  </cols>
  <sheetData>
    <row r="2" spans="2:15" ht="15.75" x14ac:dyDescent="0.25">
      <c r="E2" s="10" t="s">
        <v>4</v>
      </c>
      <c r="F2" s="3">
        <v>45170</v>
      </c>
    </row>
    <row r="3" spans="2:15" ht="15.75" x14ac:dyDescent="0.25">
      <c r="E3" s="10" t="s">
        <v>15</v>
      </c>
      <c r="F3" s="7">
        <v>390</v>
      </c>
    </row>
    <row r="4" spans="2:15" x14ac:dyDescent="0.25">
      <c r="J4" t="s">
        <v>19</v>
      </c>
      <c r="M4" t="s">
        <v>24</v>
      </c>
    </row>
    <row r="6" spans="2:15" x14ac:dyDescent="0.25">
      <c r="B6" s="6" t="s">
        <v>9</v>
      </c>
      <c r="C6" s="6" t="s">
        <v>0</v>
      </c>
      <c r="D6" s="6" t="s">
        <v>1</v>
      </c>
      <c r="E6" s="6" t="s">
        <v>2</v>
      </c>
      <c r="F6" s="6" t="s">
        <v>3</v>
      </c>
      <c r="G6" s="6" t="s">
        <v>26</v>
      </c>
      <c r="J6" s="4" t="s">
        <v>5</v>
      </c>
      <c r="K6" s="4" t="s">
        <v>8</v>
      </c>
      <c r="N6" s="4" t="s">
        <v>5</v>
      </c>
      <c r="O6" s="4" t="s">
        <v>8</v>
      </c>
    </row>
    <row r="7" spans="2:15" x14ac:dyDescent="0.25">
      <c r="B7" s="1" t="s">
        <v>5</v>
      </c>
      <c r="C7" s="1" t="s">
        <v>70</v>
      </c>
      <c r="D7" s="1" t="s">
        <v>254</v>
      </c>
      <c r="E7" s="8">
        <v>100</v>
      </c>
      <c r="F7" s="1" t="s">
        <v>12</v>
      </c>
      <c r="G7" s="1">
        <v>1</v>
      </c>
      <c r="I7" s="4" t="s">
        <v>6</v>
      </c>
      <c r="J7" s="1">
        <v>26</v>
      </c>
      <c r="K7" s="11">
        <v>13</v>
      </c>
      <c r="M7" s="4" t="s">
        <v>23</v>
      </c>
      <c r="N7" s="11">
        <v>18</v>
      </c>
      <c r="O7" s="11"/>
    </row>
    <row r="8" spans="2:15" x14ac:dyDescent="0.25">
      <c r="B8" s="1" t="s">
        <v>5</v>
      </c>
      <c r="C8" s="1" t="s">
        <v>71</v>
      </c>
      <c r="D8" s="1" t="s">
        <v>463</v>
      </c>
      <c r="E8" s="8">
        <v>100</v>
      </c>
      <c r="F8" s="1" t="s">
        <v>13</v>
      </c>
      <c r="G8" s="1">
        <v>1</v>
      </c>
      <c r="I8" s="4" t="s">
        <v>7</v>
      </c>
      <c r="J8" s="11">
        <v>16</v>
      </c>
      <c r="K8" s="11">
        <v>4</v>
      </c>
    </row>
    <row r="9" spans="2:15" x14ac:dyDescent="0.25">
      <c r="B9" s="1" t="s">
        <v>5</v>
      </c>
      <c r="C9" s="1" t="s">
        <v>72</v>
      </c>
      <c r="D9" s="1" t="s">
        <v>159</v>
      </c>
      <c r="E9" s="8">
        <v>100</v>
      </c>
      <c r="F9" s="1" t="s">
        <v>10</v>
      </c>
      <c r="G9" s="1">
        <v>1</v>
      </c>
    </row>
    <row r="10" spans="2:15" x14ac:dyDescent="0.25">
      <c r="B10" s="1" t="s">
        <v>5</v>
      </c>
      <c r="C10" s="1" t="s">
        <v>73</v>
      </c>
      <c r="D10" s="1" t="s">
        <v>51</v>
      </c>
      <c r="E10" s="8">
        <v>95</v>
      </c>
      <c r="F10" s="1" t="s">
        <v>10</v>
      </c>
      <c r="G10" s="1">
        <v>1</v>
      </c>
    </row>
    <row r="11" spans="2:15" x14ac:dyDescent="0.25">
      <c r="B11" s="1" t="s">
        <v>5</v>
      </c>
      <c r="C11" s="1" t="s">
        <v>74</v>
      </c>
      <c r="D11" s="1" t="s">
        <v>467</v>
      </c>
      <c r="E11" s="8">
        <v>50</v>
      </c>
      <c r="F11" s="1" t="s">
        <v>10</v>
      </c>
      <c r="G11" s="1">
        <v>1</v>
      </c>
    </row>
    <row r="12" spans="2:15" x14ac:dyDescent="0.25">
      <c r="B12" s="1" t="s">
        <v>5</v>
      </c>
      <c r="C12" s="1" t="s">
        <v>75</v>
      </c>
      <c r="D12" s="1" t="s">
        <v>463</v>
      </c>
      <c r="E12" s="8">
        <v>95</v>
      </c>
      <c r="F12" s="1" t="s">
        <v>12</v>
      </c>
      <c r="G12" s="1">
        <v>1</v>
      </c>
    </row>
    <row r="13" spans="2:15" x14ac:dyDescent="0.25">
      <c r="B13" s="1" t="s">
        <v>5</v>
      </c>
      <c r="C13" s="1" t="s">
        <v>76</v>
      </c>
      <c r="D13" s="1" t="s">
        <v>254</v>
      </c>
      <c r="E13" s="8">
        <v>100</v>
      </c>
      <c r="F13" s="1" t="s">
        <v>11</v>
      </c>
      <c r="G13" s="1">
        <v>1</v>
      </c>
      <c r="I13" t="s">
        <v>21</v>
      </c>
    </row>
    <row r="14" spans="2:15" x14ac:dyDescent="0.25">
      <c r="B14" s="1" t="s">
        <v>5</v>
      </c>
      <c r="C14" s="1" t="s">
        <v>466</v>
      </c>
      <c r="D14" s="1" t="s">
        <v>51</v>
      </c>
      <c r="E14" s="8">
        <v>100</v>
      </c>
      <c r="F14" s="1"/>
      <c r="G14" s="1">
        <v>1</v>
      </c>
    </row>
    <row r="15" spans="2:15" x14ac:dyDescent="0.25">
      <c r="B15" s="1" t="s">
        <v>8</v>
      </c>
      <c r="C15" s="1" t="s">
        <v>77</v>
      </c>
      <c r="D15" s="1" t="s">
        <v>465</v>
      </c>
      <c r="E15" s="8">
        <v>18</v>
      </c>
      <c r="F15" s="1" t="s">
        <v>13</v>
      </c>
      <c r="G15" s="1">
        <v>2</v>
      </c>
    </row>
    <row r="16" spans="2:15" x14ac:dyDescent="0.25">
      <c r="B16" s="1" t="s">
        <v>5</v>
      </c>
      <c r="C16" s="1" t="s">
        <v>462</v>
      </c>
      <c r="D16" s="1" t="s">
        <v>254</v>
      </c>
      <c r="E16" s="8">
        <v>100</v>
      </c>
      <c r="F16" s="1" t="s">
        <v>12</v>
      </c>
      <c r="G16" s="1">
        <v>1</v>
      </c>
      <c r="I16" s="5" t="s">
        <v>43</v>
      </c>
      <c r="J16" s="5" t="s">
        <v>44</v>
      </c>
      <c r="M16" s="5" t="s">
        <v>18</v>
      </c>
      <c r="N16" s="5" t="s">
        <v>2</v>
      </c>
    </row>
    <row r="17" spans="2:14" x14ac:dyDescent="0.25">
      <c r="B17" s="1" t="s">
        <v>8</v>
      </c>
      <c r="C17" s="1" t="s">
        <v>78</v>
      </c>
      <c r="D17" s="1" t="s">
        <v>51</v>
      </c>
      <c r="E17" s="8">
        <v>18</v>
      </c>
      <c r="F17" s="1"/>
      <c r="G17" s="1">
        <v>1</v>
      </c>
      <c r="I17" s="5"/>
      <c r="J17" s="7">
        <v>570</v>
      </c>
      <c r="M17" s="5"/>
      <c r="N17" s="12">
        <v>110</v>
      </c>
    </row>
    <row r="18" spans="2:14" x14ac:dyDescent="0.25">
      <c r="B18" s="1" t="s">
        <v>8</v>
      </c>
      <c r="C18" s="1" t="s">
        <v>48</v>
      </c>
      <c r="D18" s="1" t="s">
        <v>203</v>
      </c>
      <c r="E18" s="8">
        <v>9</v>
      </c>
      <c r="F18" s="1" t="s">
        <v>13</v>
      </c>
      <c r="G18" s="1">
        <v>1</v>
      </c>
      <c r="I18" s="5"/>
      <c r="J18" s="12">
        <v>25</v>
      </c>
      <c r="M18" s="5"/>
      <c r="N18" s="12">
        <v>100</v>
      </c>
    </row>
    <row r="19" spans="2:14" x14ac:dyDescent="0.25">
      <c r="B19" s="1" t="s">
        <v>5</v>
      </c>
      <c r="C19" s="1" t="s">
        <v>79</v>
      </c>
      <c r="D19" s="1" t="s">
        <v>68</v>
      </c>
      <c r="E19" s="8">
        <v>100</v>
      </c>
      <c r="F19" s="1" t="s">
        <v>11</v>
      </c>
      <c r="G19" s="1">
        <v>1</v>
      </c>
      <c r="I19" s="5"/>
      <c r="J19" s="12"/>
      <c r="M19" s="5"/>
      <c r="N19" s="12"/>
    </row>
    <row r="20" spans="2:14" x14ac:dyDescent="0.25">
      <c r="B20" s="1" t="s">
        <v>5</v>
      </c>
      <c r="C20" s="1" t="s">
        <v>80</v>
      </c>
      <c r="D20" s="1" t="s">
        <v>463</v>
      </c>
      <c r="E20" s="8">
        <v>100</v>
      </c>
      <c r="F20" s="1" t="s">
        <v>11</v>
      </c>
      <c r="G20" s="1">
        <v>1</v>
      </c>
      <c r="I20" s="5"/>
      <c r="J20" s="12"/>
      <c r="M20" s="5"/>
      <c r="N20" s="12"/>
    </row>
    <row r="21" spans="2:14" x14ac:dyDescent="0.25">
      <c r="B21" s="1" t="s">
        <v>25</v>
      </c>
      <c r="C21" s="1" t="s">
        <v>464</v>
      </c>
      <c r="D21" s="1" t="s">
        <v>159</v>
      </c>
      <c r="E21" s="8">
        <v>250</v>
      </c>
      <c r="F21" s="1" t="s">
        <v>10</v>
      </c>
      <c r="G21" s="1">
        <v>1</v>
      </c>
      <c r="I21" s="5"/>
      <c r="J21" s="12"/>
      <c r="M21" s="5"/>
      <c r="N21" s="12"/>
    </row>
    <row r="22" spans="2:14" x14ac:dyDescent="0.25">
      <c r="B22" s="1" t="s">
        <v>5</v>
      </c>
      <c r="C22" s="1" t="s">
        <v>82</v>
      </c>
      <c r="D22" s="1" t="s">
        <v>47</v>
      </c>
      <c r="E22" s="8">
        <v>100</v>
      </c>
      <c r="F22" s="1" t="s">
        <v>12</v>
      </c>
      <c r="G22" s="1">
        <v>1</v>
      </c>
      <c r="I22" s="5"/>
      <c r="J22" s="12"/>
      <c r="M22" s="5"/>
      <c r="N22" s="12"/>
    </row>
    <row r="23" spans="2:14" x14ac:dyDescent="0.25">
      <c r="B23" s="1"/>
      <c r="C23" s="1"/>
      <c r="D23" s="1"/>
      <c r="E23" s="8"/>
      <c r="F23" s="1"/>
      <c r="G23" s="1"/>
      <c r="I23" s="5"/>
      <c r="J23" s="12"/>
      <c r="M23" s="5"/>
      <c r="N23" s="12"/>
    </row>
    <row r="24" spans="2:14" x14ac:dyDescent="0.25">
      <c r="B24" s="1"/>
      <c r="C24" s="1"/>
      <c r="D24" s="1"/>
      <c r="E24" s="8"/>
      <c r="F24" s="1"/>
      <c r="G24" s="1"/>
      <c r="I24" s="5"/>
      <c r="J24" s="12"/>
      <c r="L24" s="14"/>
      <c r="M24" s="5"/>
      <c r="N24" s="12"/>
    </row>
    <row r="25" spans="2:14" x14ac:dyDescent="0.25">
      <c r="B25" s="1"/>
      <c r="C25" s="1"/>
      <c r="D25" s="1"/>
      <c r="E25" s="8"/>
      <c r="F25" s="1"/>
      <c r="G25" s="1"/>
      <c r="I25" s="5"/>
      <c r="J25" s="12"/>
      <c r="M25" s="5"/>
      <c r="N25" s="12"/>
    </row>
    <row r="26" spans="2:14" x14ac:dyDescent="0.25">
      <c r="B26" s="1"/>
      <c r="C26" s="1"/>
      <c r="D26" s="1"/>
      <c r="E26" s="8"/>
      <c r="F26" s="1"/>
      <c r="G26" s="1"/>
      <c r="I26" s="5"/>
      <c r="J26" s="12"/>
      <c r="M26" s="5"/>
      <c r="N26" s="12"/>
    </row>
    <row r="27" spans="2:14" x14ac:dyDescent="0.25">
      <c r="B27" s="1"/>
      <c r="C27" s="1"/>
      <c r="D27" s="1"/>
      <c r="E27" s="8"/>
      <c r="F27" s="1"/>
      <c r="G27" s="1"/>
      <c r="I27" s="5"/>
      <c r="J27" s="12"/>
      <c r="M27" s="5"/>
      <c r="N27" s="12"/>
    </row>
    <row r="28" spans="2:14" x14ac:dyDescent="0.25">
      <c r="B28" s="1"/>
      <c r="C28" s="1"/>
      <c r="D28" s="1"/>
      <c r="E28" s="8"/>
      <c r="F28" s="1"/>
      <c r="G28" s="1"/>
      <c r="I28" s="5"/>
      <c r="J28" s="12"/>
      <c r="M28" s="5"/>
      <c r="N28" s="12"/>
    </row>
    <row r="29" spans="2:14" x14ac:dyDescent="0.25">
      <c r="B29" s="1"/>
      <c r="C29" s="1"/>
      <c r="D29" s="1"/>
      <c r="E29" s="8"/>
      <c r="F29" s="1"/>
      <c r="G29" s="1"/>
      <c r="I29" s="5"/>
      <c r="J29" s="12"/>
      <c r="M29" s="5"/>
      <c r="N29" s="12"/>
    </row>
    <row r="30" spans="2:14" x14ac:dyDescent="0.25">
      <c r="B30" s="1"/>
      <c r="C30" s="1"/>
      <c r="D30" s="1"/>
      <c r="E30" s="8"/>
      <c r="F30" s="1"/>
      <c r="G30" s="1"/>
      <c r="I30" s="5"/>
      <c r="J30" s="5"/>
    </row>
    <row r="31" spans="2:14" ht="18.75" x14ac:dyDescent="0.4">
      <c r="B31" s="1"/>
      <c r="C31" s="1"/>
      <c r="D31" s="1"/>
      <c r="E31" s="8"/>
      <c r="F31" s="1"/>
      <c r="G31" s="1"/>
      <c r="I31" s="13" t="s">
        <v>22</v>
      </c>
      <c r="J31" s="15">
        <f>SUM(Tabela27812151922252831343740434649525558616467707376792691217202326293235384144475053565962656871747783[valor])</f>
        <v>595</v>
      </c>
      <c r="M31" s="13" t="s">
        <v>42</v>
      </c>
      <c r="N31" s="15">
        <f>SUM(Tabela27812131720232629323538414447505356596265687174778037101318212427303336394245485154576063666972757884[Valor])</f>
        <v>210</v>
      </c>
    </row>
    <row r="32" spans="2:14" x14ac:dyDescent="0.25">
      <c r="B32" s="1"/>
      <c r="C32" s="1"/>
      <c r="D32" s="1"/>
      <c r="E32" s="8"/>
      <c r="F32" s="1"/>
      <c r="G32" s="1"/>
      <c r="I32" s="5"/>
      <c r="J32" s="5"/>
    </row>
    <row r="33" spans="2:11" x14ac:dyDescent="0.25">
      <c r="B33" s="1"/>
      <c r="C33" s="1"/>
      <c r="D33" s="1"/>
      <c r="E33" s="8"/>
      <c r="F33" s="1"/>
      <c r="G33" s="1"/>
      <c r="I33" s="5"/>
      <c r="J33" s="5"/>
    </row>
    <row r="34" spans="2:11" x14ac:dyDescent="0.25">
      <c r="B34" s="1"/>
      <c r="C34" s="1" t="s">
        <v>34</v>
      </c>
      <c r="D34" s="1"/>
      <c r="E34" s="8"/>
      <c r="F34" s="1"/>
      <c r="G34" s="1"/>
      <c r="I34" s="5"/>
      <c r="J34" s="5"/>
    </row>
    <row r="35" spans="2:11" x14ac:dyDescent="0.25">
      <c r="B35" s="1"/>
      <c r="C35" s="1"/>
      <c r="D35" s="1"/>
      <c r="E35" s="8"/>
      <c r="F35" s="1"/>
      <c r="G35" s="1"/>
      <c r="I35" s="5"/>
      <c r="J35" s="5"/>
    </row>
    <row r="36" spans="2:11" x14ac:dyDescent="0.25">
      <c r="B36" s="1"/>
      <c r="C36" s="1"/>
      <c r="D36" s="1"/>
      <c r="E36" s="8"/>
      <c r="F36" s="1"/>
      <c r="G36" s="1"/>
      <c r="J36" s="5"/>
    </row>
    <row r="37" spans="2:11" x14ac:dyDescent="0.25">
      <c r="I37" s="5"/>
    </row>
    <row r="39" spans="2:11" x14ac:dyDescent="0.25">
      <c r="I39" s="9"/>
    </row>
    <row r="40" spans="2:11" x14ac:dyDescent="0.25">
      <c r="I40" t="s">
        <v>20</v>
      </c>
    </row>
    <row r="41" spans="2:11" x14ac:dyDescent="0.25">
      <c r="B41" s="4" t="s">
        <v>10</v>
      </c>
      <c r="C41" s="2">
        <f>SUMIF(Tabela165111821242730333639424548515457606366697275788158111519222528313437404346495255586164677073768285[Forma de Pagamento],"Dinheiro",Tabela165111821242730333639424548515457606366697275788158111519222528313437404346495255586164677073768285[Valor])</f>
        <v>495</v>
      </c>
      <c r="D41" s="4" t="s">
        <v>16</v>
      </c>
      <c r="E41" s="2">
        <f>SUMIF(Tabela165111821242730333639424548515457606366697275788158111519222528313437404346495255586164677073768285[Item],"Gás",Tabela165111821242730333639424548515457606366697275788158111519222528313437404346495255586164677073768285[QUANTIDADE])+G41</f>
        <v>13</v>
      </c>
      <c r="F41" s="4" t="s">
        <v>25</v>
      </c>
      <c r="G41" s="2">
        <f>SUMIF(Tabela165111821242730333639424548515457606366697275788158111519222528313437404346495255586164677073768285[Item],"Gás completo",Tabela165111821242730333639424548515457606366697275788158111519222528313437404346495255586164677073768285[QUANTIDADE])</f>
        <v>1</v>
      </c>
    </row>
    <row r="42" spans="2:11" x14ac:dyDescent="0.25">
      <c r="B42" s="4" t="s">
        <v>11</v>
      </c>
      <c r="C42" s="2">
        <f>SUMIF(Tabela165111821242730333639424548515457606366697275788158111519222528313437404346495255586164677073768285[Forma de Pagamento],"Cartão",Tabela165111821242730333639424548515457606366697275788158111519222528313437404346495255586164677073768285[Valor])</f>
        <v>300</v>
      </c>
      <c r="D42" s="4" t="s">
        <v>17</v>
      </c>
      <c r="E42" s="2">
        <f>SUMIF(Tabela165111821242730333639424548515457606366697275788158111519222528313437404346495255586164677073768285[Item],"Água",Tabela165111821242730333639424548515457606366697275788158111519222528313437404346495255586164677073768285[QUANTIDADE])+G42</f>
        <v>4</v>
      </c>
      <c r="F42" s="4" t="s">
        <v>27</v>
      </c>
      <c r="G42" s="2">
        <f>SUMIF(Tabela165111821242730333639424548515457606366697275788158111519222528313437404346495255586164677073768285[Item],"Água completa",Tabela165111821242730333639424548515457606366697275788158111519222528313437404346495255586164677073768285[QUANTIDADE])</f>
        <v>0</v>
      </c>
      <c r="J42" s="4" t="s">
        <v>5</v>
      </c>
      <c r="K42" s="4" t="s">
        <v>8</v>
      </c>
    </row>
    <row r="43" spans="2:11" x14ac:dyDescent="0.25">
      <c r="B43" s="4" t="s">
        <v>12</v>
      </c>
      <c r="C43" s="2">
        <f>SUMIF(Tabela165111821242730333639424548515457606366697275788158111519222528313437404346495255586164677073768285[Forma de Pagamento],"Pix",Tabela165111821242730333639424548515457606366697275788158111519222528313437404346495255586164677073768285[Valor])</f>
        <v>395</v>
      </c>
      <c r="I43" s="4" t="s">
        <v>6</v>
      </c>
      <c r="J43" s="1">
        <f>SUM(J7-E41+N7)</f>
        <v>31</v>
      </c>
      <c r="K43" s="2">
        <f>SUM(K7-E42+O7)</f>
        <v>9</v>
      </c>
    </row>
    <row r="44" spans="2:11" x14ac:dyDescent="0.25">
      <c r="B44" s="4" t="s">
        <v>13</v>
      </c>
      <c r="C44" s="2">
        <f>SUMIF(Tabela165111821242730333639424548515457606366697275788158111519222528313437404346495255586164677073768285[Forma de Pagamento],"Fiado",Tabela165111821242730333639424548515457606366697275788158111519222528313437404346495255586164677073768285[Valor])</f>
        <v>127</v>
      </c>
      <c r="D44" s="4" t="s">
        <v>14</v>
      </c>
      <c r="E44" s="7">
        <f>SUM(F3-J31+C41+N31)</f>
        <v>500</v>
      </c>
      <c r="I44" s="4" t="s">
        <v>7</v>
      </c>
      <c r="J44" s="2">
        <f>SUM(J8+E41-N7)-G41</f>
        <v>10</v>
      </c>
      <c r="K44" s="2">
        <f>SUM(K8+E42-O7)-G42</f>
        <v>8</v>
      </c>
    </row>
  </sheetData>
  <dataValidations count="2">
    <dataValidation type="list" allowBlank="1" showInputMessage="1" showErrorMessage="1" sqref="B18:B36 B7:B16" xr:uid="{E38259A1-B0A7-4730-A1BB-8965ED8B5B41}">
      <formula1>"Gás,Água,Gás completo,Água completa,Gás e Água, Recebimento"</formula1>
    </dataValidation>
    <dataValidation type="list" allowBlank="1" showInputMessage="1" showErrorMessage="1" sqref="F7:F36" xr:uid="{74B92BF3-8B2F-4CD6-99F7-1020FFC65876}">
      <formula1>"Dinheiro,Cartão,Pix,Fiado,Pago"</formula1>
    </dataValidation>
  </dataValidations>
  <pageMargins left="0.511811024" right="0.511811024" top="0.78740157499999996" bottom="0.78740157499999996" header="0.31496062000000002" footer="0.31496062000000002"/>
  <pageSetup paperSize="0" orientation="portrait" horizontalDpi="203" verticalDpi="203" r:id="rId1"/>
  <drawing r:id="rId2"/>
  <tableParts count="3">
    <tablePart r:id="rId3"/>
    <tablePart r:id="rId4"/>
    <tablePart r:id="rId5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95D25-3B63-40EC-8273-261FCC0828F6}">
  <sheetPr codeName="Planilha3"/>
  <dimension ref="B2:J64"/>
  <sheetViews>
    <sheetView showGridLines="0" workbookViewId="0">
      <selection activeCell="F13" sqref="F13"/>
    </sheetView>
  </sheetViews>
  <sheetFormatPr defaultRowHeight="15" x14ac:dyDescent="0.25"/>
  <cols>
    <col min="1" max="1" width="9.140625" customWidth="1"/>
    <col min="2" max="2" width="22.85546875" customWidth="1"/>
    <col min="3" max="3" width="14.140625" customWidth="1"/>
    <col min="4" max="4" width="19" customWidth="1"/>
    <col min="5" max="5" width="18.7109375" customWidth="1"/>
    <col min="8" max="8" width="12.140625" bestFit="1" customWidth="1"/>
  </cols>
  <sheetData>
    <row r="2" spans="2:10" ht="67.5" customHeight="1" x14ac:dyDescent="0.25">
      <c r="B2" s="16"/>
    </row>
    <row r="3" spans="2:10" x14ac:dyDescent="0.25">
      <c r="B3" s="5" t="s">
        <v>28</v>
      </c>
      <c r="C3" s="5" t="s">
        <v>29</v>
      </c>
      <c r="D3" s="1" t="s">
        <v>30</v>
      </c>
      <c r="E3" s="1" t="s">
        <v>31</v>
      </c>
    </row>
    <row r="4" spans="2:10" x14ac:dyDescent="0.25">
      <c r="B4" s="5" t="s">
        <v>49</v>
      </c>
      <c r="C4" s="17">
        <v>110</v>
      </c>
      <c r="D4" s="18"/>
      <c r="E4" s="5" t="s">
        <v>32</v>
      </c>
      <c r="J4" s="16"/>
    </row>
    <row r="5" spans="2:10" x14ac:dyDescent="0.25">
      <c r="B5" s="5" t="s">
        <v>50</v>
      </c>
      <c r="C5" s="17">
        <v>110</v>
      </c>
      <c r="D5" s="1"/>
      <c r="E5" s="5" t="s">
        <v>32</v>
      </c>
    </row>
    <row r="6" spans="2:10" x14ac:dyDescent="0.25">
      <c r="B6" s="5" t="s">
        <v>46</v>
      </c>
      <c r="C6" s="17">
        <v>110</v>
      </c>
      <c r="D6" s="1"/>
      <c r="E6" s="5" t="s">
        <v>32</v>
      </c>
      <c r="H6" s="14">
        <f>SUM(Tabela24[VALOR])</f>
        <v>3610</v>
      </c>
    </row>
    <row r="7" spans="2:10" x14ac:dyDescent="0.25">
      <c r="B7" s="5" t="s">
        <v>53</v>
      </c>
      <c r="C7" s="17">
        <v>110</v>
      </c>
      <c r="D7" s="18"/>
      <c r="E7" s="5" t="s">
        <v>32</v>
      </c>
    </row>
    <row r="8" spans="2:10" x14ac:dyDescent="0.25">
      <c r="B8" s="5" t="s">
        <v>52</v>
      </c>
      <c r="C8" s="17">
        <v>110</v>
      </c>
      <c r="D8" s="18">
        <v>45167</v>
      </c>
      <c r="E8" s="5" t="s">
        <v>32</v>
      </c>
      <c r="H8">
        <f>COUNTIF(Tabela24[SITUAÇÃO],"DEVENDO")</f>
        <v>0</v>
      </c>
    </row>
    <row r="9" spans="2:10" x14ac:dyDescent="0.25">
      <c r="B9" s="5" t="s">
        <v>54</v>
      </c>
      <c r="C9" s="17">
        <v>110</v>
      </c>
      <c r="D9" s="1"/>
      <c r="E9" s="5" t="s">
        <v>32</v>
      </c>
    </row>
    <row r="10" spans="2:10" x14ac:dyDescent="0.25">
      <c r="B10" s="5" t="s">
        <v>45</v>
      </c>
      <c r="C10" s="17">
        <v>110</v>
      </c>
      <c r="D10" s="18"/>
      <c r="E10" s="5" t="s">
        <v>32</v>
      </c>
    </row>
    <row r="11" spans="2:10" x14ac:dyDescent="0.25">
      <c r="B11" s="5" t="s">
        <v>55</v>
      </c>
      <c r="C11" s="17">
        <v>110</v>
      </c>
      <c r="D11" s="1"/>
      <c r="E11" s="5" t="s">
        <v>32</v>
      </c>
    </row>
    <row r="12" spans="2:10" x14ac:dyDescent="0.25">
      <c r="B12" s="5" t="s">
        <v>56</v>
      </c>
      <c r="C12" s="17">
        <v>110</v>
      </c>
      <c r="D12" s="1"/>
      <c r="E12" s="5" t="s">
        <v>32</v>
      </c>
    </row>
    <row r="13" spans="2:10" x14ac:dyDescent="0.25">
      <c r="B13" s="5" t="s">
        <v>57</v>
      </c>
      <c r="C13" s="17">
        <v>110</v>
      </c>
      <c r="D13" s="1"/>
      <c r="E13" s="5" t="s">
        <v>32</v>
      </c>
    </row>
    <row r="14" spans="2:10" x14ac:dyDescent="0.25">
      <c r="B14" s="5" t="s">
        <v>59</v>
      </c>
      <c r="C14" s="17">
        <v>110</v>
      </c>
      <c r="D14" s="1"/>
      <c r="E14" s="5" t="s">
        <v>32</v>
      </c>
    </row>
    <row r="15" spans="2:10" x14ac:dyDescent="0.25">
      <c r="B15" s="5" t="s">
        <v>58</v>
      </c>
      <c r="C15" s="17">
        <v>110</v>
      </c>
      <c r="D15" s="1"/>
      <c r="E15" s="5" t="s">
        <v>32</v>
      </c>
    </row>
    <row r="16" spans="2:10" x14ac:dyDescent="0.25">
      <c r="B16" s="5" t="s">
        <v>60</v>
      </c>
      <c r="C16" s="17">
        <v>110</v>
      </c>
      <c r="D16" s="1"/>
      <c r="E16" s="5" t="s">
        <v>32</v>
      </c>
    </row>
    <row r="17" spans="2:6" x14ac:dyDescent="0.25">
      <c r="B17" s="5" t="s">
        <v>61</v>
      </c>
      <c r="C17" s="17">
        <v>110</v>
      </c>
      <c r="D17" s="18"/>
      <c r="E17" s="5" t="s">
        <v>32</v>
      </c>
    </row>
    <row r="18" spans="2:6" x14ac:dyDescent="0.25">
      <c r="B18" s="5" t="s">
        <v>62</v>
      </c>
      <c r="C18" s="17">
        <v>110</v>
      </c>
      <c r="D18" s="1"/>
      <c r="E18" s="5" t="s">
        <v>32</v>
      </c>
    </row>
    <row r="19" spans="2:6" x14ac:dyDescent="0.25">
      <c r="B19" s="5" t="s">
        <v>63</v>
      </c>
      <c r="C19" s="17">
        <v>110</v>
      </c>
      <c r="D19" s="18"/>
      <c r="E19" s="5" t="s">
        <v>32</v>
      </c>
    </row>
    <row r="20" spans="2:6" x14ac:dyDescent="0.25">
      <c r="B20" s="5" t="s">
        <v>65</v>
      </c>
      <c r="C20" s="17">
        <v>110</v>
      </c>
      <c r="D20" s="1"/>
      <c r="E20" s="5" t="s">
        <v>32</v>
      </c>
    </row>
    <row r="21" spans="2:6" x14ac:dyDescent="0.25">
      <c r="B21" s="5" t="s">
        <v>64</v>
      </c>
      <c r="C21" s="17">
        <v>110</v>
      </c>
      <c r="D21" s="18"/>
      <c r="E21" s="5" t="s">
        <v>32</v>
      </c>
    </row>
    <row r="22" spans="2:6" x14ac:dyDescent="0.25">
      <c r="B22" s="5" t="s">
        <v>66</v>
      </c>
      <c r="C22" s="17">
        <v>110</v>
      </c>
      <c r="D22" s="1"/>
      <c r="E22" s="5" t="s">
        <v>32</v>
      </c>
    </row>
    <row r="23" spans="2:6" x14ac:dyDescent="0.25">
      <c r="B23" s="5" t="s">
        <v>67</v>
      </c>
      <c r="C23" s="17">
        <v>110</v>
      </c>
      <c r="D23" s="18"/>
      <c r="E23" s="5" t="s">
        <v>32</v>
      </c>
    </row>
    <row r="24" spans="2:6" x14ac:dyDescent="0.25">
      <c r="B24" s="5" t="s">
        <v>69</v>
      </c>
      <c r="C24" s="17">
        <v>110</v>
      </c>
      <c r="D24" s="18">
        <v>45179</v>
      </c>
      <c r="E24" s="5" t="s">
        <v>32</v>
      </c>
    </row>
    <row r="25" spans="2:6" x14ac:dyDescent="0.25">
      <c r="B25" s="5" t="s">
        <v>81</v>
      </c>
      <c r="C25" s="17">
        <v>110</v>
      </c>
      <c r="D25" s="1"/>
      <c r="E25" s="5" t="s">
        <v>32</v>
      </c>
    </row>
    <row r="26" spans="2:6" x14ac:dyDescent="0.25">
      <c r="B26" s="5" t="s">
        <v>92</v>
      </c>
      <c r="C26" s="17">
        <v>110</v>
      </c>
      <c r="D26" s="18">
        <v>45179</v>
      </c>
      <c r="E26" s="5" t="s">
        <v>32</v>
      </c>
    </row>
    <row r="27" spans="2:6" x14ac:dyDescent="0.25">
      <c r="B27" s="5" t="s">
        <v>106</v>
      </c>
      <c r="C27" s="17">
        <v>110</v>
      </c>
      <c r="D27" s="18">
        <v>45177</v>
      </c>
      <c r="E27" s="5" t="s">
        <v>32</v>
      </c>
    </row>
    <row r="28" spans="2:6" x14ac:dyDescent="0.25">
      <c r="B28" s="5" t="s">
        <v>107</v>
      </c>
      <c r="C28" s="17">
        <v>110</v>
      </c>
      <c r="D28" s="1"/>
      <c r="E28" s="5" t="s">
        <v>32</v>
      </c>
    </row>
    <row r="29" spans="2:6" x14ac:dyDescent="0.25">
      <c r="B29" s="5" t="s">
        <v>119</v>
      </c>
      <c r="C29" s="17">
        <v>110</v>
      </c>
      <c r="D29" s="18" t="s">
        <v>120</v>
      </c>
      <c r="E29" s="5" t="s">
        <v>32</v>
      </c>
    </row>
    <row r="30" spans="2:6" x14ac:dyDescent="0.25">
      <c r="B30" s="5" t="s">
        <v>157</v>
      </c>
      <c r="C30" s="17">
        <v>110</v>
      </c>
      <c r="D30" s="18"/>
      <c r="E30" s="5" t="s">
        <v>32</v>
      </c>
      <c r="F30">
        <v>1</v>
      </c>
    </row>
    <row r="31" spans="2:6" x14ac:dyDescent="0.25">
      <c r="B31" s="5" t="s">
        <v>158</v>
      </c>
      <c r="C31" s="17">
        <v>110</v>
      </c>
      <c r="D31" s="18"/>
      <c r="E31" s="5" t="s">
        <v>32</v>
      </c>
    </row>
    <row r="32" spans="2:6" x14ac:dyDescent="0.25">
      <c r="B32" s="5" t="s">
        <v>173</v>
      </c>
      <c r="C32" s="17">
        <v>100</v>
      </c>
      <c r="D32" s="1"/>
      <c r="E32" s="5" t="s">
        <v>32</v>
      </c>
    </row>
    <row r="33" spans="2:5" x14ac:dyDescent="0.25">
      <c r="B33" s="5" t="s">
        <v>172</v>
      </c>
      <c r="C33" s="17">
        <v>100</v>
      </c>
      <c r="D33" s="1"/>
      <c r="E33" s="5" t="s">
        <v>32</v>
      </c>
    </row>
    <row r="34" spans="2:5" x14ac:dyDescent="0.25">
      <c r="B34" s="5" t="s">
        <v>192</v>
      </c>
      <c r="C34" s="17">
        <v>110</v>
      </c>
      <c r="D34" s="18"/>
      <c r="E34" s="5" t="s">
        <v>32</v>
      </c>
    </row>
    <row r="35" spans="2:5" x14ac:dyDescent="0.25">
      <c r="B35" s="5" t="s">
        <v>215</v>
      </c>
      <c r="C35" s="17">
        <v>110</v>
      </c>
      <c r="D35" s="18"/>
      <c r="E35" s="5" t="s">
        <v>32</v>
      </c>
    </row>
    <row r="36" spans="2:5" x14ac:dyDescent="0.25">
      <c r="B36" s="5" t="s">
        <v>251</v>
      </c>
      <c r="C36" s="17">
        <v>110</v>
      </c>
      <c r="D36" s="1"/>
      <c r="E36" s="5" t="s">
        <v>32</v>
      </c>
    </row>
    <row r="37" spans="2:5" x14ac:dyDescent="0.25">
      <c r="B37" s="5"/>
      <c r="C37" s="17"/>
      <c r="D37" s="18"/>
      <c r="E37" s="5"/>
    </row>
    <row r="38" spans="2:5" x14ac:dyDescent="0.25">
      <c r="B38" s="5"/>
      <c r="C38" s="17"/>
      <c r="D38" s="1"/>
      <c r="E38" s="5"/>
    </row>
    <row r="39" spans="2:5" x14ac:dyDescent="0.25">
      <c r="B39" s="5"/>
      <c r="C39" s="17"/>
      <c r="D39" s="1"/>
      <c r="E39" s="5"/>
    </row>
    <row r="40" spans="2:5" x14ac:dyDescent="0.25">
      <c r="B40" s="5"/>
      <c r="C40" s="17"/>
      <c r="D40" s="1"/>
      <c r="E40" s="5"/>
    </row>
    <row r="41" spans="2:5" x14ac:dyDescent="0.25">
      <c r="B41" s="5"/>
      <c r="C41" s="17"/>
      <c r="D41" s="1"/>
      <c r="E41" s="5"/>
    </row>
    <row r="42" spans="2:5" x14ac:dyDescent="0.25">
      <c r="B42" s="5"/>
      <c r="C42" s="17"/>
      <c r="D42" s="1"/>
      <c r="E42" s="5"/>
    </row>
    <row r="43" spans="2:5" x14ac:dyDescent="0.25">
      <c r="B43" s="5"/>
      <c r="C43" s="17"/>
      <c r="D43" s="1"/>
      <c r="E43" s="5"/>
    </row>
    <row r="44" spans="2:5" x14ac:dyDescent="0.25">
      <c r="B44" s="5"/>
      <c r="C44" s="17"/>
      <c r="D44" s="18"/>
      <c r="E44" s="5"/>
    </row>
    <row r="45" spans="2:5" x14ac:dyDescent="0.25">
      <c r="B45" s="5"/>
      <c r="C45" s="17"/>
      <c r="D45" s="1"/>
      <c r="E45" s="5"/>
    </row>
    <row r="46" spans="2:5" x14ac:dyDescent="0.25">
      <c r="B46" s="5"/>
      <c r="C46" s="17"/>
      <c r="D46" s="18"/>
      <c r="E46" s="5"/>
    </row>
    <row r="47" spans="2:5" x14ac:dyDescent="0.25">
      <c r="B47" s="5"/>
      <c r="C47" s="17"/>
      <c r="D47" s="1"/>
      <c r="E47" s="5"/>
    </row>
    <row r="48" spans="2:5" x14ac:dyDescent="0.25">
      <c r="B48" s="5"/>
      <c r="C48" s="17"/>
      <c r="D48" s="18"/>
      <c r="E48" s="5"/>
    </row>
    <row r="49" spans="2:5" x14ac:dyDescent="0.25">
      <c r="B49" s="5"/>
      <c r="C49" s="17"/>
      <c r="D49" s="1"/>
      <c r="E49" s="5"/>
    </row>
    <row r="50" spans="2:5" x14ac:dyDescent="0.25">
      <c r="B50" s="5"/>
      <c r="C50" s="17"/>
      <c r="D50" s="18"/>
      <c r="E50" s="5"/>
    </row>
    <row r="51" spans="2:5" x14ac:dyDescent="0.25">
      <c r="B51" s="5"/>
      <c r="C51" s="17"/>
      <c r="D51" s="18"/>
      <c r="E51" s="5"/>
    </row>
    <row r="52" spans="2:5" x14ac:dyDescent="0.25">
      <c r="B52" s="5"/>
      <c r="C52" s="17"/>
      <c r="D52" s="1"/>
      <c r="E52" s="5"/>
    </row>
    <row r="53" spans="2:5" x14ac:dyDescent="0.25">
      <c r="B53" s="5"/>
      <c r="C53" s="17"/>
      <c r="D53" s="18"/>
      <c r="E53" s="5"/>
    </row>
    <row r="54" spans="2:5" x14ac:dyDescent="0.25">
      <c r="B54" s="5"/>
      <c r="C54" s="17"/>
      <c r="D54" s="1"/>
      <c r="E54" s="5"/>
    </row>
    <row r="55" spans="2:5" x14ac:dyDescent="0.25">
      <c r="B55" s="5"/>
      <c r="C55" s="17"/>
      <c r="D55" s="18"/>
      <c r="E55" s="5"/>
    </row>
    <row r="56" spans="2:5" x14ac:dyDescent="0.25">
      <c r="B56" s="5"/>
      <c r="C56" s="17"/>
      <c r="D56" s="1"/>
      <c r="E56" s="5"/>
    </row>
    <row r="57" spans="2:5" x14ac:dyDescent="0.25">
      <c r="B57" s="5"/>
      <c r="C57" s="17"/>
      <c r="D57" s="18"/>
      <c r="E57" s="5"/>
    </row>
    <row r="58" spans="2:5" x14ac:dyDescent="0.25">
      <c r="B58" s="5"/>
      <c r="C58" s="17"/>
      <c r="D58" s="1"/>
      <c r="E58" s="5"/>
    </row>
    <row r="59" spans="2:5" x14ac:dyDescent="0.25">
      <c r="B59" s="5"/>
      <c r="C59" s="17"/>
      <c r="D59" s="18"/>
      <c r="E59" s="5"/>
    </row>
    <row r="60" spans="2:5" x14ac:dyDescent="0.25">
      <c r="B60" s="5"/>
      <c r="C60" s="17"/>
      <c r="D60" s="18"/>
      <c r="E60" s="5"/>
    </row>
    <row r="63" spans="2:5" x14ac:dyDescent="0.25">
      <c r="B63" s="24">
        <f>SUMIF(Tabela24[SITUAÇÃO],"DEVENDO",Tabela24[VALOR])</f>
        <v>0</v>
      </c>
    </row>
    <row r="64" spans="2:5" x14ac:dyDescent="0.25">
      <c r="B64" s="14"/>
    </row>
  </sheetData>
  <phoneticPr fontId="10" type="noConversion"/>
  <conditionalFormatting sqref="E4:E60">
    <cfRule type="expression" dxfId="27" priority="23">
      <formula>$E4="PAGO"</formula>
    </cfRule>
    <cfRule type="expression" dxfId="26" priority="24">
      <formula>$E4="DEVENDO"</formula>
    </cfRule>
  </conditionalFormatting>
  <conditionalFormatting sqref="E30">
    <cfRule type="expression" dxfId="25" priority="9">
      <formula>$E30="PAGO"</formula>
    </cfRule>
    <cfRule type="expression" dxfId="24" priority="10">
      <formula>$E30="DEVENDO"</formula>
    </cfRule>
  </conditionalFormatting>
  <conditionalFormatting sqref="E31">
    <cfRule type="expression" dxfId="23" priority="7">
      <formula>$E31="PAGO"</formula>
    </cfRule>
    <cfRule type="expression" dxfId="22" priority="8">
      <formula>$E31="DEVENDO"</formula>
    </cfRule>
  </conditionalFormatting>
  <conditionalFormatting sqref="E4">
    <cfRule type="expression" dxfId="21" priority="1">
      <formula>$E4="PAGO"</formula>
    </cfRule>
    <cfRule type="expression" dxfId="20" priority="2">
      <formula>$E4="DEVENDO"</formula>
    </cfRule>
  </conditionalFormatting>
  <dataValidations count="1">
    <dataValidation type="list" allowBlank="1" showInputMessage="1" showErrorMessage="1" sqref="E4:E60" xr:uid="{5530EB3C-1C60-47D4-82A1-D5D388B2D5AF}">
      <formula1>"DEVENDO,PAGO"</formula1>
    </dataValidation>
  </dataValidations>
  <pageMargins left="0.511811024" right="0.511811024" top="0.78740157499999996" bottom="0.78740157499999996" header="0.31496062000000002" footer="0.31496062000000002"/>
  <pageSetup paperSize="0" orientation="portrait" horizontalDpi="203" verticalDpi="203" r:id="rId1"/>
  <drawing r:id="rId2"/>
  <tableParts count="1">
    <tablePart r:id="rId3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7C5E2-BFD5-4A72-9777-E39E64301709}">
  <dimension ref="B1:M36"/>
  <sheetViews>
    <sheetView showGridLines="0" topLeftCell="A4" workbookViewId="0">
      <selection activeCell="I8" sqref="I8"/>
    </sheetView>
  </sheetViews>
  <sheetFormatPr defaultRowHeight="15" x14ac:dyDescent="0.25"/>
  <cols>
    <col min="1" max="1" width="9.28515625" customWidth="1"/>
    <col min="2" max="2" width="16.28515625" customWidth="1"/>
    <col min="3" max="3" width="21.85546875" customWidth="1"/>
    <col min="4" max="4" width="21.7109375" customWidth="1"/>
    <col min="7" max="7" width="18.140625" customWidth="1"/>
    <col min="8" max="8" width="21.85546875" customWidth="1"/>
    <col min="9" max="9" width="21.5703125" customWidth="1"/>
    <col min="11" max="11" width="7.140625" customWidth="1"/>
    <col min="12" max="13" width="14.7109375" customWidth="1"/>
  </cols>
  <sheetData>
    <row r="1" spans="2:13" ht="68.25" customHeight="1" x14ac:dyDescent="0.25"/>
    <row r="2" spans="2:13" ht="97.5" customHeight="1" x14ac:dyDescent="0.25"/>
    <row r="3" spans="2:13" ht="19.5" x14ac:dyDescent="0.25">
      <c r="B3" s="20" t="s">
        <v>38</v>
      </c>
      <c r="C3" s="20" t="s">
        <v>37</v>
      </c>
      <c r="D3" s="20" t="s">
        <v>39</v>
      </c>
      <c r="G3" s="20" t="s">
        <v>38</v>
      </c>
      <c r="H3" s="20" t="s">
        <v>37</v>
      </c>
      <c r="I3" s="20" t="s">
        <v>39</v>
      </c>
    </row>
    <row r="4" spans="2:13" x14ac:dyDescent="0.25">
      <c r="B4" s="21">
        <v>45170</v>
      </c>
      <c r="C4" s="19">
        <v>18</v>
      </c>
      <c r="D4" s="19" t="s">
        <v>40</v>
      </c>
      <c r="G4" s="21">
        <v>45170</v>
      </c>
      <c r="H4" s="19">
        <v>6</v>
      </c>
      <c r="I4" s="19" t="s">
        <v>41</v>
      </c>
    </row>
    <row r="5" spans="2:13" x14ac:dyDescent="0.25">
      <c r="B5" s="21">
        <v>45171</v>
      </c>
      <c r="C5" s="19">
        <v>15</v>
      </c>
      <c r="D5" s="19" t="s">
        <v>40</v>
      </c>
      <c r="G5" s="21">
        <v>45171</v>
      </c>
      <c r="H5" s="19">
        <v>10</v>
      </c>
      <c r="I5" s="19" t="s">
        <v>41</v>
      </c>
    </row>
    <row r="6" spans="2:13" ht="18.75" x14ac:dyDescent="0.25">
      <c r="B6" s="21">
        <v>45171</v>
      </c>
      <c r="C6" s="19">
        <v>5</v>
      </c>
      <c r="D6" s="19" t="s">
        <v>105</v>
      </c>
      <c r="G6" s="21">
        <v>45174</v>
      </c>
      <c r="H6" s="19">
        <v>20</v>
      </c>
      <c r="I6" s="19" t="s">
        <v>41</v>
      </c>
      <c r="L6" s="23" t="s">
        <v>5</v>
      </c>
      <c r="M6" s="22">
        <f>SUM(Tabela13[Quantidade])</f>
        <v>451</v>
      </c>
    </row>
    <row r="7" spans="2:13" ht="18.75" x14ac:dyDescent="0.25">
      <c r="B7" s="21">
        <v>45142</v>
      </c>
      <c r="C7" s="19">
        <v>20</v>
      </c>
      <c r="D7" s="19" t="s">
        <v>40</v>
      </c>
      <c r="G7" s="21">
        <v>45175</v>
      </c>
      <c r="H7" s="19">
        <v>15</v>
      </c>
      <c r="I7" s="19" t="s">
        <v>41</v>
      </c>
      <c r="L7" s="23" t="s">
        <v>8</v>
      </c>
      <c r="M7" s="22">
        <f>SUM(Tabela1316[Quantidade])</f>
        <v>253</v>
      </c>
    </row>
    <row r="8" spans="2:13" x14ac:dyDescent="0.25">
      <c r="B8" s="21">
        <v>45142</v>
      </c>
      <c r="C8" s="19">
        <v>17</v>
      </c>
      <c r="D8" s="19" t="s">
        <v>105</v>
      </c>
      <c r="G8" s="21">
        <v>45177</v>
      </c>
      <c r="H8" s="19">
        <v>20</v>
      </c>
      <c r="I8" s="19" t="s">
        <v>41</v>
      </c>
    </row>
    <row r="9" spans="2:13" x14ac:dyDescent="0.25">
      <c r="B9" s="21">
        <v>45174</v>
      </c>
      <c r="C9" s="19">
        <v>10</v>
      </c>
      <c r="D9" s="19" t="s">
        <v>105</v>
      </c>
      <c r="G9" s="21">
        <v>45178</v>
      </c>
      <c r="H9" s="19">
        <v>25</v>
      </c>
      <c r="I9" s="19" t="s">
        <v>41</v>
      </c>
    </row>
    <row r="10" spans="2:13" x14ac:dyDescent="0.25">
      <c r="B10" s="21">
        <v>45175</v>
      </c>
      <c r="C10" s="19">
        <v>20</v>
      </c>
      <c r="D10" s="19" t="s">
        <v>40</v>
      </c>
      <c r="G10" s="21">
        <v>45181</v>
      </c>
      <c r="H10" s="19">
        <v>15</v>
      </c>
      <c r="I10" s="19" t="s">
        <v>41</v>
      </c>
    </row>
    <row r="11" spans="2:13" x14ac:dyDescent="0.25">
      <c r="B11" s="21" t="s">
        <v>205</v>
      </c>
      <c r="C11" s="19">
        <v>30</v>
      </c>
      <c r="D11" s="19" t="s">
        <v>40</v>
      </c>
      <c r="G11" s="21">
        <v>45183</v>
      </c>
      <c r="H11" s="19">
        <v>10</v>
      </c>
      <c r="I11" s="19" t="s">
        <v>41</v>
      </c>
    </row>
    <row r="12" spans="2:13" x14ac:dyDescent="0.25">
      <c r="B12" s="21">
        <v>45178</v>
      </c>
      <c r="C12" s="19">
        <v>26</v>
      </c>
      <c r="D12" s="19" t="s">
        <v>40</v>
      </c>
      <c r="G12" s="21">
        <v>45185</v>
      </c>
      <c r="H12" s="19">
        <v>2</v>
      </c>
      <c r="I12" s="19" t="s">
        <v>41</v>
      </c>
    </row>
    <row r="13" spans="2:13" x14ac:dyDescent="0.25">
      <c r="B13" s="21">
        <v>45180</v>
      </c>
      <c r="C13" s="19">
        <v>41</v>
      </c>
      <c r="D13" s="19" t="s">
        <v>40</v>
      </c>
      <c r="G13" s="21">
        <v>45187</v>
      </c>
      <c r="H13" s="19">
        <v>15</v>
      </c>
      <c r="I13" s="19" t="s">
        <v>41</v>
      </c>
    </row>
    <row r="14" spans="2:13" x14ac:dyDescent="0.25">
      <c r="B14" s="21">
        <v>45181</v>
      </c>
      <c r="C14" s="19">
        <v>12</v>
      </c>
      <c r="D14" s="19" t="s">
        <v>40</v>
      </c>
      <c r="G14" s="21">
        <v>45189</v>
      </c>
      <c r="H14" s="19">
        <v>20</v>
      </c>
      <c r="I14" s="19" t="s">
        <v>41</v>
      </c>
    </row>
    <row r="15" spans="2:13" x14ac:dyDescent="0.25">
      <c r="B15" s="21">
        <v>45182</v>
      </c>
      <c r="C15" s="19">
        <v>10</v>
      </c>
      <c r="D15" s="19" t="s">
        <v>105</v>
      </c>
      <c r="G15" s="21">
        <v>45190</v>
      </c>
      <c r="H15" s="19">
        <v>5</v>
      </c>
      <c r="I15" s="19" t="s">
        <v>41</v>
      </c>
    </row>
    <row r="16" spans="2:13" x14ac:dyDescent="0.25">
      <c r="B16" s="21">
        <v>45183</v>
      </c>
      <c r="C16" s="19">
        <v>15</v>
      </c>
      <c r="D16" s="19" t="s">
        <v>40</v>
      </c>
      <c r="G16" s="21">
        <v>45191</v>
      </c>
      <c r="H16" s="19">
        <v>20</v>
      </c>
      <c r="I16" s="19" t="s">
        <v>41</v>
      </c>
    </row>
    <row r="17" spans="2:9" x14ac:dyDescent="0.25">
      <c r="B17" s="21">
        <v>45184</v>
      </c>
      <c r="C17" s="19">
        <v>18</v>
      </c>
      <c r="D17" s="19" t="s">
        <v>105</v>
      </c>
      <c r="G17" s="21">
        <v>45192</v>
      </c>
      <c r="H17" s="19">
        <v>10</v>
      </c>
      <c r="I17" s="19" t="s">
        <v>41</v>
      </c>
    </row>
    <row r="18" spans="2:9" x14ac:dyDescent="0.25">
      <c r="B18" s="21">
        <v>45185</v>
      </c>
      <c r="C18" s="19">
        <v>12</v>
      </c>
      <c r="D18" s="19" t="s">
        <v>40</v>
      </c>
      <c r="G18" s="21">
        <v>45194</v>
      </c>
      <c r="H18" s="19">
        <v>5</v>
      </c>
      <c r="I18" s="19" t="s">
        <v>41</v>
      </c>
    </row>
    <row r="19" spans="2:9" x14ac:dyDescent="0.25">
      <c r="B19" s="21">
        <v>45187</v>
      </c>
      <c r="C19" s="19">
        <v>20</v>
      </c>
      <c r="D19" s="19" t="s">
        <v>40</v>
      </c>
      <c r="G19" s="21">
        <v>45195</v>
      </c>
      <c r="H19" s="19">
        <v>20</v>
      </c>
      <c r="I19" s="19" t="s">
        <v>41</v>
      </c>
    </row>
    <row r="20" spans="2:9" x14ac:dyDescent="0.25">
      <c r="B20" s="21">
        <v>45188</v>
      </c>
      <c r="C20" s="19">
        <v>19</v>
      </c>
      <c r="D20" s="19" t="s">
        <v>40</v>
      </c>
      <c r="G20" s="21">
        <v>45196</v>
      </c>
      <c r="H20" s="19">
        <v>10</v>
      </c>
      <c r="I20" s="19" t="s">
        <v>41</v>
      </c>
    </row>
    <row r="21" spans="2:9" x14ac:dyDescent="0.25">
      <c r="B21" s="21">
        <v>45189</v>
      </c>
      <c r="C21" s="19">
        <v>10</v>
      </c>
      <c r="D21" s="19" t="s">
        <v>105</v>
      </c>
      <c r="G21" s="21">
        <v>45198</v>
      </c>
      <c r="H21" s="19">
        <v>15</v>
      </c>
      <c r="I21" s="19" t="s">
        <v>41</v>
      </c>
    </row>
    <row r="22" spans="2:9" x14ac:dyDescent="0.25">
      <c r="B22" s="21">
        <v>45190</v>
      </c>
      <c r="C22" s="19">
        <v>15</v>
      </c>
      <c r="D22" s="19" t="s">
        <v>40</v>
      </c>
      <c r="G22" s="21">
        <v>45199</v>
      </c>
      <c r="H22" s="19">
        <v>10</v>
      </c>
      <c r="I22" s="19" t="s">
        <v>41</v>
      </c>
    </row>
    <row r="23" spans="2:9" x14ac:dyDescent="0.25">
      <c r="B23" s="21">
        <v>45192</v>
      </c>
      <c r="C23" s="19">
        <v>20</v>
      </c>
      <c r="D23" s="19" t="s">
        <v>40</v>
      </c>
      <c r="G23" s="21"/>
      <c r="H23" s="19"/>
      <c r="I23" s="19"/>
    </row>
    <row r="24" spans="2:9" x14ac:dyDescent="0.25">
      <c r="B24" s="21">
        <v>45194</v>
      </c>
      <c r="C24" s="19">
        <v>25</v>
      </c>
      <c r="D24" s="19" t="s">
        <v>40</v>
      </c>
      <c r="G24" s="21"/>
      <c r="H24" s="19"/>
      <c r="I24" s="19"/>
    </row>
    <row r="25" spans="2:9" x14ac:dyDescent="0.25">
      <c r="B25" s="21">
        <v>45194</v>
      </c>
      <c r="C25" s="19">
        <v>10</v>
      </c>
      <c r="D25" s="19" t="s">
        <v>105</v>
      </c>
      <c r="G25" s="19"/>
      <c r="H25" s="19"/>
      <c r="I25" s="19"/>
    </row>
    <row r="26" spans="2:9" x14ac:dyDescent="0.25">
      <c r="B26" s="21">
        <v>45195</v>
      </c>
      <c r="C26" s="19">
        <v>20</v>
      </c>
      <c r="D26" s="19" t="s">
        <v>40</v>
      </c>
      <c r="G26" s="19"/>
      <c r="H26" s="19"/>
      <c r="I26" s="19"/>
    </row>
    <row r="27" spans="2:9" x14ac:dyDescent="0.25">
      <c r="B27" s="21">
        <v>45197</v>
      </c>
      <c r="C27" s="19">
        <v>20</v>
      </c>
      <c r="D27" s="19" t="s">
        <v>40</v>
      </c>
      <c r="G27" s="19"/>
      <c r="H27" s="19"/>
      <c r="I27" s="19"/>
    </row>
    <row r="28" spans="2:9" x14ac:dyDescent="0.25">
      <c r="B28" s="21">
        <v>45199</v>
      </c>
      <c r="C28" s="19">
        <v>23</v>
      </c>
      <c r="D28" s="19" t="s">
        <v>40</v>
      </c>
      <c r="G28" s="19"/>
      <c r="H28" s="19"/>
      <c r="I28" s="19"/>
    </row>
    <row r="29" spans="2:9" x14ac:dyDescent="0.25">
      <c r="B29" s="21"/>
      <c r="C29" s="19"/>
      <c r="D29" s="19"/>
      <c r="G29" s="19"/>
      <c r="H29" s="19"/>
      <c r="I29" s="19"/>
    </row>
    <row r="30" spans="2:9" x14ac:dyDescent="0.25">
      <c r="B30" s="21"/>
      <c r="C30" s="19"/>
      <c r="D30" s="19"/>
      <c r="G30" s="19"/>
      <c r="H30" s="19"/>
      <c r="I30" s="19"/>
    </row>
    <row r="31" spans="2:9" x14ac:dyDescent="0.25">
      <c r="B31" s="21"/>
      <c r="C31" s="19"/>
      <c r="D31" s="19"/>
      <c r="G31" s="19"/>
      <c r="H31" s="19"/>
      <c r="I31" s="19"/>
    </row>
    <row r="32" spans="2:9" x14ac:dyDescent="0.25">
      <c r="B32" s="21"/>
      <c r="C32" s="19"/>
      <c r="D32" s="19"/>
      <c r="G32" s="19"/>
      <c r="H32" s="19"/>
      <c r="I32" s="19"/>
    </row>
    <row r="33" spans="2:9" x14ac:dyDescent="0.25">
      <c r="B33" s="21"/>
      <c r="C33" s="19"/>
      <c r="D33" s="19"/>
      <c r="G33" s="19"/>
      <c r="H33" s="19"/>
      <c r="I33" s="19"/>
    </row>
    <row r="34" spans="2:9" x14ac:dyDescent="0.25">
      <c r="B34" s="21"/>
      <c r="C34" s="19"/>
      <c r="D34" s="19"/>
      <c r="G34" s="19"/>
      <c r="H34" s="19"/>
      <c r="I34" s="19"/>
    </row>
    <row r="35" spans="2:9" x14ac:dyDescent="0.25">
      <c r="B35" s="19"/>
      <c r="C35" s="19"/>
      <c r="D35" s="19"/>
      <c r="G35" s="19"/>
      <c r="H35" s="19"/>
      <c r="I35" s="19"/>
    </row>
    <row r="36" spans="2:9" x14ac:dyDescent="0.25">
      <c r="B36" s="19"/>
      <c r="C36" s="19"/>
      <c r="D36" s="19"/>
      <c r="G36" s="19"/>
      <c r="H36" s="19"/>
      <c r="I36" s="19"/>
    </row>
  </sheetData>
  <dataValidations count="2">
    <dataValidation type="list" allowBlank="1" showInputMessage="1" showErrorMessage="1" sqref="D4:D36" xr:uid="{18772918-69CE-4587-BF84-4C293FBE624C}">
      <formula1>"Magalhães,Satelite"</formula1>
    </dataValidation>
    <dataValidation type="list" allowBlank="1" showInputMessage="1" showErrorMessage="1" sqref="I4:I36" xr:uid="{471276A1-AF7E-4E10-8CCE-F99129611FC7}">
      <formula1>"Zezinho"</formula1>
    </dataValidation>
  </dataValidations>
  <pageMargins left="0.511811024" right="0.511811024" top="0.78740157499999996" bottom="0.78740157499999996" header="0.31496062000000002" footer="0.31496062000000002"/>
  <pageSetup paperSize="0" orientation="portrait" horizontalDpi="203" verticalDpi="203" r:id="rId1"/>
  <drawing r:id="rId2"/>
  <tableParts count="2">
    <tablePart r:id="rId3"/>
    <tablePart r:id="rId4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CC75D-7681-44DA-B24B-75AD828F9992}">
  <dimension ref="G16:Q33"/>
  <sheetViews>
    <sheetView showGridLines="0" workbookViewId="0"/>
  </sheetViews>
  <sheetFormatPr defaultRowHeight="15" x14ac:dyDescent="0.25"/>
  <sheetData>
    <row r="16" spans="14:14" x14ac:dyDescent="0.25">
      <c r="N16" t="s">
        <v>35</v>
      </c>
    </row>
    <row r="18" spans="7:17" x14ac:dyDescent="0.25">
      <c r="Q18" t="s">
        <v>36</v>
      </c>
    </row>
    <row r="32" spans="7:17" x14ac:dyDescent="0.25">
      <c r="G32" t="s">
        <v>33</v>
      </c>
    </row>
    <row r="33" spans="11:11" x14ac:dyDescent="0.25">
      <c r="K33" t="s">
        <v>34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A9DC6-D16C-4112-B377-9F9D928DC0CE}">
  <dimension ref="A1"/>
  <sheetViews>
    <sheetView workbookViewId="0">
      <selection activeCell="Q36" sqref="Q36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B39D9-7E85-4E19-AD5A-35CB024BA873}">
  <dimension ref="B2:O44"/>
  <sheetViews>
    <sheetView showGridLines="0" workbookViewId="0">
      <selection activeCell="D24" sqref="D24"/>
    </sheetView>
  </sheetViews>
  <sheetFormatPr defaultRowHeight="15" x14ac:dyDescent="0.25"/>
  <cols>
    <col min="2" max="2" width="14.7109375" customWidth="1"/>
    <col min="3" max="3" width="38.140625" customWidth="1"/>
    <col min="4" max="4" width="19.85546875" customWidth="1"/>
    <col min="5" max="5" width="21.85546875" customWidth="1"/>
    <col min="6" max="6" width="25.85546875" customWidth="1"/>
    <col min="7" max="7" width="16.7109375" customWidth="1"/>
    <col min="8" max="8" width="11.28515625" customWidth="1"/>
    <col min="9" max="9" width="21.85546875" customWidth="1"/>
    <col min="10" max="10" width="13.5703125" customWidth="1"/>
    <col min="11" max="11" width="12.28515625" customWidth="1"/>
    <col min="12" max="12" width="8.5703125" customWidth="1"/>
    <col min="13" max="13" width="19.7109375" customWidth="1"/>
    <col min="14" max="14" width="15.5703125" customWidth="1"/>
    <col min="15" max="15" width="13" customWidth="1"/>
  </cols>
  <sheetData>
    <row r="2" spans="2:15" ht="15.75" x14ac:dyDescent="0.25">
      <c r="E2" s="10" t="s">
        <v>4</v>
      </c>
      <c r="F2" s="3">
        <v>45196</v>
      </c>
    </row>
    <row r="3" spans="2:15" ht="15.75" x14ac:dyDescent="0.25">
      <c r="E3" s="10" t="s">
        <v>15</v>
      </c>
      <c r="F3" s="7"/>
    </row>
    <row r="4" spans="2:15" x14ac:dyDescent="0.25">
      <c r="J4" t="s">
        <v>19</v>
      </c>
      <c r="M4" t="s">
        <v>24</v>
      </c>
    </row>
    <row r="6" spans="2:15" x14ac:dyDescent="0.25">
      <c r="B6" s="6" t="s">
        <v>9</v>
      </c>
      <c r="C6" s="6" t="s">
        <v>0</v>
      </c>
      <c r="D6" s="6" t="s">
        <v>1</v>
      </c>
      <c r="E6" s="6" t="s">
        <v>2</v>
      </c>
      <c r="F6" s="6" t="s">
        <v>3</v>
      </c>
      <c r="G6" s="6" t="s">
        <v>26</v>
      </c>
      <c r="J6" s="4" t="s">
        <v>5</v>
      </c>
      <c r="K6" s="4" t="s">
        <v>8</v>
      </c>
      <c r="N6" s="4" t="s">
        <v>5</v>
      </c>
      <c r="O6" s="4" t="s">
        <v>8</v>
      </c>
    </row>
    <row r="7" spans="2:15" x14ac:dyDescent="0.25">
      <c r="B7" s="1" t="s">
        <v>5</v>
      </c>
      <c r="C7" s="1" t="s">
        <v>431</v>
      </c>
      <c r="D7" s="1"/>
      <c r="E7" s="8">
        <v>100</v>
      </c>
      <c r="F7" s="1" t="s">
        <v>11</v>
      </c>
      <c r="G7" s="1">
        <v>1</v>
      </c>
      <c r="I7" s="4" t="s">
        <v>6</v>
      </c>
      <c r="J7" s="1">
        <v>31</v>
      </c>
      <c r="K7" s="11">
        <v>32</v>
      </c>
      <c r="M7" s="4" t="s">
        <v>23</v>
      </c>
      <c r="N7" s="11"/>
      <c r="O7" s="11"/>
    </row>
    <row r="8" spans="2:15" x14ac:dyDescent="0.25">
      <c r="B8" s="1" t="s">
        <v>5</v>
      </c>
      <c r="C8" s="1" t="s">
        <v>432</v>
      </c>
      <c r="D8" s="1"/>
      <c r="E8" s="8">
        <v>100</v>
      </c>
      <c r="F8" s="1" t="s">
        <v>11</v>
      </c>
      <c r="G8" s="1">
        <v>1</v>
      </c>
      <c r="I8" s="4" t="s">
        <v>7</v>
      </c>
      <c r="J8" s="11">
        <v>10</v>
      </c>
      <c r="K8" s="11">
        <v>5</v>
      </c>
    </row>
    <row r="9" spans="2:15" x14ac:dyDescent="0.25">
      <c r="B9" s="1" t="s">
        <v>5</v>
      </c>
      <c r="C9" s="1" t="s">
        <v>433</v>
      </c>
      <c r="D9" s="1"/>
      <c r="E9" s="8">
        <v>92</v>
      </c>
      <c r="F9" s="1" t="s">
        <v>10</v>
      </c>
      <c r="G9" s="1">
        <v>1</v>
      </c>
    </row>
    <row r="10" spans="2:15" x14ac:dyDescent="0.25">
      <c r="B10" s="1" t="s">
        <v>5</v>
      </c>
      <c r="C10" s="1" t="s">
        <v>434</v>
      </c>
      <c r="D10" s="1"/>
      <c r="E10" s="8">
        <v>200</v>
      </c>
      <c r="F10" s="1" t="s">
        <v>11</v>
      </c>
      <c r="G10" s="1">
        <v>2</v>
      </c>
    </row>
    <row r="11" spans="2:15" x14ac:dyDescent="0.25">
      <c r="B11" s="1" t="s">
        <v>5</v>
      </c>
      <c r="C11" s="1" t="s">
        <v>435</v>
      </c>
      <c r="D11" s="1"/>
      <c r="E11" s="8">
        <v>100</v>
      </c>
      <c r="F11" s="1" t="s">
        <v>13</v>
      </c>
      <c r="G11" s="1">
        <v>1</v>
      </c>
    </row>
    <row r="12" spans="2:15" x14ac:dyDescent="0.25">
      <c r="B12" s="1" t="s">
        <v>5</v>
      </c>
      <c r="C12" s="1" t="s">
        <v>436</v>
      </c>
      <c r="D12" s="1"/>
      <c r="E12" s="8">
        <v>100</v>
      </c>
      <c r="F12" s="1" t="s">
        <v>11</v>
      </c>
      <c r="G12" s="1">
        <v>1</v>
      </c>
    </row>
    <row r="13" spans="2:15" x14ac:dyDescent="0.25">
      <c r="B13" s="1" t="s">
        <v>8</v>
      </c>
      <c r="C13" s="1" t="s">
        <v>437</v>
      </c>
      <c r="D13" s="1"/>
      <c r="E13" s="8">
        <v>7</v>
      </c>
      <c r="F13" s="1" t="s">
        <v>10</v>
      </c>
      <c r="G13" s="1">
        <v>1</v>
      </c>
      <c r="I13" t="s">
        <v>21</v>
      </c>
    </row>
    <row r="14" spans="2:15" x14ac:dyDescent="0.25">
      <c r="B14" s="1" t="s">
        <v>5</v>
      </c>
      <c r="C14" s="1" t="s">
        <v>438</v>
      </c>
      <c r="D14" s="1"/>
      <c r="E14" s="8">
        <v>95</v>
      </c>
      <c r="F14" s="1" t="s">
        <v>12</v>
      </c>
      <c r="G14" s="1">
        <v>1</v>
      </c>
    </row>
    <row r="15" spans="2:15" x14ac:dyDescent="0.25">
      <c r="B15" s="1" t="s">
        <v>5</v>
      </c>
      <c r="C15" s="1" t="s">
        <v>441</v>
      </c>
      <c r="D15" s="1" t="s">
        <v>440</v>
      </c>
      <c r="E15" s="8">
        <v>100</v>
      </c>
      <c r="F15" s="1" t="s">
        <v>12</v>
      </c>
      <c r="G15" s="1">
        <v>1</v>
      </c>
    </row>
    <row r="16" spans="2:15" x14ac:dyDescent="0.25">
      <c r="B16" s="1" t="s">
        <v>5</v>
      </c>
      <c r="C16" s="1" t="s">
        <v>439</v>
      </c>
      <c r="D16" s="1"/>
      <c r="E16" s="8">
        <v>50</v>
      </c>
      <c r="F16" s="1" t="s">
        <v>10</v>
      </c>
      <c r="G16" s="1">
        <v>1</v>
      </c>
      <c r="I16" s="5" t="s">
        <v>43</v>
      </c>
      <c r="J16" s="5" t="s">
        <v>44</v>
      </c>
      <c r="M16" s="5" t="s">
        <v>18</v>
      </c>
      <c r="N16" s="5" t="s">
        <v>2</v>
      </c>
    </row>
    <row r="17" spans="2:14" x14ac:dyDescent="0.25">
      <c r="B17" s="1" t="s">
        <v>8</v>
      </c>
      <c r="C17" s="1" t="s">
        <v>442</v>
      </c>
      <c r="D17" s="1"/>
      <c r="E17" s="8">
        <v>16</v>
      </c>
      <c r="F17" s="1"/>
      <c r="G17" s="1">
        <v>2</v>
      </c>
      <c r="I17" s="5"/>
      <c r="J17" s="7">
        <v>200</v>
      </c>
      <c r="M17" s="5"/>
      <c r="N17" s="12"/>
    </row>
    <row r="18" spans="2:14" x14ac:dyDescent="0.25">
      <c r="B18" s="1"/>
      <c r="C18" s="1"/>
      <c r="D18" s="1"/>
      <c r="E18" s="8"/>
      <c r="F18" s="1"/>
      <c r="G18" s="1"/>
      <c r="I18" s="5"/>
      <c r="J18" s="12"/>
      <c r="M18" s="5"/>
      <c r="N18" s="12"/>
    </row>
    <row r="19" spans="2:14" x14ac:dyDescent="0.25">
      <c r="B19" s="1"/>
      <c r="C19" s="1"/>
      <c r="D19" s="1"/>
      <c r="E19" s="8"/>
      <c r="F19" s="1"/>
      <c r="G19" s="1"/>
      <c r="I19" s="5"/>
      <c r="J19" s="12"/>
      <c r="M19" s="5"/>
      <c r="N19" s="12"/>
    </row>
    <row r="20" spans="2:14" x14ac:dyDescent="0.25">
      <c r="B20" s="1"/>
      <c r="C20" s="1"/>
      <c r="D20" s="1"/>
      <c r="E20" s="8"/>
      <c r="F20" s="1"/>
      <c r="G20" s="1"/>
      <c r="I20" s="5"/>
      <c r="J20" s="12"/>
      <c r="M20" s="5"/>
      <c r="N20" s="12"/>
    </row>
    <row r="21" spans="2:14" x14ac:dyDescent="0.25">
      <c r="B21" s="1"/>
      <c r="C21" s="1"/>
      <c r="D21" s="1"/>
      <c r="E21" s="8"/>
      <c r="F21" s="1"/>
      <c r="G21" s="1"/>
      <c r="I21" s="5"/>
      <c r="J21" s="12"/>
      <c r="M21" s="5"/>
      <c r="N21" s="12"/>
    </row>
    <row r="22" spans="2:14" x14ac:dyDescent="0.25">
      <c r="B22" s="1"/>
      <c r="C22" s="1"/>
      <c r="D22" s="1"/>
      <c r="E22" s="8"/>
      <c r="F22" s="1"/>
      <c r="G22" s="1"/>
      <c r="I22" s="5"/>
      <c r="J22" s="12"/>
      <c r="M22" s="5"/>
      <c r="N22" s="12"/>
    </row>
    <row r="23" spans="2:14" x14ac:dyDescent="0.25">
      <c r="B23" s="1"/>
      <c r="C23" s="1"/>
      <c r="D23" s="1"/>
      <c r="E23" s="8"/>
      <c r="F23" s="1"/>
      <c r="G23" s="1"/>
      <c r="I23" s="5"/>
      <c r="J23" s="12"/>
      <c r="M23" s="5"/>
      <c r="N23" s="12"/>
    </row>
    <row r="24" spans="2:14" x14ac:dyDescent="0.25">
      <c r="B24" s="1"/>
      <c r="C24" s="1"/>
      <c r="D24" s="1"/>
      <c r="E24" s="8"/>
      <c r="F24" s="1"/>
      <c r="G24" s="25"/>
      <c r="I24" s="5"/>
      <c r="J24" s="12"/>
      <c r="L24" s="14"/>
      <c r="M24" s="5"/>
      <c r="N24" s="12"/>
    </row>
    <row r="25" spans="2:14" x14ac:dyDescent="0.25">
      <c r="B25" s="1"/>
      <c r="C25" s="1"/>
      <c r="D25" s="1"/>
      <c r="E25" s="8"/>
      <c r="F25" s="1"/>
      <c r="G25" s="1"/>
      <c r="I25" s="5"/>
      <c r="J25" s="12"/>
      <c r="M25" s="5"/>
      <c r="N25" s="12"/>
    </row>
    <row r="26" spans="2:14" x14ac:dyDescent="0.25">
      <c r="B26" s="1"/>
      <c r="C26" s="1"/>
      <c r="D26" s="1"/>
      <c r="E26" s="8"/>
      <c r="F26" s="1"/>
      <c r="G26" s="1"/>
      <c r="I26" s="5"/>
      <c r="J26" s="12"/>
      <c r="M26" s="5"/>
      <c r="N26" s="12"/>
    </row>
    <row r="27" spans="2:14" x14ac:dyDescent="0.25">
      <c r="B27" s="1"/>
      <c r="C27" s="1"/>
      <c r="D27" s="1"/>
      <c r="E27" s="8"/>
      <c r="F27" s="1"/>
      <c r="G27" s="1"/>
      <c r="I27" s="5"/>
      <c r="J27" s="12"/>
      <c r="M27" s="5"/>
      <c r="N27" s="12"/>
    </row>
    <row r="28" spans="2:14" x14ac:dyDescent="0.25">
      <c r="B28" s="1"/>
      <c r="C28" s="1"/>
      <c r="D28" s="1"/>
      <c r="E28" s="8"/>
      <c r="F28" s="1"/>
      <c r="G28" s="1"/>
      <c r="I28" s="5"/>
      <c r="J28" s="12"/>
      <c r="M28" s="5"/>
      <c r="N28" s="12"/>
    </row>
    <row r="29" spans="2:14" x14ac:dyDescent="0.25">
      <c r="B29" s="1"/>
      <c r="C29" s="1"/>
      <c r="D29" s="1"/>
      <c r="E29" s="8"/>
      <c r="F29" s="1"/>
      <c r="G29" s="1"/>
      <c r="I29" s="5"/>
      <c r="J29" s="12"/>
      <c r="M29" s="5"/>
      <c r="N29" s="12"/>
    </row>
    <row r="30" spans="2:14" x14ac:dyDescent="0.25">
      <c r="B30" s="1"/>
      <c r="C30" s="1"/>
      <c r="D30" s="1"/>
      <c r="E30" s="8"/>
      <c r="F30" s="1"/>
      <c r="G30" s="1"/>
      <c r="I30" s="5"/>
      <c r="J30" s="5"/>
    </row>
    <row r="31" spans="2:14" ht="18.75" x14ac:dyDescent="0.4">
      <c r="B31" s="1"/>
      <c r="C31" s="1"/>
      <c r="D31" s="1"/>
      <c r="E31" s="8"/>
      <c r="F31" s="1"/>
      <c r="G31" s="1"/>
      <c r="I31" s="13" t="s">
        <v>22</v>
      </c>
      <c r="J31" s="15">
        <f>SUM(Tabela278121519222528313437404346495255586164677073767926912172023262932353841444750535659626568717477832691217202326293235384144475053565962656871747780[valor])</f>
        <v>200</v>
      </c>
      <c r="M31" s="13" t="s">
        <v>42</v>
      </c>
      <c r="N31" s="15">
        <f>SUM(Tabela2781213172023262932353841444750535659626568717477803710131821242730333639424548515457606366697275788437101318212427303336394245485154576063666972757881[Valor])</f>
        <v>0</v>
      </c>
    </row>
    <row r="32" spans="2:14" x14ac:dyDescent="0.25">
      <c r="B32" s="1"/>
      <c r="C32" s="1"/>
      <c r="D32" s="1"/>
      <c r="E32" s="8"/>
      <c r="F32" s="1"/>
      <c r="G32" s="1"/>
      <c r="I32" s="5"/>
      <c r="J32" s="5"/>
    </row>
    <row r="33" spans="2:11" x14ac:dyDescent="0.25">
      <c r="B33" s="1"/>
      <c r="C33" s="1"/>
      <c r="D33" s="1"/>
      <c r="E33" s="8"/>
      <c r="F33" s="1"/>
      <c r="G33" s="1"/>
      <c r="I33" s="5"/>
      <c r="J33" s="5"/>
    </row>
    <row r="34" spans="2:11" x14ac:dyDescent="0.25">
      <c r="B34" s="1"/>
      <c r="C34" s="1"/>
      <c r="D34" s="1"/>
      <c r="E34" s="8"/>
      <c r="F34" s="1"/>
      <c r="G34" s="1"/>
      <c r="I34" s="5"/>
      <c r="J34" s="5"/>
    </row>
    <row r="35" spans="2:11" x14ac:dyDescent="0.25">
      <c r="B35" s="1"/>
      <c r="C35" s="1"/>
      <c r="D35" s="1"/>
      <c r="E35" s="8"/>
      <c r="F35" s="1"/>
      <c r="G35" s="1"/>
      <c r="I35" s="5"/>
      <c r="J35" s="5"/>
    </row>
    <row r="36" spans="2:11" x14ac:dyDescent="0.25">
      <c r="B36" s="1"/>
      <c r="C36" s="1"/>
      <c r="D36" s="1"/>
      <c r="E36" s="8"/>
      <c r="F36" s="1"/>
      <c r="G36" s="1"/>
      <c r="J36" s="5"/>
    </row>
    <row r="37" spans="2:11" x14ac:dyDescent="0.25">
      <c r="I37" s="5"/>
    </row>
    <row r="39" spans="2:11" x14ac:dyDescent="0.25">
      <c r="I39" s="9"/>
    </row>
    <row r="40" spans="2:11" x14ac:dyDescent="0.25">
      <c r="I40" t="s">
        <v>20</v>
      </c>
    </row>
    <row r="41" spans="2:11" x14ac:dyDescent="0.25">
      <c r="B41" s="4" t="s">
        <v>10</v>
      </c>
      <c r="C41" s="2">
        <f>SUMIF(Tabela16511182124273033363942454851545760636669727578815811151922252831343740434649525558616467707376828558111519222528313437404346495255586164677073767982[Forma de Pagamento],"Dinheiro",Tabela16511182124273033363942454851545760636669727578815811151922252831343740434649525558616467707376828558111519222528313437404346495255586164677073767982[Valor])</f>
        <v>149</v>
      </c>
      <c r="D41" s="4" t="s">
        <v>16</v>
      </c>
      <c r="E41" s="2">
        <f>SUMIF(Tabela16511182124273033363942454851545760636669727578815811151922252831343740434649525558616467707376828558111519222528313437404346495255586164677073767982[Item],"Gás",Tabela16511182124273033363942454851545760636669727578815811151922252831343740434649525558616467707376828558111519222528313437404346495255586164677073767982[QUANTIDADE])+G41</f>
        <v>10</v>
      </c>
      <c r="F41" s="4" t="s">
        <v>25</v>
      </c>
      <c r="G41" s="2">
        <f>SUMIF(Tabela16511182124273033363942454851545760636669727578815811151922252831343740434649525558616467707376828558111519222528313437404346495255586164677073767982[Item],"Gás completo",Tabela16511182124273033363942454851545760636669727578815811151922252831343740434649525558616467707376828558111519222528313437404346495255586164677073767982[QUANTIDADE])</f>
        <v>0</v>
      </c>
    </row>
    <row r="42" spans="2:11" x14ac:dyDescent="0.25">
      <c r="B42" s="4" t="s">
        <v>11</v>
      </c>
      <c r="C42" s="2">
        <f>SUMIF(Tabela16511182124273033363942454851545760636669727578815811151922252831343740434649525558616467707376828558111519222528313437404346495255586164677073767982[Forma de Pagamento],"Cartão",Tabela16511182124273033363942454851545760636669727578815811151922252831343740434649525558616467707376828558111519222528313437404346495255586164677073767982[Valor])</f>
        <v>500</v>
      </c>
      <c r="D42" s="4" t="s">
        <v>17</v>
      </c>
      <c r="E42" s="2">
        <f>SUMIF(Tabela16511182124273033363942454851545760636669727578815811151922252831343740434649525558616467707376828558111519222528313437404346495255586164677073767982[Item],"Água",Tabela16511182124273033363942454851545760636669727578815811151922252831343740434649525558616467707376828558111519222528313437404346495255586164677073767982[QUANTIDADE])+G42</f>
        <v>3</v>
      </c>
      <c r="F42" s="4" t="s">
        <v>27</v>
      </c>
      <c r="G42" s="2">
        <f>SUMIF(Tabela16511182124273033363942454851545760636669727578815811151922252831343740434649525558616467707376828558111519222528313437404346495255586164677073767982[Item],"Água completa",Tabela16511182124273033363942454851545760636669727578815811151922252831343740434649525558616467707376828558111519222528313437404346495255586164677073767982[QUANTIDADE])</f>
        <v>0</v>
      </c>
      <c r="J42" s="4" t="s">
        <v>5</v>
      </c>
      <c r="K42" s="4" t="s">
        <v>8</v>
      </c>
    </row>
    <row r="43" spans="2:11" x14ac:dyDescent="0.25">
      <c r="B43" s="4" t="s">
        <v>12</v>
      </c>
      <c r="C43" s="2">
        <f>SUMIF(Tabela16511182124273033363942454851545760636669727578815811151922252831343740434649525558616467707376828558111519222528313437404346495255586164677073767982[Forma de Pagamento],"Pix",Tabela16511182124273033363942454851545760636669727578815811151922252831343740434649525558616467707376828558111519222528313437404346495255586164677073767982[Valor])</f>
        <v>195</v>
      </c>
      <c r="I43" s="4" t="s">
        <v>6</v>
      </c>
      <c r="J43" s="1">
        <f>SUM(J7-E41+N7)</f>
        <v>21</v>
      </c>
      <c r="K43" s="2">
        <f>SUM(K7-E42+O7)</f>
        <v>29</v>
      </c>
    </row>
    <row r="44" spans="2:11" x14ac:dyDescent="0.25">
      <c r="B44" s="4" t="s">
        <v>13</v>
      </c>
      <c r="C44" s="2">
        <f>SUMIF(Tabela16511182124273033363942454851545760636669727578815811151922252831343740434649525558616467707376828558111519222528313437404346495255586164677073767982[Forma de Pagamento],"Fiado",Tabela16511182124273033363942454851545760636669727578815811151922252831343740434649525558616467707376828558111519222528313437404346495255586164677073767982[Valor])</f>
        <v>100</v>
      </c>
      <c r="D44" s="4" t="s">
        <v>14</v>
      </c>
      <c r="E44" s="7">
        <f>SUM(F3-J31+C41+N31)</f>
        <v>-51</v>
      </c>
      <c r="I44" s="4" t="s">
        <v>7</v>
      </c>
      <c r="J44" s="2">
        <f>SUM(J8+E41-N7)-G41</f>
        <v>20</v>
      </c>
      <c r="K44" s="2">
        <f>SUM(K8+E42-O7)-G42</f>
        <v>8</v>
      </c>
    </row>
  </sheetData>
  <dataValidations count="2">
    <dataValidation type="list" allowBlank="1" showInputMessage="1" showErrorMessage="1" sqref="B7:B16 B18:B36" xr:uid="{7495F1B9-37E4-43C4-99F8-138B7376881D}">
      <formula1>"Gás,Água,Gás completo,Água completa,Gás e Água, Recebimento"</formula1>
    </dataValidation>
    <dataValidation type="list" allowBlank="1" showInputMessage="1" showErrorMessage="1" sqref="F7:F36" xr:uid="{7504395F-A473-492B-B659-D1E7370A598C}">
      <formula1>"Dinheiro,Cartão,Pix,Fiado,Pago"</formula1>
    </dataValidation>
  </dataValidations>
  <pageMargins left="0.511811024" right="0.511811024" top="0.78740157499999996" bottom="0.78740157499999996" header="0.31496062000000002" footer="0.31496062000000002"/>
  <pageSetup paperSize="0" orientation="portrait" horizontalDpi="203" verticalDpi="203" r:id="rId1"/>
  <drawing r:id="rId2"/>
  <tableParts count="3"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970E2-04C4-463B-8424-2490228B4851}">
  <dimension ref="B2:O44"/>
  <sheetViews>
    <sheetView showGridLines="0" topLeftCell="A4" workbookViewId="0">
      <selection activeCell="C42" sqref="C42"/>
    </sheetView>
  </sheetViews>
  <sheetFormatPr defaultRowHeight="15" x14ac:dyDescent="0.25"/>
  <cols>
    <col min="2" max="2" width="14.7109375" customWidth="1"/>
    <col min="3" max="3" width="38.140625" customWidth="1"/>
    <col min="4" max="4" width="19.85546875" customWidth="1"/>
    <col min="5" max="5" width="21.85546875" customWidth="1"/>
    <col min="6" max="6" width="25.85546875" customWidth="1"/>
    <col min="7" max="7" width="16.7109375" customWidth="1"/>
    <col min="8" max="8" width="11.28515625" customWidth="1"/>
    <col min="9" max="9" width="21.85546875" customWidth="1"/>
    <col min="10" max="10" width="13.5703125" customWidth="1"/>
    <col min="11" max="11" width="12.28515625" customWidth="1"/>
    <col min="12" max="12" width="8.5703125" customWidth="1"/>
    <col min="13" max="13" width="19.7109375" customWidth="1"/>
    <col min="14" max="14" width="15.5703125" customWidth="1"/>
    <col min="15" max="15" width="13" customWidth="1"/>
  </cols>
  <sheetData>
    <row r="2" spans="2:15" ht="15.75" x14ac:dyDescent="0.25">
      <c r="E2" s="10" t="s">
        <v>4</v>
      </c>
      <c r="F2" s="3">
        <v>45195</v>
      </c>
    </row>
    <row r="3" spans="2:15" ht="15.75" x14ac:dyDescent="0.25">
      <c r="E3" s="10" t="s">
        <v>15</v>
      </c>
      <c r="F3" s="7">
        <v>570</v>
      </c>
    </row>
    <row r="4" spans="2:15" x14ac:dyDescent="0.25">
      <c r="J4" t="s">
        <v>19</v>
      </c>
      <c r="M4" t="s">
        <v>24</v>
      </c>
    </row>
    <row r="6" spans="2:15" x14ac:dyDescent="0.25">
      <c r="B6" s="6" t="s">
        <v>9</v>
      </c>
      <c r="C6" s="6" t="s">
        <v>0</v>
      </c>
      <c r="D6" s="6" t="s">
        <v>1</v>
      </c>
      <c r="E6" s="6" t="s">
        <v>2</v>
      </c>
      <c r="F6" s="6" t="s">
        <v>3</v>
      </c>
      <c r="G6" s="6" t="s">
        <v>26</v>
      </c>
      <c r="J6" s="4" t="s">
        <v>5</v>
      </c>
      <c r="K6" s="4" t="s">
        <v>8</v>
      </c>
      <c r="N6" s="4" t="s">
        <v>5</v>
      </c>
      <c r="O6" s="4" t="s">
        <v>8</v>
      </c>
    </row>
    <row r="7" spans="2:15" x14ac:dyDescent="0.25">
      <c r="B7" s="1" t="s">
        <v>8</v>
      </c>
      <c r="C7" s="1" t="s">
        <v>421</v>
      </c>
      <c r="D7" s="1"/>
      <c r="E7" s="8">
        <v>9</v>
      </c>
      <c r="F7" s="1"/>
      <c r="G7" s="1">
        <v>1</v>
      </c>
      <c r="I7" s="4" t="s">
        <v>6</v>
      </c>
      <c r="J7" s="1">
        <v>22</v>
      </c>
      <c r="K7" s="11">
        <v>32</v>
      </c>
      <c r="M7" s="4" t="s">
        <v>23</v>
      </c>
      <c r="N7" s="11">
        <v>20</v>
      </c>
      <c r="O7" s="11"/>
    </row>
    <row r="8" spans="2:15" x14ac:dyDescent="0.25">
      <c r="B8" s="1" t="s">
        <v>5</v>
      </c>
      <c r="C8" s="1" t="s">
        <v>422</v>
      </c>
      <c r="D8" s="1"/>
      <c r="E8" s="8">
        <v>100</v>
      </c>
      <c r="F8" s="1" t="s">
        <v>11</v>
      </c>
      <c r="G8" s="1">
        <v>1</v>
      </c>
      <c r="I8" s="4" t="s">
        <v>7</v>
      </c>
      <c r="J8" s="11">
        <v>18</v>
      </c>
      <c r="K8" s="11">
        <v>10</v>
      </c>
    </row>
    <row r="9" spans="2:15" x14ac:dyDescent="0.25">
      <c r="B9" s="1" t="s">
        <v>5</v>
      </c>
      <c r="C9" s="1" t="s">
        <v>423</v>
      </c>
      <c r="D9" s="1"/>
      <c r="E9" s="8">
        <v>100</v>
      </c>
      <c r="F9" s="1" t="s">
        <v>10</v>
      </c>
      <c r="G9" s="1">
        <v>1</v>
      </c>
    </row>
    <row r="10" spans="2:15" x14ac:dyDescent="0.25">
      <c r="B10" s="1" t="s">
        <v>8</v>
      </c>
      <c r="C10" s="1" t="s">
        <v>424</v>
      </c>
      <c r="D10" s="1"/>
      <c r="E10" s="8">
        <v>9</v>
      </c>
      <c r="F10" s="1" t="s">
        <v>12</v>
      </c>
      <c r="G10" s="1">
        <v>1</v>
      </c>
    </row>
    <row r="11" spans="2:15" x14ac:dyDescent="0.25">
      <c r="B11" s="1" t="s">
        <v>8</v>
      </c>
      <c r="C11" s="1" t="s">
        <v>425</v>
      </c>
      <c r="D11" s="1"/>
      <c r="E11" s="8">
        <v>10</v>
      </c>
      <c r="F11" s="1" t="s">
        <v>11</v>
      </c>
      <c r="G11" s="1">
        <v>1</v>
      </c>
    </row>
    <row r="12" spans="2:15" x14ac:dyDescent="0.25">
      <c r="B12" s="1" t="s">
        <v>5</v>
      </c>
      <c r="C12" s="1" t="s">
        <v>426</v>
      </c>
      <c r="D12" s="1"/>
      <c r="E12" s="8">
        <v>100</v>
      </c>
      <c r="F12" s="1" t="s">
        <v>11</v>
      </c>
      <c r="G12" s="1">
        <v>1</v>
      </c>
    </row>
    <row r="13" spans="2:15" x14ac:dyDescent="0.25">
      <c r="B13" s="1" t="s">
        <v>5</v>
      </c>
      <c r="C13" s="1" t="s">
        <v>427</v>
      </c>
      <c r="D13" s="1"/>
      <c r="E13" s="8">
        <v>100</v>
      </c>
      <c r="F13" s="1" t="s">
        <v>10</v>
      </c>
      <c r="G13" s="1">
        <v>1</v>
      </c>
      <c r="I13" t="s">
        <v>21</v>
      </c>
    </row>
    <row r="14" spans="2:15" x14ac:dyDescent="0.25">
      <c r="B14" s="1" t="s">
        <v>5</v>
      </c>
      <c r="C14" s="1" t="s">
        <v>428</v>
      </c>
      <c r="D14" s="1"/>
      <c r="E14" s="8">
        <v>95</v>
      </c>
      <c r="F14" s="1" t="s">
        <v>11</v>
      </c>
      <c r="G14" s="1">
        <v>1</v>
      </c>
    </row>
    <row r="15" spans="2:15" x14ac:dyDescent="0.25">
      <c r="B15" s="1" t="s">
        <v>5</v>
      </c>
      <c r="C15" s="1" t="s">
        <v>429</v>
      </c>
      <c r="D15" s="1" t="s">
        <v>243</v>
      </c>
      <c r="E15" s="8">
        <v>100</v>
      </c>
      <c r="F15" s="1" t="s">
        <v>10</v>
      </c>
      <c r="G15" s="1">
        <v>1</v>
      </c>
    </row>
    <row r="16" spans="2:15" x14ac:dyDescent="0.25">
      <c r="B16" s="1" t="s">
        <v>5</v>
      </c>
      <c r="C16" s="1"/>
      <c r="D16" s="1"/>
      <c r="E16" s="8">
        <v>90</v>
      </c>
      <c r="F16" s="1" t="s">
        <v>10</v>
      </c>
      <c r="G16" s="1">
        <v>1</v>
      </c>
      <c r="I16" s="5" t="s">
        <v>43</v>
      </c>
      <c r="J16" s="5" t="s">
        <v>44</v>
      </c>
      <c r="M16" s="5" t="s">
        <v>18</v>
      </c>
      <c r="N16" s="5" t="s">
        <v>2</v>
      </c>
    </row>
    <row r="17" spans="2:14" x14ac:dyDescent="0.25">
      <c r="B17" s="1" t="s">
        <v>5</v>
      </c>
      <c r="C17" s="1"/>
      <c r="D17" s="1"/>
      <c r="E17" s="8">
        <v>95</v>
      </c>
      <c r="F17" s="1" t="s">
        <v>12</v>
      </c>
      <c r="G17" s="1">
        <v>1</v>
      </c>
      <c r="I17" s="5"/>
      <c r="J17" s="7">
        <v>670</v>
      </c>
      <c r="M17" s="5"/>
      <c r="N17" s="12"/>
    </row>
    <row r="18" spans="2:14" x14ac:dyDescent="0.25">
      <c r="B18" s="1" t="s">
        <v>5</v>
      </c>
      <c r="C18" s="1"/>
      <c r="D18" s="1"/>
      <c r="E18" s="8">
        <v>100</v>
      </c>
      <c r="F18" s="1" t="s">
        <v>11</v>
      </c>
      <c r="G18" s="1">
        <v>1</v>
      </c>
      <c r="I18" s="5"/>
      <c r="J18" s="12">
        <v>53</v>
      </c>
      <c r="M18" s="5"/>
      <c r="N18" s="12"/>
    </row>
    <row r="19" spans="2:14" x14ac:dyDescent="0.25">
      <c r="B19" s="1" t="s">
        <v>5</v>
      </c>
      <c r="C19" s="1" t="s">
        <v>430</v>
      </c>
      <c r="D19" s="1"/>
      <c r="E19" s="8">
        <v>100</v>
      </c>
      <c r="F19" s="1" t="s">
        <v>11</v>
      </c>
      <c r="G19" s="1">
        <v>1</v>
      </c>
      <c r="I19" s="5"/>
      <c r="J19" s="12"/>
      <c r="M19" s="5"/>
      <c r="N19" s="12"/>
    </row>
    <row r="20" spans="2:14" x14ac:dyDescent="0.25">
      <c r="B20" s="1"/>
      <c r="C20" s="1"/>
      <c r="D20" s="1"/>
      <c r="E20" s="8"/>
      <c r="F20" s="1"/>
      <c r="G20" s="1"/>
      <c r="I20" s="5"/>
      <c r="J20" s="12"/>
      <c r="M20" s="5"/>
      <c r="N20" s="12"/>
    </row>
    <row r="21" spans="2:14" x14ac:dyDescent="0.25">
      <c r="B21" s="1"/>
      <c r="C21" s="1"/>
      <c r="D21" s="1"/>
      <c r="E21" s="8"/>
      <c r="F21" s="1"/>
      <c r="G21" s="1"/>
      <c r="I21" s="5"/>
      <c r="J21" s="12"/>
      <c r="M21" s="5"/>
      <c r="N21" s="12"/>
    </row>
    <row r="22" spans="2:14" x14ac:dyDescent="0.25">
      <c r="B22" s="1"/>
      <c r="C22" s="1"/>
      <c r="D22" s="1"/>
      <c r="E22" s="8"/>
      <c r="F22" s="1"/>
      <c r="G22" s="1"/>
      <c r="I22" s="5"/>
      <c r="J22" s="12"/>
      <c r="M22" s="5"/>
      <c r="N22" s="12"/>
    </row>
    <row r="23" spans="2:14" x14ac:dyDescent="0.25">
      <c r="B23" s="1"/>
      <c r="C23" s="1"/>
      <c r="D23" s="1"/>
      <c r="E23" s="8"/>
      <c r="F23" s="1"/>
      <c r="G23" s="1"/>
      <c r="I23" s="5"/>
      <c r="J23" s="12"/>
      <c r="M23" s="5"/>
      <c r="N23" s="12"/>
    </row>
    <row r="24" spans="2:14" x14ac:dyDescent="0.25">
      <c r="B24" s="1"/>
      <c r="C24" s="1"/>
      <c r="D24" s="1"/>
      <c r="E24" s="8"/>
      <c r="F24" s="1"/>
      <c r="G24" s="25"/>
      <c r="I24" s="5"/>
      <c r="J24" s="12"/>
      <c r="L24" s="14"/>
      <c r="M24" s="5"/>
      <c r="N24" s="12"/>
    </row>
    <row r="25" spans="2:14" x14ac:dyDescent="0.25">
      <c r="B25" s="1"/>
      <c r="C25" s="1"/>
      <c r="D25" s="1"/>
      <c r="E25" s="8"/>
      <c r="F25" s="1"/>
      <c r="G25" s="1"/>
      <c r="I25" s="5"/>
      <c r="J25" s="12"/>
      <c r="M25" s="5"/>
      <c r="N25" s="12"/>
    </row>
    <row r="26" spans="2:14" x14ac:dyDescent="0.25">
      <c r="B26" s="1"/>
      <c r="C26" s="1"/>
      <c r="D26" s="1"/>
      <c r="E26" s="8"/>
      <c r="F26" s="1"/>
      <c r="G26" s="1"/>
      <c r="I26" s="5"/>
      <c r="J26" s="12"/>
      <c r="M26" s="5"/>
      <c r="N26" s="12"/>
    </row>
    <row r="27" spans="2:14" x14ac:dyDescent="0.25">
      <c r="B27" s="1"/>
      <c r="C27" s="1"/>
      <c r="D27" s="1"/>
      <c r="E27" s="8"/>
      <c r="F27" s="1"/>
      <c r="G27" s="1"/>
      <c r="I27" s="5"/>
      <c r="J27" s="12"/>
      <c r="M27" s="5"/>
      <c r="N27" s="12"/>
    </row>
    <row r="28" spans="2:14" x14ac:dyDescent="0.25">
      <c r="B28" s="1"/>
      <c r="C28" s="1"/>
      <c r="D28" s="1"/>
      <c r="E28" s="8"/>
      <c r="F28" s="1"/>
      <c r="G28" s="1"/>
      <c r="I28" s="5"/>
      <c r="J28" s="12"/>
      <c r="M28" s="5"/>
      <c r="N28" s="12"/>
    </row>
    <row r="29" spans="2:14" x14ac:dyDescent="0.25">
      <c r="B29" s="1"/>
      <c r="C29" s="1"/>
      <c r="D29" s="1"/>
      <c r="E29" s="8"/>
      <c r="F29" s="1"/>
      <c r="G29" s="1"/>
      <c r="I29" s="5"/>
      <c r="J29" s="12"/>
      <c r="M29" s="5"/>
      <c r="N29" s="12"/>
    </row>
    <row r="30" spans="2:14" x14ac:dyDescent="0.25">
      <c r="B30" s="1"/>
      <c r="C30" s="1"/>
      <c r="D30" s="1"/>
      <c r="E30" s="8"/>
      <c r="F30" s="1"/>
      <c r="G30" s="1"/>
      <c r="I30" s="5"/>
      <c r="J30" s="5"/>
    </row>
    <row r="31" spans="2:14" ht="18.75" x14ac:dyDescent="0.4">
      <c r="B31" s="1"/>
      <c r="C31" s="1"/>
      <c r="D31" s="1"/>
      <c r="E31" s="8"/>
      <c r="F31" s="1"/>
      <c r="G31" s="1"/>
      <c r="I31" s="13" t="s">
        <v>22</v>
      </c>
      <c r="J31" s="15">
        <f>SUM(Tabela2781215192225283134374043464952555861646770737679269121720232629323538414447505356596265687174778326912172023262932353841444750535659626568717477[valor])</f>
        <v>723</v>
      </c>
      <c r="M31" s="13" t="s">
        <v>42</v>
      </c>
      <c r="N31" s="15">
        <f>SUM(Tabela27812131720232629323538414447505356596265687174778037101318212427303336394245485154576063666972757884371013182124273033363942454851545760636669727578[Valor])</f>
        <v>0</v>
      </c>
    </row>
    <row r="32" spans="2:14" x14ac:dyDescent="0.25">
      <c r="B32" s="1"/>
      <c r="C32" s="1"/>
      <c r="D32" s="1"/>
      <c r="E32" s="8"/>
      <c r="F32" s="1"/>
      <c r="G32" s="1"/>
      <c r="I32" s="5"/>
      <c r="J32" s="5"/>
    </row>
    <row r="33" spans="2:11" x14ac:dyDescent="0.25">
      <c r="B33" s="1"/>
      <c r="C33" s="1"/>
      <c r="D33" s="1"/>
      <c r="E33" s="8"/>
      <c r="F33" s="1"/>
      <c r="G33" s="1"/>
      <c r="I33" s="5"/>
      <c r="J33" s="5"/>
    </row>
    <row r="34" spans="2:11" x14ac:dyDescent="0.25">
      <c r="B34" s="1"/>
      <c r="C34" s="1"/>
      <c r="D34" s="1"/>
      <c r="E34" s="8"/>
      <c r="F34" s="1"/>
      <c r="G34" s="1"/>
      <c r="I34" s="5"/>
      <c r="J34" s="5"/>
    </row>
    <row r="35" spans="2:11" x14ac:dyDescent="0.25">
      <c r="B35" s="1"/>
      <c r="C35" s="1"/>
      <c r="D35" s="1"/>
      <c r="E35" s="8"/>
      <c r="F35" s="1"/>
      <c r="G35" s="1"/>
      <c r="I35" s="5"/>
      <c r="J35" s="5"/>
    </row>
    <row r="36" spans="2:11" x14ac:dyDescent="0.25">
      <c r="B36" s="1"/>
      <c r="C36" s="1"/>
      <c r="D36" s="1"/>
      <c r="E36" s="8"/>
      <c r="F36" s="1"/>
      <c r="G36" s="1"/>
      <c r="J36" s="5"/>
    </row>
    <row r="37" spans="2:11" x14ac:dyDescent="0.25">
      <c r="I37" s="5"/>
    </row>
    <row r="39" spans="2:11" x14ac:dyDescent="0.25">
      <c r="I39" s="9"/>
    </row>
    <row r="40" spans="2:11" x14ac:dyDescent="0.25">
      <c r="I40" t="s">
        <v>20</v>
      </c>
    </row>
    <row r="41" spans="2:11" x14ac:dyDescent="0.25">
      <c r="B41" s="4" t="s">
        <v>10</v>
      </c>
      <c r="C41" s="2">
        <f>SUMIF(Tabela165111821242730333639424548515457606366697275788158111519222528313437404346495255586164677073768285581115192225283134374043464952555861646770737679[Forma de Pagamento],"Dinheiro",Tabela165111821242730333639424548515457606366697275788158111519222528313437404346495255586164677073768285581115192225283134374043464952555861646770737679[Valor])</f>
        <v>390</v>
      </c>
      <c r="D41" s="4" t="s">
        <v>16</v>
      </c>
      <c r="E41" s="2">
        <f>SUMIF(Tabela165111821242730333639424548515457606366697275788158111519222528313437404346495255586164677073768285581115192225283134374043464952555861646770737679[Item],"Gás",Tabela165111821242730333639424548515457606366697275788158111519222528313437404346495255586164677073768285581115192225283134374043464952555861646770737679[QUANTIDADE])+G41</f>
        <v>10</v>
      </c>
      <c r="F41" s="4" t="s">
        <v>25</v>
      </c>
      <c r="G41" s="2">
        <f>SUMIF(Tabela165111821242730333639424548515457606366697275788158111519222528313437404346495255586164677073768285581115192225283134374043464952555861646770737679[Item],"Gás completo",Tabela165111821242730333639424548515457606366697275788158111519222528313437404346495255586164677073768285581115192225283134374043464952555861646770737679[QUANTIDADE])</f>
        <v>0</v>
      </c>
    </row>
    <row r="42" spans="2:11" x14ac:dyDescent="0.25">
      <c r="B42" s="4" t="s">
        <v>11</v>
      </c>
      <c r="C42" s="2">
        <f>SUMIF(Tabela165111821242730333639424548515457606366697275788158111519222528313437404346495255586164677073768285581115192225283134374043464952555861646770737679[Forma de Pagamento],"Cartão",Tabela165111821242730333639424548515457606366697275788158111519222528313437404346495255586164677073768285581115192225283134374043464952555861646770737679[Valor])</f>
        <v>505</v>
      </c>
      <c r="D42" s="4" t="s">
        <v>17</v>
      </c>
      <c r="E42" s="2">
        <f>SUMIF(Tabela165111821242730333639424548515457606366697275788158111519222528313437404346495255586164677073768285581115192225283134374043464952555861646770737679[Item],"Água",Tabela165111821242730333639424548515457606366697275788158111519222528313437404346495255586164677073768285581115192225283134374043464952555861646770737679[QUANTIDADE])+G42</f>
        <v>3</v>
      </c>
      <c r="F42" s="4" t="s">
        <v>27</v>
      </c>
      <c r="G42" s="2">
        <f>SUMIF(Tabela165111821242730333639424548515457606366697275788158111519222528313437404346495255586164677073768285581115192225283134374043464952555861646770737679[Item],"Água completa",Tabela165111821242730333639424548515457606366697275788158111519222528313437404346495255586164677073768285581115192225283134374043464952555861646770737679[QUANTIDADE])</f>
        <v>0</v>
      </c>
      <c r="J42" s="4" t="s">
        <v>5</v>
      </c>
      <c r="K42" s="4" t="s">
        <v>8</v>
      </c>
    </row>
    <row r="43" spans="2:11" x14ac:dyDescent="0.25">
      <c r="B43" s="4" t="s">
        <v>12</v>
      </c>
      <c r="C43" s="2">
        <f>SUMIF(Tabela165111821242730333639424548515457606366697275788158111519222528313437404346495255586164677073768285581115192225283134374043464952555861646770737679[Forma de Pagamento],"Pix",Tabela165111821242730333639424548515457606366697275788158111519222528313437404346495255586164677073768285581115192225283134374043464952555861646770737679[Valor])</f>
        <v>104</v>
      </c>
      <c r="I43" s="4" t="s">
        <v>6</v>
      </c>
      <c r="J43" s="1">
        <f>SUM(J7-E41+N7)</f>
        <v>32</v>
      </c>
      <c r="K43" s="2">
        <f>SUM(K7-E42+O7)</f>
        <v>29</v>
      </c>
    </row>
    <row r="44" spans="2:11" x14ac:dyDescent="0.25">
      <c r="B44" s="4" t="s">
        <v>13</v>
      </c>
      <c r="C44" s="2">
        <f>SUMIF(Tabela165111821242730333639424548515457606366697275788158111519222528313437404346495255586164677073768285581115192225283134374043464952555861646770737679[Forma de Pagamento],"Fiado",Tabela165111821242730333639424548515457606366697275788158111519222528313437404346495255586164677073768285581115192225283134374043464952555861646770737679[Valor])</f>
        <v>0</v>
      </c>
      <c r="D44" s="4" t="s">
        <v>14</v>
      </c>
      <c r="E44" s="7">
        <f>SUM(F3-J31+C41+N31)</f>
        <v>237</v>
      </c>
      <c r="I44" s="4" t="s">
        <v>7</v>
      </c>
      <c r="J44" s="2">
        <f>SUM(J8+E41-N7)-G41</f>
        <v>8</v>
      </c>
      <c r="K44" s="2">
        <f>SUM(K8+E42-O7)-G42</f>
        <v>13</v>
      </c>
    </row>
  </sheetData>
  <dataValidations count="2">
    <dataValidation type="list" allowBlank="1" showInputMessage="1" showErrorMessage="1" sqref="F7:F36" xr:uid="{4DFB1FA9-4CD1-47D2-B7E7-E16275AF4A2B}">
      <formula1>"Dinheiro,Cartão,Pix,Fiado,Pago"</formula1>
    </dataValidation>
    <dataValidation type="list" allowBlank="1" showInputMessage="1" showErrorMessage="1" sqref="B7:B16 B18:B36" xr:uid="{2EF1F68B-2AB2-41F3-BABF-C6958682A84E}">
      <formula1>"Gás,Água,Gás completo,Água completa,Gás e Água, Recebimento"</formula1>
    </dataValidation>
  </dataValidations>
  <pageMargins left="0.511811024" right="0.511811024" top="0.78740157499999996" bottom="0.78740157499999996" header="0.31496062000000002" footer="0.31496062000000002"/>
  <pageSetup paperSize="0" orientation="portrait" horizontalDpi="203" verticalDpi="203" r:id="rId1"/>
  <drawing r:id="rId2"/>
  <tableParts count="3"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1A8B4-7452-4154-A3BB-73E7C2704BBB}">
  <dimension ref="B2:O44"/>
  <sheetViews>
    <sheetView showGridLines="0" workbookViewId="0">
      <selection activeCell="F28" sqref="F28"/>
    </sheetView>
  </sheetViews>
  <sheetFormatPr defaultRowHeight="15" x14ac:dyDescent="0.25"/>
  <cols>
    <col min="2" max="2" width="14.7109375" customWidth="1"/>
    <col min="3" max="3" width="38.140625" customWidth="1"/>
    <col min="4" max="4" width="19.85546875" customWidth="1"/>
    <col min="5" max="5" width="21.85546875" customWidth="1"/>
    <col min="6" max="6" width="25.85546875" customWidth="1"/>
    <col min="7" max="7" width="16.7109375" customWidth="1"/>
    <col min="8" max="8" width="11.28515625" customWidth="1"/>
    <col min="9" max="9" width="21.85546875" customWidth="1"/>
    <col min="10" max="10" width="13.5703125" customWidth="1"/>
    <col min="11" max="11" width="12.28515625" customWidth="1"/>
    <col min="12" max="12" width="8.5703125" customWidth="1"/>
    <col min="13" max="13" width="19.7109375" customWidth="1"/>
    <col min="14" max="14" width="15.5703125" customWidth="1"/>
    <col min="15" max="15" width="13" customWidth="1"/>
  </cols>
  <sheetData>
    <row r="2" spans="2:15" ht="15.75" x14ac:dyDescent="0.25">
      <c r="E2" s="10" t="s">
        <v>4</v>
      </c>
      <c r="F2" s="3">
        <v>45192</v>
      </c>
    </row>
    <row r="3" spans="2:15" ht="15.75" x14ac:dyDescent="0.25">
      <c r="E3" s="10" t="s">
        <v>15</v>
      </c>
      <c r="F3" s="7">
        <v>1000</v>
      </c>
    </row>
    <row r="4" spans="2:15" x14ac:dyDescent="0.25">
      <c r="J4" t="s">
        <v>19</v>
      </c>
      <c r="M4" t="s">
        <v>24</v>
      </c>
    </row>
    <row r="6" spans="2:15" x14ac:dyDescent="0.25">
      <c r="B6" s="6" t="s">
        <v>9</v>
      </c>
      <c r="C6" s="6" t="s">
        <v>0</v>
      </c>
      <c r="D6" s="6" t="s">
        <v>1</v>
      </c>
      <c r="E6" s="6" t="s">
        <v>2</v>
      </c>
      <c r="F6" s="6" t="s">
        <v>3</v>
      </c>
      <c r="G6" s="6" t="s">
        <v>26</v>
      </c>
      <c r="J6" s="4" t="s">
        <v>5</v>
      </c>
      <c r="K6" s="4" t="s">
        <v>8</v>
      </c>
      <c r="N6" s="4" t="s">
        <v>5</v>
      </c>
      <c r="O6" s="4" t="s">
        <v>8</v>
      </c>
    </row>
    <row r="7" spans="2:15" x14ac:dyDescent="0.25">
      <c r="B7" s="1" t="s">
        <v>5</v>
      </c>
      <c r="C7" s="1" t="s">
        <v>410</v>
      </c>
      <c r="D7" s="1"/>
      <c r="E7" s="8">
        <v>110</v>
      </c>
      <c r="F7" s="1" t="s">
        <v>10</v>
      </c>
      <c r="G7" s="1">
        <v>1</v>
      </c>
      <c r="I7" s="4" t="s">
        <v>6</v>
      </c>
      <c r="J7" s="1">
        <v>5</v>
      </c>
      <c r="K7" s="11">
        <v>4</v>
      </c>
      <c r="M7" s="4" t="s">
        <v>23</v>
      </c>
      <c r="N7" s="11">
        <v>35</v>
      </c>
      <c r="O7" s="11"/>
    </row>
    <row r="8" spans="2:15" x14ac:dyDescent="0.25">
      <c r="B8" s="1" t="s">
        <v>5</v>
      </c>
      <c r="C8" s="1" t="s">
        <v>411</v>
      </c>
      <c r="D8" s="1"/>
      <c r="E8" s="8">
        <v>280</v>
      </c>
      <c r="F8" s="1" t="s">
        <v>10</v>
      </c>
      <c r="G8" s="1">
        <v>3</v>
      </c>
      <c r="I8" s="4" t="s">
        <v>7</v>
      </c>
      <c r="J8" s="11">
        <v>36</v>
      </c>
      <c r="K8" s="11">
        <v>38</v>
      </c>
    </row>
    <row r="9" spans="2:15" x14ac:dyDescent="0.25">
      <c r="B9" s="1" t="s">
        <v>8</v>
      </c>
      <c r="C9" s="1" t="s">
        <v>412</v>
      </c>
      <c r="D9" s="1"/>
      <c r="E9" s="8">
        <v>10</v>
      </c>
      <c r="F9" s="1"/>
      <c r="G9" s="1">
        <v>1</v>
      </c>
    </row>
    <row r="10" spans="2:15" x14ac:dyDescent="0.25">
      <c r="B10" s="1" t="s">
        <v>5</v>
      </c>
      <c r="C10" s="1" t="s">
        <v>413</v>
      </c>
      <c r="D10" s="1"/>
      <c r="E10" s="8">
        <v>100</v>
      </c>
      <c r="F10" s="1" t="s">
        <v>10</v>
      </c>
      <c r="G10" s="1">
        <v>1</v>
      </c>
    </row>
    <row r="11" spans="2:15" x14ac:dyDescent="0.25">
      <c r="B11" s="1" t="s">
        <v>5</v>
      </c>
      <c r="C11" s="1" t="s">
        <v>144</v>
      </c>
      <c r="D11" s="1"/>
      <c r="E11" s="8">
        <v>100</v>
      </c>
      <c r="F11" s="1" t="s">
        <v>11</v>
      </c>
      <c r="G11" s="1">
        <v>1</v>
      </c>
    </row>
    <row r="12" spans="2:15" x14ac:dyDescent="0.25">
      <c r="B12" s="1" t="s">
        <v>8</v>
      </c>
      <c r="C12" s="1" t="s">
        <v>414</v>
      </c>
      <c r="D12" s="1"/>
      <c r="E12" s="8">
        <v>9</v>
      </c>
      <c r="F12" s="1"/>
      <c r="G12" s="1">
        <v>1</v>
      </c>
    </row>
    <row r="13" spans="2:15" x14ac:dyDescent="0.25">
      <c r="B13" s="1" t="s">
        <v>5</v>
      </c>
      <c r="C13" s="1" t="s">
        <v>415</v>
      </c>
      <c r="D13" s="1"/>
      <c r="E13" s="8">
        <v>100</v>
      </c>
      <c r="F13" s="1" t="s">
        <v>10</v>
      </c>
      <c r="G13" s="1">
        <v>1</v>
      </c>
      <c r="I13" t="s">
        <v>21</v>
      </c>
    </row>
    <row r="14" spans="2:15" x14ac:dyDescent="0.25">
      <c r="B14" s="1" t="s">
        <v>5</v>
      </c>
      <c r="C14" s="1">
        <v>44</v>
      </c>
      <c r="D14" s="1"/>
      <c r="E14" s="8">
        <v>100</v>
      </c>
      <c r="F14" s="1" t="s">
        <v>12</v>
      </c>
      <c r="G14" s="1">
        <v>1</v>
      </c>
    </row>
    <row r="15" spans="2:15" x14ac:dyDescent="0.25">
      <c r="B15" s="1" t="s">
        <v>5</v>
      </c>
      <c r="C15" s="1" t="s">
        <v>416</v>
      </c>
      <c r="D15" s="1" t="s">
        <v>254</v>
      </c>
      <c r="E15" s="8">
        <v>100</v>
      </c>
      <c r="F15" s="1" t="s">
        <v>10</v>
      </c>
      <c r="G15" s="1">
        <v>1</v>
      </c>
    </row>
    <row r="16" spans="2:15" x14ac:dyDescent="0.25">
      <c r="B16" s="1" t="s">
        <v>5</v>
      </c>
      <c r="C16" s="1" t="s">
        <v>417</v>
      </c>
      <c r="D16" s="1"/>
      <c r="E16" s="8">
        <v>100</v>
      </c>
      <c r="F16" s="1" t="s">
        <v>11</v>
      </c>
      <c r="G16" s="1">
        <v>1</v>
      </c>
      <c r="I16" s="5" t="s">
        <v>43</v>
      </c>
      <c r="J16" s="5" t="s">
        <v>44</v>
      </c>
      <c r="M16" s="5" t="s">
        <v>18</v>
      </c>
      <c r="N16" s="5" t="s">
        <v>2</v>
      </c>
    </row>
    <row r="17" spans="2:14" x14ac:dyDescent="0.25">
      <c r="B17" s="1" t="s">
        <v>5</v>
      </c>
      <c r="C17" s="1" t="s">
        <v>409</v>
      </c>
      <c r="D17" s="1"/>
      <c r="E17" s="8">
        <v>100</v>
      </c>
      <c r="F17" s="1" t="s">
        <v>13</v>
      </c>
      <c r="G17" s="1">
        <v>1</v>
      </c>
      <c r="I17" s="5"/>
      <c r="J17" s="7">
        <v>1100</v>
      </c>
      <c r="M17" s="5"/>
      <c r="N17" s="12">
        <v>105</v>
      </c>
    </row>
    <row r="18" spans="2:14" x14ac:dyDescent="0.25">
      <c r="B18" s="1" t="s">
        <v>5</v>
      </c>
      <c r="C18" s="1" t="s">
        <v>418</v>
      </c>
      <c r="D18" s="1"/>
      <c r="E18" s="8">
        <v>100</v>
      </c>
      <c r="F18" s="1" t="s">
        <v>11</v>
      </c>
      <c r="G18" s="1">
        <v>1</v>
      </c>
      <c r="I18" s="5"/>
      <c r="J18" s="12">
        <v>655</v>
      </c>
      <c r="M18" s="5"/>
      <c r="N18" s="12">
        <v>105</v>
      </c>
    </row>
    <row r="19" spans="2:14" x14ac:dyDescent="0.25">
      <c r="B19" s="1" t="s">
        <v>5</v>
      </c>
      <c r="C19" s="1" t="s">
        <v>91</v>
      </c>
      <c r="D19" s="1"/>
      <c r="E19" s="8">
        <v>95</v>
      </c>
      <c r="F19" s="1" t="s">
        <v>10</v>
      </c>
      <c r="G19" s="1">
        <v>1</v>
      </c>
      <c r="I19" s="5"/>
      <c r="J19" s="12">
        <v>156</v>
      </c>
      <c r="M19" s="5"/>
      <c r="N19" s="12"/>
    </row>
    <row r="20" spans="2:14" x14ac:dyDescent="0.25">
      <c r="B20" s="1" t="s">
        <v>5</v>
      </c>
      <c r="C20" s="1" t="s">
        <v>420</v>
      </c>
      <c r="D20" s="1"/>
      <c r="E20" s="8">
        <v>100</v>
      </c>
      <c r="F20" s="1" t="s">
        <v>13</v>
      </c>
      <c r="G20" s="1">
        <v>1</v>
      </c>
      <c r="I20" s="5"/>
      <c r="J20" s="12">
        <v>25</v>
      </c>
      <c r="M20" s="5"/>
      <c r="N20" s="12"/>
    </row>
    <row r="21" spans="2:14" x14ac:dyDescent="0.25">
      <c r="B21" s="1" t="s">
        <v>5</v>
      </c>
      <c r="C21" s="1"/>
      <c r="D21" s="1"/>
      <c r="E21" s="8">
        <v>100</v>
      </c>
      <c r="F21" s="1" t="s">
        <v>11</v>
      </c>
      <c r="G21" s="1">
        <v>1</v>
      </c>
      <c r="I21" s="5"/>
      <c r="J21" s="12"/>
      <c r="M21" s="5"/>
      <c r="N21" s="12"/>
    </row>
    <row r="22" spans="2:14" x14ac:dyDescent="0.25">
      <c r="B22" s="1" t="s">
        <v>5</v>
      </c>
      <c r="C22" s="1" t="s">
        <v>419</v>
      </c>
      <c r="D22" s="1"/>
      <c r="E22" s="8">
        <v>100</v>
      </c>
      <c r="F22" s="1" t="s">
        <v>11</v>
      </c>
      <c r="G22" s="1">
        <v>1</v>
      </c>
      <c r="I22" s="5"/>
      <c r="J22" s="12"/>
      <c r="M22" s="5"/>
      <c r="N22" s="12"/>
    </row>
    <row r="23" spans="2:14" x14ac:dyDescent="0.25">
      <c r="B23" s="1"/>
      <c r="C23" s="1"/>
      <c r="D23" s="1"/>
      <c r="E23" s="8"/>
      <c r="F23" s="1"/>
      <c r="G23" s="1"/>
      <c r="I23" s="5"/>
      <c r="J23" s="12"/>
      <c r="M23" s="5"/>
      <c r="N23" s="12"/>
    </row>
    <row r="24" spans="2:14" x14ac:dyDescent="0.25">
      <c r="B24" s="1"/>
      <c r="C24" s="1"/>
      <c r="D24" s="1"/>
      <c r="E24" s="8"/>
      <c r="F24" s="1"/>
      <c r="G24" s="25"/>
      <c r="I24" s="5"/>
      <c r="J24" s="12"/>
      <c r="L24" s="14"/>
      <c r="M24" s="5"/>
      <c r="N24" s="12"/>
    </row>
    <row r="25" spans="2:14" x14ac:dyDescent="0.25">
      <c r="B25" s="1"/>
      <c r="C25" s="1"/>
      <c r="D25" s="1"/>
      <c r="E25" s="8"/>
      <c r="F25" s="1"/>
      <c r="G25" s="1"/>
      <c r="I25" s="5"/>
      <c r="J25" s="12"/>
      <c r="M25" s="5"/>
      <c r="N25" s="12"/>
    </row>
    <row r="26" spans="2:14" x14ac:dyDescent="0.25">
      <c r="B26" s="1"/>
      <c r="C26" s="1"/>
      <c r="D26" s="1"/>
      <c r="E26" s="8"/>
      <c r="F26" s="1"/>
      <c r="G26" s="1"/>
      <c r="I26" s="5"/>
      <c r="J26" s="12"/>
      <c r="M26" s="5"/>
      <c r="N26" s="12"/>
    </row>
    <row r="27" spans="2:14" x14ac:dyDescent="0.25">
      <c r="B27" s="1"/>
      <c r="C27" s="1"/>
      <c r="D27" s="1"/>
      <c r="E27" s="8"/>
      <c r="F27" s="1"/>
      <c r="G27" s="1"/>
      <c r="I27" s="5"/>
      <c r="J27" s="12"/>
      <c r="M27" s="5"/>
      <c r="N27" s="12"/>
    </row>
    <row r="28" spans="2:14" x14ac:dyDescent="0.25">
      <c r="B28" s="1"/>
      <c r="C28" s="1"/>
      <c r="D28" s="1"/>
      <c r="E28" s="8"/>
      <c r="F28" s="1"/>
      <c r="G28" s="1"/>
      <c r="I28" s="5"/>
      <c r="J28" s="12"/>
      <c r="M28" s="5"/>
      <c r="N28" s="12"/>
    </row>
    <row r="29" spans="2:14" x14ac:dyDescent="0.25">
      <c r="B29" s="1"/>
      <c r="C29" s="1"/>
      <c r="D29" s="1"/>
      <c r="E29" s="8"/>
      <c r="F29" s="1"/>
      <c r="G29" s="1"/>
      <c r="I29" s="5"/>
      <c r="J29" s="12"/>
      <c r="M29" s="5"/>
      <c r="N29" s="12"/>
    </row>
    <row r="30" spans="2:14" x14ac:dyDescent="0.25">
      <c r="B30" s="1"/>
      <c r="C30" s="1"/>
      <c r="D30" s="1"/>
      <c r="E30" s="8"/>
      <c r="F30" s="1"/>
      <c r="G30" s="1"/>
      <c r="I30" s="5"/>
      <c r="J30" s="5"/>
    </row>
    <row r="31" spans="2:14" ht="18.75" x14ac:dyDescent="0.4">
      <c r="B31" s="1"/>
      <c r="C31" s="1"/>
      <c r="D31" s="1"/>
      <c r="E31" s="8"/>
      <c r="F31" s="1"/>
      <c r="G31" s="1"/>
      <c r="I31" s="13" t="s">
        <v>22</v>
      </c>
      <c r="J31" s="15">
        <f>SUM(Tabela27812151922252831343740434649525558616467707376792691217202326293235384144475053565962656871747783269121720232629323538414447505356596265687174[valor])</f>
        <v>1936</v>
      </c>
      <c r="M31" s="13" t="s">
        <v>42</v>
      </c>
      <c r="N31" s="15">
        <f>SUM(Tabela278121317202326293235384144475053565962656871747780371013182124273033363942454851545760636669727578843710131821242730333639424548515457606366697275[Valor])</f>
        <v>210</v>
      </c>
    </row>
    <row r="32" spans="2:14" x14ac:dyDescent="0.25">
      <c r="B32" s="1"/>
      <c r="C32" s="1"/>
      <c r="D32" s="1"/>
      <c r="E32" s="8"/>
      <c r="F32" s="1"/>
      <c r="G32" s="1"/>
      <c r="I32" s="5"/>
      <c r="J32" s="5"/>
    </row>
    <row r="33" spans="2:11" x14ac:dyDescent="0.25">
      <c r="B33" s="1"/>
      <c r="C33" s="1"/>
      <c r="D33" s="1"/>
      <c r="E33" s="8"/>
      <c r="F33" s="1"/>
      <c r="G33" s="1"/>
      <c r="I33" s="5"/>
      <c r="J33" s="5"/>
    </row>
    <row r="34" spans="2:11" x14ac:dyDescent="0.25">
      <c r="B34" s="1"/>
      <c r="C34" s="1"/>
      <c r="D34" s="1"/>
      <c r="E34" s="8"/>
      <c r="F34" s="1"/>
      <c r="G34" s="1"/>
      <c r="I34" s="5"/>
      <c r="J34" s="5"/>
    </row>
    <row r="35" spans="2:11" x14ac:dyDescent="0.25">
      <c r="B35" s="1"/>
      <c r="C35" s="1"/>
      <c r="D35" s="1"/>
      <c r="E35" s="8"/>
      <c r="F35" s="1"/>
      <c r="G35" s="1"/>
      <c r="I35" s="5"/>
      <c r="J35" s="5"/>
    </row>
    <row r="36" spans="2:11" x14ac:dyDescent="0.25">
      <c r="B36" s="1"/>
      <c r="C36" s="1"/>
      <c r="D36" s="1"/>
      <c r="E36" s="8"/>
      <c r="F36" s="1"/>
      <c r="G36" s="1"/>
      <c r="J36" s="5"/>
    </row>
    <row r="37" spans="2:11" x14ac:dyDescent="0.25">
      <c r="I37" s="5"/>
    </row>
    <row r="39" spans="2:11" x14ac:dyDescent="0.25">
      <c r="I39" s="9"/>
    </row>
    <row r="40" spans="2:11" x14ac:dyDescent="0.25">
      <c r="I40" t="s">
        <v>20</v>
      </c>
    </row>
    <row r="41" spans="2:11" x14ac:dyDescent="0.25">
      <c r="B41" s="4" t="s">
        <v>10</v>
      </c>
      <c r="C41" s="2">
        <f>SUMIF(Tabela1651118212427303336394245485154576063666972757881581115192225283134374043464952555861646770737682855811151922252831343740434649525558616467707376[Forma de Pagamento],"Dinheiro",Tabela1651118212427303336394245485154576063666972757881581115192225283134374043464952555861646770737682855811151922252831343740434649525558616467707376[Valor])</f>
        <v>785</v>
      </c>
      <c r="D41" s="4" t="s">
        <v>16</v>
      </c>
      <c r="E41" s="2">
        <f>SUMIF(Tabela1651118212427303336394245485154576063666972757881581115192225283134374043464952555861646770737682855811151922252831343740434649525558616467707376[Item],"Gás",Tabela1651118212427303336394245485154576063666972757881581115192225283134374043464952555861646770737682855811151922252831343740434649525558616467707376[QUANTIDADE])+G41</f>
        <v>16</v>
      </c>
      <c r="F41" s="4" t="s">
        <v>25</v>
      </c>
      <c r="G41" s="2">
        <f>SUMIF(Tabela1651118212427303336394245485154576063666972757881581115192225283134374043464952555861646770737682855811151922252831343740434649525558616467707376[Item],"Gás completo",Tabela1651118212427303336394245485154576063666972757881581115192225283134374043464952555861646770737682855811151922252831343740434649525558616467707376[QUANTIDADE])</f>
        <v>0</v>
      </c>
    </row>
    <row r="42" spans="2:11" x14ac:dyDescent="0.25">
      <c r="B42" s="4" t="s">
        <v>11</v>
      </c>
      <c r="C42" s="2">
        <f>SUMIF(Tabela1651118212427303336394245485154576063666972757881581115192225283134374043464952555861646770737682855811151922252831343740434649525558616467707376[Forma de Pagamento],"Cartão",Tabela1651118212427303336394245485154576063666972757881581115192225283134374043464952555861646770737682855811151922252831343740434649525558616467707376[Valor])</f>
        <v>500</v>
      </c>
      <c r="D42" s="4" t="s">
        <v>17</v>
      </c>
      <c r="E42" s="2">
        <f>SUMIF(Tabela1651118212427303336394245485154576063666972757881581115192225283134374043464952555861646770737682855811151922252831343740434649525558616467707376[Item],"Água",Tabela1651118212427303336394245485154576063666972757881581115192225283134374043464952555861646770737682855811151922252831343740434649525558616467707376[QUANTIDADE])+G42</f>
        <v>2</v>
      </c>
      <c r="F42" s="4" t="s">
        <v>27</v>
      </c>
      <c r="G42" s="2">
        <f>SUMIF(Tabela1651118212427303336394245485154576063666972757881581115192225283134374043464952555861646770737682855811151922252831343740434649525558616467707376[Item],"Água completa",Tabela1651118212427303336394245485154576063666972757881581115192225283134374043464952555861646770737682855811151922252831343740434649525558616467707376[QUANTIDADE])</f>
        <v>0</v>
      </c>
      <c r="J42" s="4" t="s">
        <v>5</v>
      </c>
      <c r="K42" s="4" t="s">
        <v>8</v>
      </c>
    </row>
    <row r="43" spans="2:11" x14ac:dyDescent="0.25">
      <c r="B43" s="4" t="s">
        <v>12</v>
      </c>
      <c r="C43" s="2">
        <f>SUMIF(Tabela1651118212427303336394245485154576063666972757881581115192225283134374043464952555861646770737682855811151922252831343740434649525558616467707376[Forma de Pagamento],"Pix",Tabela1651118212427303336394245485154576063666972757881581115192225283134374043464952555861646770737682855811151922252831343740434649525558616467707376[Valor])</f>
        <v>100</v>
      </c>
      <c r="I43" s="4" t="s">
        <v>6</v>
      </c>
      <c r="J43" s="1">
        <f>SUM(J7-E41+N7)</f>
        <v>24</v>
      </c>
      <c r="K43" s="2">
        <f>SUM(K7-E42+O7)</f>
        <v>2</v>
      </c>
    </row>
    <row r="44" spans="2:11" x14ac:dyDescent="0.25">
      <c r="B44" s="4" t="s">
        <v>13</v>
      </c>
      <c r="C44" s="2">
        <f>SUMIF(Tabela1651118212427303336394245485154576063666972757881581115192225283134374043464952555861646770737682855811151922252831343740434649525558616467707376[Forma de Pagamento],"Fiado",Tabela1651118212427303336394245485154576063666972757881581115192225283134374043464952555861646770737682855811151922252831343740434649525558616467707376[Valor])</f>
        <v>200</v>
      </c>
      <c r="D44" s="4" t="s">
        <v>14</v>
      </c>
      <c r="E44" s="7">
        <f>SUM(F3-J31+C41+N31)</f>
        <v>59</v>
      </c>
      <c r="I44" s="4" t="s">
        <v>7</v>
      </c>
      <c r="J44" s="2">
        <f>SUM(J8+E41-N7)-G41</f>
        <v>17</v>
      </c>
      <c r="K44" s="2">
        <f>SUM(K8+E42-O7)-G42</f>
        <v>40</v>
      </c>
    </row>
  </sheetData>
  <dataValidations count="2">
    <dataValidation type="list" allowBlank="1" showInputMessage="1" showErrorMessage="1" sqref="B7:B16 B18:B36" xr:uid="{F5515CC5-D0E7-4CE4-9424-5932543E062E}">
      <formula1>"Gás,Água,Gás completo,Água completa,Gás e Água, Recebimento"</formula1>
    </dataValidation>
    <dataValidation type="list" allowBlank="1" showInputMessage="1" showErrorMessage="1" sqref="F7:F36" xr:uid="{DCBAD5E1-83C0-49CD-BFC6-5E5B698C8D51}">
      <formula1>"Dinheiro,Cartão,Pix,Fiado,Pago"</formula1>
    </dataValidation>
  </dataValidations>
  <pageMargins left="0.511811024" right="0.511811024" top="0.78740157499999996" bottom="0.78740157499999996" header="0.31496062000000002" footer="0.31496062000000002"/>
  <pageSetup paperSize="0" orientation="portrait" horizontalDpi="203" verticalDpi="203" r:id="rId1"/>
  <drawing r:id="rId2"/>
  <tableParts count="3">
    <tablePart r:id="rId3"/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EABE0-96BC-4348-830C-B38C0409BEBF}">
  <dimension ref="B2:O44"/>
  <sheetViews>
    <sheetView showGridLines="0" topLeftCell="A4" workbookViewId="0">
      <selection activeCell="F22" sqref="F22"/>
    </sheetView>
  </sheetViews>
  <sheetFormatPr defaultRowHeight="15" x14ac:dyDescent="0.25"/>
  <cols>
    <col min="2" max="2" width="14.7109375" customWidth="1"/>
    <col min="3" max="3" width="38.140625" customWidth="1"/>
    <col min="4" max="4" width="19.85546875" customWidth="1"/>
    <col min="5" max="5" width="21.85546875" customWidth="1"/>
    <col min="6" max="6" width="25.85546875" customWidth="1"/>
    <col min="7" max="7" width="16.7109375" customWidth="1"/>
    <col min="8" max="8" width="11.28515625" customWidth="1"/>
    <col min="9" max="9" width="21.85546875" customWidth="1"/>
    <col min="10" max="10" width="13.5703125" customWidth="1"/>
    <col min="11" max="11" width="12.28515625" customWidth="1"/>
    <col min="12" max="12" width="8.5703125" customWidth="1"/>
    <col min="13" max="13" width="19.7109375" customWidth="1"/>
    <col min="14" max="14" width="15.5703125" customWidth="1"/>
    <col min="15" max="15" width="13" customWidth="1"/>
  </cols>
  <sheetData>
    <row r="2" spans="2:15" ht="15.75" x14ac:dyDescent="0.25">
      <c r="E2" s="10" t="s">
        <v>4</v>
      </c>
      <c r="F2" s="3">
        <v>45192</v>
      </c>
    </row>
    <row r="3" spans="2:15" ht="15.75" x14ac:dyDescent="0.25">
      <c r="E3" s="10" t="s">
        <v>15</v>
      </c>
      <c r="F3" s="7"/>
    </row>
    <row r="4" spans="2:15" x14ac:dyDescent="0.25">
      <c r="J4" t="s">
        <v>19</v>
      </c>
      <c r="M4" t="s">
        <v>24</v>
      </c>
    </row>
    <row r="6" spans="2:15" x14ac:dyDescent="0.25">
      <c r="B6" s="6" t="s">
        <v>9</v>
      </c>
      <c r="C6" s="6" t="s">
        <v>0</v>
      </c>
      <c r="D6" s="6" t="s">
        <v>1</v>
      </c>
      <c r="E6" s="6" t="s">
        <v>2</v>
      </c>
      <c r="F6" s="6" t="s">
        <v>3</v>
      </c>
      <c r="G6" s="6" t="s">
        <v>26</v>
      </c>
      <c r="J6" s="4" t="s">
        <v>5</v>
      </c>
      <c r="K6" s="4" t="s">
        <v>8</v>
      </c>
      <c r="N6" s="4" t="s">
        <v>5</v>
      </c>
      <c r="O6" s="4" t="s">
        <v>8</v>
      </c>
    </row>
    <row r="7" spans="2:15" x14ac:dyDescent="0.25">
      <c r="B7" s="1" t="s">
        <v>5</v>
      </c>
      <c r="C7" s="1" t="s">
        <v>395</v>
      </c>
      <c r="D7" s="1"/>
      <c r="E7" s="8">
        <v>100</v>
      </c>
      <c r="F7" s="1" t="s">
        <v>11</v>
      </c>
      <c r="G7" s="1">
        <v>1</v>
      </c>
      <c r="I7" s="4" t="s">
        <v>6</v>
      </c>
      <c r="J7" s="1">
        <v>24</v>
      </c>
      <c r="K7" s="11">
        <v>36</v>
      </c>
      <c r="M7" s="4" t="s">
        <v>23</v>
      </c>
      <c r="N7" s="11"/>
      <c r="O7" s="11"/>
    </row>
    <row r="8" spans="2:15" x14ac:dyDescent="0.25">
      <c r="B8" s="1" t="s">
        <v>5</v>
      </c>
      <c r="C8" s="1" t="s">
        <v>272</v>
      </c>
      <c r="D8" s="1"/>
      <c r="E8" s="8">
        <v>100</v>
      </c>
      <c r="F8" s="1" t="s">
        <v>10</v>
      </c>
      <c r="G8" s="1">
        <v>1</v>
      </c>
      <c r="I8" s="4" t="s">
        <v>7</v>
      </c>
      <c r="J8" s="11">
        <v>19</v>
      </c>
      <c r="K8" s="11">
        <v>6</v>
      </c>
    </row>
    <row r="9" spans="2:15" x14ac:dyDescent="0.25">
      <c r="B9" s="1" t="s">
        <v>5</v>
      </c>
      <c r="C9" s="1" t="s">
        <v>338</v>
      </c>
      <c r="D9" s="1"/>
      <c r="E9" s="8">
        <v>109</v>
      </c>
      <c r="F9" s="1" t="s">
        <v>11</v>
      </c>
      <c r="G9" s="1">
        <v>1</v>
      </c>
    </row>
    <row r="10" spans="2:15" x14ac:dyDescent="0.25">
      <c r="B10" s="1" t="s">
        <v>5</v>
      </c>
      <c r="C10" s="1" t="s">
        <v>396</v>
      </c>
      <c r="D10" s="1" t="s">
        <v>397</v>
      </c>
      <c r="E10" s="8">
        <v>100</v>
      </c>
      <c r="F10" s="1" t="s">
        <v>11</v>
      </c>
      <c r="G10" s="1">
        <v>1</v>
      </c>
    </row>
    <row r="11" spans="2:15" x14ac:dyDescent="0.25">
      <c r="B11" s="1" t="s">
        <v>5</v>
      </c>
      <c r="C11" s="1" t="s">
        <v>398</v>
      </c>
      <c r="D11" s="1" t="s">
        <v>405</v>
      </c>
      <c r="E11" s="8">
        <v>100</v>
      </c>
      <c r="F11" s="1" t="s">
        <v>11</v>
      </c>
      <c r="G11" s="1">
        <v>1</v>
      </c>
    </row>
    <row r="12" spans="2:15" x14ac:dyDescent="0.25">
      <c r="B12" s="1" t="s">
        <v>5</v>
      </c>
      <c r="C12" s="1" t="s">
        <v>399</v>
      </c>
      <c r="D12" s="1" t="s">
        <v>400</v>
      </c>
      <c r="E12" s="8">
        <v>100</v>
      </c>
      <c r="F12" s="1" t="s">
        <v>11</v>
      </c>
      <c r="G12" s="1">
        <v>1</v>
      </c>
    </row>
    <row r="13" spans="2:15" x14ac:dyDescent="0.25">
      <c r="B13" s="1" t="s">
        <v>8</v>
      </c>
      <c r="C13" s="1" t="s">
        <v>401</v>
      </c>
      <c r="D13" s="1"/>
      <c r="E13" s="8">
        <v>9</v>
      </c>
      <c r="F13" s="1" t="s">
        <v>10</v>
      </c>
      <c r="G13" s="1">
        <v>1</v>
      </c>
      <c r="I13" t="s">
        <v>21</v>
      </c>
    </row>
    <row r="14" spans="2:15" x14ac:dyDescent="0.25">
      <c r="B14" s="1" t="s">
        <v>5</v>
      </c>
      <c r="C14" s="1" t="s">
        <v>402</v>
      </c>
      <c r="D14" s="1"/>
      <c r="E14" s="8">
        <v>100</v>
      </c>
      <c r="F14" s="1" t="s">
        <v>10</v>
      </c>
      <c r="G14" s="1">
        <v>1</v>
      </c>
    </row>
    <row r="15" spans="2:15" x14ac:dyDescent="0.25">
      <c r="B15" s="1" t="s">
        <v>5</v>
      </c>
      <c r="C15" s="1" t="s">
        <v>403</v>
      </c>
      <c r="D15" s="1"/>
      <c r="E15" s="8">
        <v>100</v>
      </c>
      <c r="F15" s="1" t="s">
        <v>11</v>
      </c>
      <c r="G15" s="1">
        <v>1</v>
      </c>
    </row>
    <row r="16" spans="2:15" x14ac:dyDescent="0.25">
      <c r="B16" s="1" t="s">
        <v>5</v>
      </c>
      <c r="C16" s="1" t="s">
        <v>404</v>
      </c>
      <c r="D16" s="1"/>
      <c r="E16" s="8">
        <v>95</v>
      </c>
      <c r="F16" s="1" t="s">
        <v>10</v>
      </c>
      <c r="G16" s="1">
        <v>1</v>
      </c>
      <c r="I16" s="5" t="s">
        <v>43</v>
      </c>
      <c r="J16" s="5" t="s">
        <v>44</v>
      </c>
      <c r="M16" s="5" t="s">
        <v>18</v>
      </c>
      <c r="N16" s="5" t="s">
        <v>2</v>
      </c>
    </row>
    <row r="17" spans="2:14" x14ac:dyDescent="0.25">
      <c r="B17" s="1" t="s">
        <v>5</v>
      </c>
      <c r="C17" s="1" t="s">
        <v>406</v>
      </c>
      <c r="D17" s="1"/>
      <c r="E17" s="8">
        <v>100</v>
      </c>
      <c r="F17" s="1" t="s">
        <v>13</v>
      </c>
      <c r="G17" s="1">
        <v>1</v>
      </c>
      <c r="I17" s="5"/>
      <c r="J17" s="7"/>
      <c r="M17" s="5"/>
      <c r="N17" s="12"/>
    </row>
    <row r="18" spans="2:14" x14ac:dyDescent="0.25">
      <c r="B18" s="1" t="s">
        <v>5</v>
      </c>
      <c r="C18" s="1"/>
      <c r="D18" s="1"/>
      <c r="E18" s="8">
        <v>100</v>
      </c>
      <c r="F18" s="1" t="s">
        <v>11</v>
      </c>
      <c r="G18" s="1">
        <v>1</v>
      </c>
      <c r="I18" s="5"/>
      <c r="J18" s="12"/>
      <c r="M18" s="5"/>
      <c r="N18" s="12"/>
    </row>
    <row r="19" spans="2:14" x14ac:dyDescent="0.25">
      <c r="B19" s="1" t="s">
        <v>5</v>
      </c>
      <c r="C19" s="1"/>
      <c r="D19" s="1"/>
      <c r="E19" s="8">
        <v>100</v>
      </c>
      <c r="F19" s="1" t="s">
        <v>11</v>
      </c>
      <c r="G19" s="1">
        <v>1</v>
      </c>
      <c r="I19" s="5"/>
      <c r="J19" s="12"/>
      <c r="M19" s="5"/>
      <c r="N19" s="12"/>
    </row>
    <row r="20" spans="2:14" x14ac:dyDescent="0.25">
      <c r="B20" s="1" t="s">
        <v>5</v>
      </c>
      <c r="C20" s="1"/>
      <c r="D20" s="1"/>
      <c r="E20" s="8">
        <v>100</v>
      </c>
      <c r="F20" s="1" t="s">
        <v>11</v>
      </c>
      <c r="G20" s="1">
        <v>1</v>
      </c>
      <c r="I20" s="5"/>
      <c r="J20" s="12"/>
      <c r="M20" s="5"/>
      <c r="N20" s="12"/>
    </row>
    <row r="21" spans="2:14" x14ac:dyDescent="0.25">
      <c r="B21" s="1" t="s">
        <v>5</v>
      </c>
      <c r="C21" s="1" t="s">
        <v>407</v>
      </c>
      <c r="D21" s="1"/>
      <c r="E21" s="8">
        <v>100</v>
      </c>
      <c r="F21" s="1" t="s">
        <v>12</v>
      </c>
      <c r="G21" s="1">
        <v>1</v>
      </c>
      <c r="I21" s="5"/>
      <c r="J21" s="12"/>
      <c r="M21" s="5"/>
      <c r="N21" s="12"/>
    </row>
    <row r="22" spans="2:14" x14ac:dyDescent="0.25">
      <c r="B22" s="1" t="s">
        <v>5</v>
      </c>
      <c r="C22" s="1" t="s">
        <v>408</v>
      </c>
      <c r="D22" s="1"/>
      <c r="E22" s="8">
        <v>100</v>
      </c>
      <c r="F22" s="1"/>
      <c r="G22" s="1">
        <v>1</v>
      </c>
      <c r="I22" s="5"/>
      <c r="J22" s="12"/>
      <c r="M22" s="5"/>
      <c r="N22" s="12"/>
    </row>
    <row r="23" spans="2:14" x14ac:dyDescent="0.25">
      <c r="B23" s="1"/>
      <c r="C23" s="1"/>
      <c r="D23" s="1"/>
      <c r="E23" s="8"/>
      <c r="F23" s="1"/>
      <c r="G23" s="1"/>
      <c r="I23" s="5"/>
      <c r="J23" s="12"/>
      <c r="M23" s="5"/>
      <c r="N23" s="12"/>
    </row>
    <row r="24" spans="2:14" x14ac:dyDescent="0.25">
      <c r="B24" s="1"/>
      <c r="C24" s="1"/>
      <c r="D24" s="1"/>
      <c r="E24" s="8"/>
      <c r="F24" s="1"/>
      <c r="G24" s="25"/>
      <c r="I24" s="5"/>
      <c r="J24" s="12"/>
      <c r="L24" s="14"/>
      <c r="M24" s="5"/>
      <c r="N24" s="12"/>
    </row>
    <row r="25" spans="2:14" x14ac:dyDescent="0.25">
      <c r="B25" s="1"/>
      <c r="C25" s="1"/>
      <c r="D25" s="1"/>
      <c r="E25" s="8"/>
      <c r="F25" s="1"/>
      <c r="G25" s="1"/>
      <c r="I25" s="5"/>
      <c r="J25" s="12"/>
      <c r="M25" s="5"/>
      <c r="N25" s="12"/>
    </row>
    <row r="26" spans="2:14" x14ac:dyDescent="0.25">
      <c r="B26" s="1"/>
      <c r="C26" s="1"/>
      <c r="D26" s="1"/>
      <c r="E26" s="8"/>
      <c r="F26" s="1"/>
      <c r="G26" s="1"/>
      <c r="I26" s="5"/>
      <c r="J26" s="12"/>
      <c r="M26" s="5"/>
      <c r="N26" s="12"/>
    </row>
    <row r="27" spans="2:14" x14ac:dyDescent="0.25">
      <c r="B27" s="1"/>
      <c r="C27" s="1"/>
      <c r="D27" s="1"/>
      <c r="E27" s="8"/>
      <c r="F27" s="1"/>
      <c r="G27" s="1"/>
      <c r="I27" s="5"/>
      <c r="J27" s="12"/>
      <c r="M27" s="5"/>
      <c r="N27" s="12"/>
    </row>
    <row r="28" spans="2:14" x14ac:dyDescent="0.25">
      <c r="B28" s="1"/>
      <c r="C28" s="1"/>
      <c r="D28" s="1"/>
      <c r="E28" s="8"/>
      <c r="F28" s="1"/>
      <c r="G28" s="1"/>
      <c r="I28" s="5"/>
      <c r="J28" s="12"/>
      <c r="M28" s="5"/>
      <c r="N28" s="12"/>
    </row>
    <row r="29" spans="2:14" x14ac:dyDescent="0.25">
      <c r="B29" s="1"/>
      <c r="C29" s="1"/>
      <c r="D29" s="1"/>
      <c r="E29" s="8"/>
      <c r="F29" s="1"/>
      <c r="G29" s="1"/>
      <c r="I29" s="5"/>
      <c r="J29" s="12"/>
      <c r="M29" s="5"/>
      <c r="N29" s="12"/>
    </row>
    <row r="30" spans="2:14" x14ac:dyDescent="0.25">
      <c r="B30" s="1"/>
      <c r="C30" s="1"/>
      <c r="D30" s="1"/>
      <c r="E30" s="8"/>
      <c r="F30" s="1"/>
      <c r="G30" s="1"/>
      <c r="I30" s="5"/>
      <c r="J30" s="5"/>
    </row>
    <row r="31" spans="2:14" ht="18.75" x14ac:dyDescent="0.4">
      <c r="B31" s="1"/>
      <c r="C31" s="1"/>
      <c r="D31" s="1"/>
      <c r="E31" s="8"/>
      <c r="F31" s="1"/>
      <c r="G31" s="1"/>
      <c r="I31" s="13" t="s">
        <v>22</v>
      </c>
      <c r="J31" s="15">
        <f>SUM(Tabela278121519222528313437404346495255586164677073767926912172023262932353841444750535659626568717477832691217202326293235384144475053565962656871[valor])</f>
        <v>0</v>
      </c>
      <c r="M31" s="13" t="s">
        <v>42</v>
      </c>
      <c r="N31" s="15">
        <f>SUM(Tabela2781213172023262932353841444750535659626568717477803710131821242730333639424548515457606366697275788437101318212427303336394245485154576063666972[Valor])</f>
        <v>0</v>
      </c>
    </row>
    <row r="32" spans="2:14" x14ac:dyDescent="0.25">
      <c r="B32" s="1"/>
      <c r="C32" s="1"/>
      <c r="D32" s="1"/>
      <c r="E32" s="8"/>
      <c r="F32" s="1"/>
      <c r="G32" s="1"/>
      <c r="I32" s="5"/>
      <c r="J32" s="5"/>
    </row>
    <row r="33" spans="2:11" x14ac:dyDescent="0.25">
      <c r="B33" s="1"/>
      <c r="C33" s="1"/>
      <c r="D33" s="1"/>
      <c r="E33" s="8"/>
      <c r="F33" s="1"/>
      <c r="G33" s="1"/>
      <c r="I33" s="5"/>
      <c r="J33" s="5"/>
    </row>
    <row r="34" spans="2:11" x14ac:dyDescent="0.25">
      <c r="B34" s="1"/>
      <c r="C34" s="1"/>
      <c r="D34" s="1"/>
      <c r="E34" s="8"/>
      <c r="F34" s="1"/>
      <c r="G34" s="1"/>
      <c r="I34" s="5"/>
      <c r="J34" s="5"/>
    </row>
    <row r="35" spans="2:11" x14ac:dyDescent="0.25">
      <c r="B35" s="1"/>
      <c r="C35" s="1"/>
      <c r="D35" s="1"/>
      <c r="E35" s="8"/>
      <c r="F35" s="1"/>
      <c r="G35" s="1"/>
      <c r="I35" s="5"/>
      <c r="J35" s="5"/>
    </row>
    <row r="36" spans="2:11" x14ac:dyDescent="0.25">
      <c r="B36" s="1"/>
      <c r="C36" s="1"/>
      <c r="D36" s="1"/>
      <c r="E36" s="8"/>
      <c r="F36" s="1"/>
      <c r="G36" s="1"/>
      <c r="J36" s="5"/>
    </row>
    <row r="37" spans="2:11" x14ac:dyDescent="0.25">
      <c r="I37" s="5"/>
    </row>
    <row r="39" spans="2:11" x14ac:dyDescent="0.25">
      <c r="I39" s="9"/>
    </row>
    <row r="40" spans="2:11" x14ac:dyDescent="0.25">
      <c r="I40" t="s">
        <v>20</v>
      </c>
    </row>
    <row r="41" spans="2:11" x14ac:dyDescent="0.25">
      <c r="B41" s="4" t="s">
        <v>10</v>
      </c>
      <c r="C41" s="2">
        <f>SUMIF(Tabela16511182124273033363942454851545760636669727578815811151922252831343740434649525558616467707376828558111519222528313437404346495255586164677073[Forma de Pagamento],"Dinheiro",Tabela16511182124273033363942454851545760636669727578815811151922252831343740434649525558616467707376828558111519222528313437404346495255586164677073[Valor])</f>
        <v>304</v>
      </c>
      <c r="D41" s="4" t="s">
        <v>16</v>
      </c>
      <c r="E41" s="2">
        <f>SUMIF(Tabela16511182124273033363942454851545760636669727578815811151922252831343740434649525558616467707376828558111519222528313437404346495255586164677073[Item],"Gás",Tabela16511182124273033363942454851545760636669727578815811151922252831343740434649525558616467707376828558111519222528313437404346495255586164677073[QUANTIDADE])+G41</f>
        <v>15</v>
      </c>
      <c r="F41" s="4" t="s">
        <v>25</v>
      </c>
      <c r="G41" s="2">
        <f>SUMIF(Tabela16511182124273033363942454851545760636669727578815811151922252831343740434649525558616467707376828558111519222528313437404346495255586164677073[Item],"Gás completo",Tabela16511182124273033363942454851545760636669727578815811151922252831343740434649525558616467707376828558111519222528313437404346495255586164677073[QUANTIDADE])</f>
        <v>0</v>
      </c>
    </row>
    <row r="42" spans="2:11" x14ac:dyDescent="0.25">
      <c r="B42" s="4" t="s">
        <v>11</v>
      </c>
      <c r="C42" s="2">
        <f>SUMIF(Tabela16511182124273033363942454851545760636669727578815811151922252831343740434649525558616467707376828558111519222528313437404346495255586164677073[Forma de Pagamento],"Cartão",Tabela16511182124273033363942454851545760636669727578815811151922252831343740434649525558616467707376828558111519222528313437404346495255586164677073[Valor])</f>
        <v>909</v>
      </c>
      <c r="D42" s="4" t="s">
        <v>17</v>
      </c>
      <c r="E42" s="2">
        <f>SUMIF(Tabela16511182124273033363942454851545760636669727578815811151922252831343740434649525558616467707376828558111519222528313437404346495255586164677073[Item],"Água",Tabela16511182124273033363942454851545760636669727578815811151922252831343740434649525558616467707376828558111519222528313437404346495255586164677073[QUANTIDADE])+G42</f>
        <v>1</v>
      </c>
      <c r="F42" s="4" t="s">
        <v>27</v>
      </c>
      <c r="G42" s="2">
        <f>SUMIF(Tabela16511182124273033363942454851545760636669727578815811151922252831343740434649525558616467707376828558111519222528313437404346495255586164677073[Item],"Água completa",Tabela16511182124273033363942454851545760636669727578815811151922252831343740434649525558616467707376828558111519222528313437404346495255586164677073[QUANTIDADE])</f>
        <v>0</v>
      </c>
      <c r="J42" s="4" t="s">
        <v>5</v>
      </c>
      <c r="K42" s="4" t="s">
        <v>8</v>
      </c>
    </row>
    <row r="43" spans="2:11" x14ac:dyDescent="0.25">
      <c r="B43" s="4" t="s">
        <v>12</v>
      </c>
      <c r="C43" s="2">
        <f>SUMIF(Tabela16511182124273033363942454851545760636669727578815811151922252831343740434649525558616467707376828558111519222528313437404346495255586164677073[Forma de Pagamento],"Pix",Tabela16511182124273033363942454851545760636669727578815811151922252831343740434649525558616467707376828558111519222528313437404346495255586164677073[Valor])</f>
        <v>100</v>
      </c>
      <c r="I43" s="4" t="s">
        <v>6</v>
      </c>
      <c r="J43" s="1">
        <f>SUM(J7-E41+N7)</f>
        <v>9</v>
      </c>
      <c r="K43" s="2">
        <f>SUM(K7-E42+O7)</f>
        <v>35</v>
      </c>
    </row>
    <row r="44" spans="2:11" x14ac:dyDescent="0.25">
      <c r="B44" s="4" t="s">
        <v>13</v>
      </c>
      <c r="C44" s="2">
        <f>SUMIF(Tabela16511182124273033363942454851545760636669727578815811151922252831343740434649525558616467707376828558111519222528313437404346495255586164677073[Forma de Pagamento],"Fiado",Tabela16511182124273033363942454851545760636669727578815811151922252831343740434649525558616467707376828558111519222528313437404346495255586164677073[Valor])</f>
        <v>100</v>
      </c>
      <c r="D44" s="4" t="s">
        <v>14</v>
      </c>
      <c r="E44" s="7">
        <f>SUM(F3-J31+C41+N31)</f>
        <v>304</v>
      </c>
      <c r="I44" s="4" t="s">
        <v>7</v>
      </c>
      <c r="J44" s="2">
        <f>SUM(J8+E41-N7)-G41</f>
        <v>34</v>
      </c>
      <c r="K44" s="2">
        <f>SUM(K8+E42-O7)-G42</f>
        <v>7</v>
      </c>
    </row>
  </sheetData>
  <dataValidations count="2">
    <dataValidation type="list" allowBlank="1" showInputMessage="1" showErrorMessage="1" sqref="F7:F36" xr:uid="{B75EE50E-8D3F-41A8-94C0-EEBB5D053BE1}">
      <formula1>"Dinheiro,Cartão,Pix,Fiado,Pago"</formula1>
    </dataValidation>
    <dataValidation type="list" allowBlank="1" showInputMessage="1" showErrorMessage="1" sqref="B7:B16 B18:B36" xr:uid="{73D7601E-D148-44EB-805B-178C528C2638}">
      <formula1>"Gás,Água,Gás completo,Água completa,Gás e Água, Recebimento"</formula1>
    </dataValidation>
  </dataValidations>
  <pageMargins left="0.511811024" right="0.511811024" top="0.78740157499999996" bottom="0.78740157499999996" header="0.31496062000000002" footer="0.31496062000000002"/>
  <pageSetup paperSize="0" orientation="portrait" horizontalDpi="203" verticalDpi="203" r:id="rId1"/>
  <drawing r:id="rId2"/>
  <tableParts count="3">
    <tablePart r:id="rId3"/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CC4B1-9A49-4789-87D8-65AFE9032F70}">
  <dimension ref="B2:O44"/>
  <sheetViews>
    <sheetView showGridLines="0" workbookViewId="0">
      <selection activeCell="E36" sqref="E36"/>
    </sheetView>
  </sheetViews>
  <sheetFormatPr defaultRowHeight="15" x14ac:dyDescent="0.25"/>
  <cols>
    <col min="2" max="2" width="14.7109375" customWidth="1"/>
    <col min="3" max="3" width="38.140625" customWidth="1"/>
    <col min="4" max="4" width="19.85546875" customWidth="1"/>
    <col min="5" max="5" width="21.85546875" customWidth="1"/>
    <col min="6" max="6" width="25.85546875" customWidth="1"/>
    <col min="7" max="7" width="16.7109375" customWidth="1"/>
    <col min="8" max="8" width="11.28515625" customWidth="1"/>
    <col min="9" max="9" width="21.85546875" customWidth="1"/>
    <col min="10" max="10" width="13.5703125" customWidth="1"/>
    <col min="11" max="11" width="12.28515625" customWidth="1"/>
    <col min="12" max="12" width="8.5703125" customWidth="1"/>
    <col min="13" max="13" width="19.7109375" customWidth="1"/>
    <col min="14" max="14" width="15.5703125" customWidth="1"/>
    <col min="15" max="15" width="13" customWidth="1"/>
  </cols>
  <sheetData>
    <row r="2" spans="2:15" ht="15.75" x14ac:dyDescent="0.25">
      <c r="E2" s="10" t="s">
        <v>4</v>
      </c>
      <c r="F2" s="3">
        <v>45192</v>
      </c>
    </row>
    <row r="3" spans="2:15" ht="15.75" x14ac:dyDescent="0.25">
      <c r="E3" s="10" t="s">
        <v>15</v>
      </c>
      <c r="F3" s="7">
        <v>500</v>
      </c>
    </row>
    <row r="4" spans="2:15" x14ac:dyDescent="0.25">
      <c r="J4" t="s">
        <v>19</v>
      </c>
      <c r="M4" t="s">
        <v>24</v>
      </c>
    </row>
    <row r="6" spans="2:15" x14ac:dyDescent="0.25">
      <c r="B6" s="6" t="s">
        <v>9</v>
      </c>
      <c r="C6" s="6" t="s">
        <v>0</v>
      </c>
      <c r="D6" s="6" t="s">
        <v>1</v>
      </c>
      <c r="E6" s="6" t="s">
        <v>2</v>
      </c>
      <c r="F6" s="6" t="s">
        <v>3</v>
      </c>
      <c r="G6" s="6" t="s">
        <v>26</v>
      </c>
      <c r="J6" s="4" t="s">
        <v>5</v>
      </c>
      <c r="K6" s="4" t="s">
        <v>8</v>
      </c>
      <c r="N6" s="4" t="s">
        <v>5</v>
      </c>
      <c r="O6" s="4" t="s">
        <v>8</v>
      </c>
    </row>
    <row r="7" spans="2:15" x14ac:dyDescent="0.25">
      <c r="B7" s="1" t="s">
        <v>5</v>
      </c>
      <c r="C7" s="1"/>
      <c r="D7" s="1"/>
      <c r="E7" s="8">
        <v>100</v>
      </c>
      <c r="F7" s="1" t="s">
        <v>11</v>
      </c>
      <c r="G7" s="1">
        <v>1</v>
      </c>
      <c r="I7" s="4" t="s">
        <v>6</v>
      </c>
      <c r="J7" s="1">
        <v>22</v>
      </c>
      <c r="K7" s="11">
        <v>36</v>
      </c>
      <c r="M7" s="4" t="s">
        <v>23</v>
      </c>
      <c r="N7" s="11">
        <v>20</v>
      </c>
      <c r="O7" s="11"/>
    </row>
    <row r="8" spans="2:15" x14ac:dyDescent="0.25">
      <c r="B8" s="1" t="s">
        <v>5</v>
      </c>
      <c r="C8" s="1"/>
      <c r="D8" s="1"/>
      <c r="E8" s="8">
        <v>109</v>
      </c>
      <c r="F8" s="1" t="s">
        <v>10</v>
      </c>
      <c r="G8" s="1">
        <v>1</v>
      </c>
      <c r="I8" s="4" t="s">
        <v>7</v>
      </c>
      <c r="J8" s="11">
        <v>19</v>
      </c>
      <c r="K8" s="11">
        <v>6</v>
      </c>
    </row>
    <row r="9" spans="2:15" x14ac:dyDescent="0.25">
      <c r="B9" s="1" t="s">
        <v>8</v>
      </c>
      <c r="C9" s="1"/>
      <c r="D9" s="1"/>
      <c r="E9" s="8">
        <v>9</v>
      </c>
      <c r="F9" s="1" t="s">
        <v>12</v>
      </c>
      <c r="G9" s="1">
        <v>1</v>
      </c>
    </row>
    <row r="10" spans="2:15" x14ac:dyDescent="0.25">
      <c r="B10" s="1" t="s">
        <v>8</v>
      </c>
      <c r="C10" s="1"/>
      <c r="D10" s="1"/>
      <c r="E10" s="8">
        <v>10</v>
      </c>
      <c r="F10" s="1" t="s">
        <v>11</v>
      </c>
      <c r="G10" s="1">
        <v>1</v>
      </c>
    </row>
    <row r="11" spans="2:15" x14ac:dyDescent="0.25">
      <c r="B11" s="1" t="s">
        <v>8</v>
      </c>
      <c r="C11" s="1"/>
      <c r="D11" s="1"/>
      <c r="E11" s="8">
        <v>18</v>
      </c>
      <c r="F11" s="1" t="s">
        <v>11</v>
      </c>
      <c r="G11" s="1">
        <v>2</v>
      </c>
    </row>
    <row r="12" spans="2:15" x14ac:dyDescent="0.25">
      <c r="B12" s="1" t="s">
        <v>5</v>
      </c>
      <c r="C12" s="1"/>
      <c r="D12" s="1"/>
      <c r="E12" s="8">
        <v>100</v>
      </c>
      <c r="F12" s="1" t="s">
        <v>11</v>
      </c>
      <c r="G12" s="1">
        <v>1</v>
      </c>
    </row>
    <row r="13" spans="2:15" x14ac:dyDescent="0.25">
      <c r="B13" s="1" t="s">
        <v>5</v>
      </c>
      <c r="C13" s="1" t="s">
        <v>394</v>
      </c>
      <c r="D13" s="1"/>
      <c r="E13" s="8">
        <v>100</v>
      </c>
      <c r="F13" s="1" t="s">
        <v>13</v>
      </c>
      <c r="G13" s="1">
        <v>1</v>
      </c>
      <c r="I13" t="s">
        <v>21</v>
      </c>
    </row>
    <row r="14" spans="2:15" x14ac:dyDescent="0.25">
      <c r="B14" s="1" t="s">
        <v>8</v>
      </c>
      <c r="C14" s="1"/>
      <c r="D14" s="1"/>
      <c r="E14" s="8">
        <v>18</v>
      </c>
      <c r="F14" s="1" t="s">
        <v>13</v>
      </c>
      <c r="G14" s="1">
        <v>2</v>
      </c>
    </row>
    <row r="15" spans="2:15" x14ac:dyDescent="0.25">
      <c r="B15" s="1" t="s">
        <v>5</v>
      </c>
      <c r="C15" s="1"/>
      <c r="D15" s="1"/>
      <c r="E15" s="8">
        <v>95</v>
      </c>
      <c r="F15" s="1" t="s">
        <v>12</v>
      </c>
      <c r="G15" s="1">
        <v>1</v>
      </c>
    </row>
    <row r="16" spans="2:15" x14ac:dyDescent="0.25">
      <c r="B16" s="1" t="s">
        <v>8</v>
      </c>
      <c r="C16" s="1"/>
      <c r="D16" s="1"/>
      <c r="E16" s="8">
        <v>7</v>
      </c>
      <c r="F16" s="1" t="s">
        <v>10</v>
      </c>
      <c r="G16" s="1">
        <v>1</v>
      </c>
      <c r="I16" s="5" t="s">
        <v>43</v>
      </c>
      <c r="J16" s="5" t="s">
        <v>44</v>
      </c>
      <c r="M16" s="5" t="s">
        <v>18</v>
      </c>
      <c r="N16" s="5" t="s">
        <v>2</v>
      </c>
    </row>
    <row r="17" spans="2:14" x14ac:dyDescent="0.25">
      <c r="B17" s="1" t="s">
        <v>5</v>
      </c>
      <c r="C17" s="1"/>
      <c r="D17" s="1"/>
      <c r="E17" s="8">
        <v>190</v>
      </c>
      <c r="F17" s="1" t="s">
        <v>10</v>
      </c>
      <c r="G17" s="1">
        <v>2</v>
      </c>
      <c r="I17" s="5"/>
      <c r="J17" s="7">
        <v>600</v>
      </c>
      <c r="M17" s="5"/>
      <c r="N17" s="12"/>
    </row>
    <row r="18" spans="2:14" x14ac:dyDescent="0.25">
      <c r="B18" s="1" t="s">
        <v>8</v>
      </c>
      <c r="C18" s="1"/>
      <c r="D18" s="1"/>
      <c r="E18" s="8">
        <v>18</v>
      </c>
      <c r="F18" s="1" t="s">
        <v>11</v>
      </c>
      <c r="G18" s="1">
        <v>2</v>
      </c>
      <c r="I18" s="5"/>
      <c r="J18" s="12">
        <v>25</v>
      </c>
      <c r="M18" s="5"/>
      <c r="N18" s="12"/>
    </row>
    <row r="19" spans="2:14" x14ac:dyDescent="0.25">
      <c r="B19" s="1" t="s">
        <v>5</v>
      </c>
      <c r="C19" s="1"/>
      <c r="D19" s="1"/>
      <c r="E19" s="8">
        <v>180</v>
      </c>
      <c r="F19" s="1" t="s">
        <v>12</v>
      </c>
      <c r="G19" s="1">
        <v>2</v>
      </c>
      <c r="I19" s="5"/>
      <c r="J19" s="12"/>
      <c r="M19" s="5"/>
      <c r="N19" s="12"/>
    </row>
    <row r="20" spans="2:14" x14ac:dyDescent="0.25">
      <c r="B20" s="1" t="s">
        <v>8</v>
      </c>
      <c r="C20" s="1"/>
      <c r="D20" s="1"/>
      <c r="E20" s="8">
        <v>18</v>
      </c>
      <c r="F20" s="1" t="s">
        <v>11</v>
      </c>
      <c r="G20" s="1">
        <v>1</v>
      </c>
      <c r="I20" s="5"/>
      <c r="J20" s="12"/>
      <c r="M20" s="5"/>
      <c r="N20" s="12"/>
    </row>
    <row r="21" spans="2:14" x14ac:dyDescent="0.25">
      <c r="B21" s="1" t="s">
        <v>5</v>
      </c>
      <c r="C21" s="1"/>
      <c r="D21" s="1"/>
      <c r="E21" s="8">
        <v>100</v>
      </c>
      <c r="F21" s="1" t="s">
        <v>12</v>
      </c>
      <c r="G21" s="1">
        <v>1</v>
      </c>
      <c r="I21" s="5"/>
      <c r="J21" s="12"/>
      <c r="M21" s="5"/>
      <c r="N21" s="12"/>
    </row>
    <row r="22" spans="2:14" x14ac:dyDescent="0.25">
      <c r="B22" s="1" t="s">
        <v>5</v>
      </c>
      <c r="C22" s="1"/>
      <c r="D22" s="1"/>
      <c r="E22" s="8">
        <v>100</v>
      </c>
      <c r="F22" s="1" t="s">
        <v>11</v>
      </c>
      <c r="G22" s="1">
        <v>1</v>
      </c>
      <c r="I22" s="5"/>
      <c r="J22" s="12"/>
      <c r="M22" s="5"/>
      <c r="N22" s="12"/>
    </row>
    <row r="23" spans="2:14" x14ac:dyDescent="0.25">
      <c r="B23" s="1" t="s">
        <v>8</v>
      </c>
      <c r="C23" s="1"/>
      <c r="D23" s="1"/>
      <c r="E23" s="8">
        <v>9</v>
      </c>
      <c r="F23" s="1" t="s">
        <v>10</v>
      </c>
      <c r="G23" s="1">
        <v>1</v>
      </c>
      <c r="I23" s="5"/>
      <c r="J23" s="12"/>
      <c r="M23" s="5"/>
      <c r="N23" s="12"/>
    </row>
    <row r="24" spans="2:14" x14ac:dyDescent="0.25">
      <c r="B24" s="1" t="s">
        <v>5</v>
      </c>
      <c r="C24" s="1"/>
      <c r="D24" s="1"/>
      <c r="E24" s="8">
        <v>95</v>
      </c>
      <c r="F24" s="1" t="s">
        <v>12</v>
      </c>
      <c r="G24" s="25">
        <v>1</v>
      </c>
      <c r="I24" s="5"/>
      <c r="J24" s="12"/>
      <c r="L24" s="14"/>
      <c r="M24" s="5"/>
      <c r="N24" s="12"/>
    </row>
    <row r="25" spans="2:14" x14ac:dyDescent="0.25">
      <c r="B25" s="1" t="s">
        <v>8</v>
      </c>
      <c r="C25" s="1"/>
      <c r="D25" s="1"/>
      <c r="E25" s="8">
        <v>9</v>
      </c>
      <c r="F25" s="1" t="s">
        <v>11</v>
      </c>
      <c r="G25" s="1">
        <v>1</v>
      </c>
      <c r="I25" s="5"/>
      <c r="J25" s="12"/>
      <c r="M25" s="5"/>
      <c r="N25" s="12"/>
    </row>
    <row r="26" spans="2:14" x14ac:dyDescent="0.25">
      <c r="B26" s="1" t="s">
        <v>5</v>
      </c>
      <c r="C26" s="1" t="s">
        <v>388</v>
      </c>
      <c r="D26" s="1"/>
      <c r="E26" s="8">
        <v>100</v>
      </c>
      <c r="F26" s="1" t="s">
        <v>11</v>
      </c>
      <c r="G26" s="1">
        <v>1</v>
      </c>
      <c r="I26" s="5"/>
      <c r="J26" s="12"/>
      <c r="M26" s="5"/>
      <c r="N26" s="12"/>
    </row>
    <row r="27" spans="2:14" x14ac:dyDescent="0.25">
      <c r="B27" s="1" t="s">
        <v>5</v>
      </c>
      <c r="C27" s="1" t="s">
        <v>389</v>
      </c>
      <c r="D27" s="1"/>
      <c r="E27" s="8">
        <v>100</v>
      </c>
      <c r="F27" s="1" t="s">
        <v>325</v>
      </c>
      <c r="G27" s="1">
        <v>1</v>
      </c>
      <c r="I27" s="5"/>
      <c r="J27" s="12"/>
      <c r="M27" s="5"/>
      <c r="N27" s="12"/>
    </row>
    <row r="28" spans="2:14" x14ac:dyDescent="0.25">
      <c r="B28" s="1" t="s">
        <v>5</v>
      </c>
      <c r="C28" s="1" t="s">
        <v>390</v>
      </c>
      <c r="D28" s="1"/>
      <c r="E28" s="8">
        <v>100</v>
      </c>
      <c r="F28" s="1" t="s">
        <v>10</v>
      </c>
      <c r="G28" s="1">
        <v>1</v>
      </c>
      <c r="I28" s="5"/>
      <c r="J28" s="12"/>
      <c r="M28" s="5"/>
      <c r="N28" s="12"/>
    </row>
    <row r="29" spans="2:14" x14ac:dyDescent="0.25">
      <c r="B29" s="1" t="s">
        <v>5</v>
      </c>
      <c r="C29" s="1" t="s">
        <v>392</v>
      </c>
      <c r="D29" s="1"/>
      <c r="E29" s="8">
        <v>95</v>
      </c>
      <c r="F29" s="1" t="s">
        <v>10</v>
      </c>
      <c r="G29" s="1">
        <v>1</v>
      </c>
      <c r="I29" s="5"/>
      <c r="J29" s="12"/>
      <c r="M29" s="5"/>
      <c r="N29" s="12"/>
    </row>
    <row r="30" spans="2:14" x14ac:dyDescent="0.25">
      <c r="B30" s="1" t="s">
        <v>8</v>
      </c>
      <c r="C30" s="1" t="s">
        <v>126</v>
      </c>
      <c r="D30" s="1"/>
      <c r="E30" s="8">
        <v>9</v>
      </c>
      <c r="F30" s="1" t="s">
        <v>11</v>
      </c>
      <c r="G30" s="1">
        <v>1</v>
      </c>
      <c r="I30" s="5"/>
      <c r="J30" s="5"/>
    </row>
    <row r="31" spans="2:14" ht="18.75" x14ac:dyDescent="0.4">
      <c r="B31" s="1" t="s">
        <v>8</v>
      </c>
      <c r="C31" s="1" t="s">
        <v>391</v>
      </c>
      <c r="D31" s="1"/>
      <c r="E31" s="8">
        <v>9</v>
      </c>
      <c r="F31" s="1" t="s">
        <v>11</v>
      </c>
      <c r="G31" s="1">
        <v>1</v>
      </c>
      <c r="I31" s="13" t="s">
        <v>22</v>
      </c>
      <c r="J31" s="15">
        <f>SUM(Tabela2781215192225283134374043464952555861646770737679269121720232629323538414447505356596265687174778326912172023262932353841444750535659626568[valor])</f>
        <v>625</v>
      </c>
      <c r="M31" s="13" t="s">
        <v>42</v>
      </c>
      <c r="N31" s="15">
        <f>SUM(Tabela27812131720232629323538414447505356596265687174778037101318212427303336394245485154576063666972757884371013182124273033363942454851545760636669[Valor])</f>
        <v>0</v>
      </c>
    </row>
    <row r="32" spans="2:14" x14ac:dyDescent="0.25">
      <c r="B32" s="1" t="s">
        <v>8</v>
      </c>
      <c r="C32" s="1" t="s">
        <v>171</v>
      </c>
      <c r="D32" s="1"/>
      <c r="E32" s="8">
        <v>9</v>
      </c>
      <c r="F32" s="1" t="s">
        <v>10</v>
      </c>
      <c r="G32" s="1">
        <v>1</v>
      </c>
      <c r="I32" s="5"/>
      <c r="J32" s="5"/>
    </row>
    <row r="33" spans="2:11" x14ac:dyDescent="0.25">
      <c r="B33" s="1" t="s">
        <v>5</v>
      </c>
      <c r="C33" s="1" t="s">
        <v>393</v>
      </c>
      <c r="D33" s="1"/>
      <c r="E33" s="8">
        <v>100</v>
      </c>
      <c r="F33" s="1" t="s">
        <v>11</v>
      </c>
      <c r="G33" s="1">
        <v>1</v>
      </c>
      <c r="I33" s="5"/>
      <c r="J33" s="5"/>
    </row>
    <row r="34" spans="2:11" x14ac:dyDescent="0.25">
      <c r="B34" s="1" t="s">
        <v>5</v>
      </c>
      <c r="C34" s="1"/>
      <c r="D34" s="1"/>
      <c r="E34" s="8">
        <v>100</v>
      </c>
      <c r="F34" s="1" t="s">
        <v>10</v>
      </c>
      <c r="G34" s="1">
        <v>1</v>
      </c>
      <c r="I34" s="5"/>
      <c r="J34" s="5"/>
    </row>
    <row r="35" spans="2:11" x14ac:dyDescent="0.25">
      <c r="B35" s="1"/>
      <c r="C35" s="1"/>
      <c r="D35" s="1"/>
      <c r="E35" s="8"/>
      <c r="F35" s="1"/>
      <c r="G35" s="1"/>
      <c r="I35" s="5"/>
      <c r="J35" s="5"/>
    </row>
    <row r="36" spans="2:11" x14ac:dyDescent="0.25">
      <c r="B36" s="1"/>
      <c r="C36" s="1"/>
      <c r="D36" s="1"/>
      <c r="E36" s="8"/>
      <c r="F36" s="1"/>
      <c r="G36" s="1"/>
      <c r="J36" s="5"/>
    </row>
    <row r="37" spans="2:11" x14ac:dyDescent="0.25">
      <c r="I37" s="5"/>
    </row>
    <row r="39" spans="2:11" x14ac:dyDescent="0.25">
      <c r="I39" s="9"/>
    </row>
    <row r="40" spans="2:11" x14ac:dyDescent="0.25">
      <c r="I40" t="s">
        <v>20</v>
      </c>
    </row>
    <row r="41" spans="2:11" x14ac:dyDescent="0.25">
      <c r="B41" s="4" t="s">
        <v>10</v>
      </c>
      <c r="C41" s="2">
        <f>SUMIF(Tabela165111821242730333639424548515457606366697275788158111519222528313437404346495255586164677073768285581115192225283134374043464952555861646770[Forma de Pagamento],"Dinheiro",Tabela165111821242730333639424548515457606366697275788158111519222528313437404346495255586164677073768285581115192225283134374043464952555861646770[Valor])</f>
        <v>619</v>
      </c>
      <c r="D41" s="4" t="s">
        <v>16</v>
      </c>
      <c r="E41" s="2">
        <f>SUMIF(Tabela165111821242730333639424548515457606366697275788158111519222528313437404346495255586164677073768285581115192225283134374043464952555861646770[Item],"Gás",Tabela165111821242730333639424548515457606366697275788158111519222528313437404346495255586164677073768285581115192225283134374043464952555861646770[QUANTIDADE])+G41</f>
        <v>18</v>
      </c>
      <c r="F41" s="4" t="s">
        <v>25</v>
      </c>
      <c r="G41" s="2">
        <f>SUMIF(Tabela165111821242730333639424548515457606366697275788158111519222528313437404346495255586164677073768285581115192225283134374043464952555861646770[Item],"Gás completo",Tabela165111821242730333639424548515457606366697275788158111519222528313437404346495255586164677073768285581115192225283134374043464952555861646770[QUANTIDADE])</f>
        <v>0</v>
      </c>
    </row>
    <row r="42" spans="2:11" x14ac:dyDescent="0.25">
      <c r="B42" s="4" t="s">
        <v>11</v>
      </c>
      <c r="C42" s="2">
        <f>SUMIF(Tabela165111821242730333639424548515457606366697275788158111519222528313437404346495255586164677073768285581115192225283134374043464952555861646770[Forma de Pagamento],"Cartão",Tabela165111821242730333639424548515457606366697275788158111519222528313437404346495255586164677073768285581115192225283134374043464952555861646770[Valor])</f>
        <v>591</v>
      </c>
      <c r="D42" s="4" t="s">
        <v>17</v>
      </c>
      <c r="E42" s="2">
        <f>SUMIF(Tabela165111821242730333639424548515457606366697275788158111519222528313437404346495255586164677073768285581115192225283134374043464952555861646770[Item],"Água",Tabela165111821242730333639424548515457606366697275788158111519222528313437404346495255586164677073768285581115192225283134374043464952555861646770[QUANTIDADE])+G42</f>
        <v>15</v>
      </c>
      <c r="F42" s="4" t="s">
        <v>27</v>
      </c>
      <c r="G42" s="2">
        <f>SUMIF(Tabela165111821242730333639424548515457606366697275788158111519222528313437404346495255586164677073768285581115192225283134374043464952555861646770[Item],"Água completa",Tabela165111821242730333639424548515457606366697275788158111519222528313437404346495255586164677073768285581115192225283134374043464952555861646770[QUANTIDADE])</f>
        <v>0</v>
      </c>
      <c r="J42" s="4" t="s">
        <v>5</v>
      </c>
      <c r="K42" s="4" t="s">
        <v>8</v>
      </c>
    </row>
    <row r="43" spans="2:11" x14ac:dyDescent="0.25">
      <c r="B43" s="4" t="s">
        <v>12</v>
      </c>
      <c r="C43" s="2">
        <f>SUMIF(Tabela165111821242730333639424548515457606366697275788158111519222528313437404346495255586164677073768285581115192225283134374043464952555861646770[Forma de Pagamento],"Pix",Tabela165111821242730333639424548515457606366697275788158111519222528313437404346495255586164677073768285581115192225283134374043464952555861646770[Valor])</f>
        <v>479</v>
      </c>
      <c r="I43" s="4" t="s">
        <v>6</v>
      </c>
      <c r="J43" s="1">
        <f>SUM(J7-E41+N7)</f>
        <v>24</v>
      </c>
      <c r="K43" s="2">
        <f>SUM(K7-E42+O7)</f>
        <v>21</v>
      </c>
    </row>
    <row r="44" spans="2:11" x14ac:dyDescent="0.25">
      <c r="B44" s="4" t="s">
        <v>13</v>
      </c>
      <c r="C44" s="2">
        <f>SUMIF(Tabela165111821242730333639424548515457606366697275788158111519222528313437404346495255586164677073768285581115192225283134374043464952555861646770[Forma de Pagamento],"Fiado",Tabela165111821242730333639424548515457606366697275788158111519222528313437404346495255586164677073768285581115192225283134374043464952555861646770[Valor])</f>
        <v>118</v>
      </c>
      <c r="D44" s="4" t="s">
        <v>14</v>
      </c>
      <c r="E44" s="7">
        <f>SUM(F3-J31+C41+N31)</f>
        <v>494</v>
      </c>
      <c r="I44" s="4" t="s">
        <v>7</v>
      </c>
      <c r="J44" s="2">
        <f>SUM(J8+E41-N7)-G41</f>
        <v>17</v>
      </c>
      <c r="K44" s="2">
        <f>SUM(K8+E42-O7)-G42</f>
        <v>21</v>
      </c>
    </row>
  </sheetData>
  <dataValidations count="2">
    <dataValidation type="list" allowBlank="1" showInputMessage="1" showErrorMessage="1" sqref="B7:B16 B18:B36" xr:uid="{1BEAABAE-8800-49EA-99CE-B05289CB96C8}">
      <formula1>"Gás,Água,Gás completo,Água completa,Gás e Água, Recebimento"</formula1>
    </dataValidation>
    <dataValidation type="list" allowBlank="1" showInputMessage="1" showErrorMessage="1" sqref="F7:F36" xr:uid="{E0504BE1-6359-468E-98C8-96EB396B1B60}">
      <formula1>"Dinheiro,Cartão,Pix,Fiado,Pago"</formula1>
    </dataValidation>
  </dataValidations>
  <pageMargins left="0.511811024" right="0.511811024" top="0.78740157499999996" bottom="0.78740157499999996" header="0.31496062000000002" footer="0.31496062000000002"/>
  <pageSetup paperSize="0" orientation="portrait" horizontalDpi="203" verticalDpi="203" r:id="rId1"/>
  <drawing r:id="rId2"/>
  <tableParts count="3">
    <tablePart r:id="rId3"/>
    <tablePart r:id="rId4"/>
    <tablePart r:id="rId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B45EF-BDE9-43F1-A5F0-83679E170E56}">
  <dimension ref="B2:O44"/>
  <sheetViews>
    <sheetView showGridLines="0" workbookViewId="0">
      <selection activeCell="C23" sqref="C23"/>
    </sheetView>
  </sheetViews>
  <sheetFormatPr defaultRowHeight="15" x14ac:dyDescent="0.25"/>
  <cols>
    <col min="2" max="2" width="14.7109375" customWidth="1"/>
    <col min="3" max="3" width="38.140625" customWidth="1"/>
    <col min="4" max="4" width="19.85546875" customWidth="1"/>
    <col min="5" max="5" width="21.85546875" customWidth="1"/>
    <col min="6" max="6" width="25.85546875" customWidth="1"/>
    <col min="7" max="7" width="16.7109375" customWidth="1"/>
    <col min="8" max="8" width="11.28515625" customWidth="1"/>
    <col min="9" max="9" width="21.85546875" customWidth="1"/>
    <col min="10" max="10" width="13.5703125" customWidth="1"/>
    <col min="11" max="11" width="12.28515625" customWidth="1"/>
    <col min="12" max="12" width="8.5703125" customWidth="1"/>
    <col min="13" max="13" width="19.7109375" customWidth="1"/>
    <col min="14" max="14" width="15.5703125" customWidth="1"/>
    <col min="15" max="15" width="13" customWidth="1"/>
  </cols>
  <sheetData>
    <row r="2" spans="2:15" ht="15.75" x14ac:dyDescent="0.25">
      <c r="E2" s="10" t="s">
        <v>4</v>
      </c>
      <c r="F2" s="3">
        <v>45190</v>
      </c>
    </row>
    <row r="3" spans="2:15" ht="15.75" x14ac:dyDescent="0.25">
      <c r="E3" s="10" t="s">
        <v>15</v>
      </c>
      <c r="F3" s="7"/>
    </row>
    <row r="4" spans="2:15" x14ac:dyDescent="0.25">
      <c r="J4" t="s">
        <v>19</v>
      </c>
      <c r="M4" t="s">
        <v>24</v>
      </c>
    </row>
    <row r="6" spans="2:15" x14ac:dyDescent="0.25">
      <c r="B6" s="6" t="s">
        <v>9</v>
      </c>
      <c r="C6" s="6" t="s">
        <v>0</v>
      </c>
      <c r="D6" s="6" t="s">
        <v>1</v>
      </c>
      <c r="E6" s="6" t="s">
        <v>2</v>
      </c>
      <c r="F6" s="6" t="s">
        <v>3</v>
      </c>
      <c r="G6" s="6" t="s">
        <v>26</v>
      </c>
      <c r="J6" s="4" t="s">
        <v>5</v>
      </c>
      <c r="K6" s="4" t="s">
        <v>8</v>
      </c>
      <c r="N6" s="4" t="s">
        <v>5</v>
      </c>
      <c r="O6" s="4" t="s">
        <v>8</v>
      </c>
    </row>
    <row r="7" spans="2:15" x14ac:dyDescent="0.25">
      <c r="B7" s="1" t="s">
        <v>5</v>
      </c>
      <c r="C7" s="1" t="s">
        <v>380</v>
      </c>
      <c r="D7" s="1"/>
      <c r="E7" s="8">
        <v>100</v>
      </c>
      <c r="F7" s="1" t="s">
        <v>11</v>
      </c>
      <c r="G7" s="1">
        <v>1</v>
      </c>
      <c r="I7" s="4" t="s">
        <v>6</v>
      </c>
      <c r="J7" s="1">
        <v>33</v>
      </c>
      <c r="K7" s="11">
        <v>22</v>
      </c>
      <c r="M7" s="4" t="s">
        <v>23</v>
      </c>
      <c r="N7" s="11"/>
      <c r="O7" s="11"/>
    </row>
    <row r="8" spans="2:15" x14ac:dyDescent="0.25">
      <c r="B8" s="1" t="s">
        <v>5</v>
      </c>
      <c r="C8" s="1" t="s">
        <v>144</v>
      </c>
      <c r="D8" s="1"/>
      <c r="E8" s="8">
        <v>100</v>
      </c>
      <c r="F8" s="1" t="s">
        <v>11</v>
      </c>
      <c r="G8" s="1">
        <v>1</v>
      </c>
      <c r="I8" s="4" t="s">
        <v>7</v>
      </c>
      <c r="J8" s="11">
        <v>8</v>
      </c>
      <c r="K8" s="11">
        <v>7</v>
      </c>
    </row>
    <row r="9" spans="2:15" x14ac:dyDescent="0.25">
      <c r="B9" s="1" t="s">
        <v>8</v>
      </c>
      <c r="C9" s="1" t="s">
        <v>144</v>
      </c>
      <c r="D9" s="1"/>
      <c r="E9" s="8">
        <v>7</v>
      </c>
      <c r="F9" s="1"/>
      <c r="G9" s="1">
        <v>1</v>
      </c>
    </row>
    <row r="10" spans="2:15" x14ac:dyDescent="0.25">
      <c r="B10" s="1" t="s">
        <v>5</v>
      </c>
      <c r="C10" s="1" t="s">
        <v>379</v>
      </c>
      <c r="D10" s="1"/>
      <c r="E10" s="8">
        <v>100</v>
      </c>
      <c r="F10" s="1" t="s">
        <v>11</v>
      </c>
      <c r="G10" s="1">
        <v>1</v>
      </c>
    </row>
    <row r="11" spans="2:15" x14ac:dyDescent="0.25">
      <c r="B11" s="1" t="s">
        <v>5</v>
      </c>
      <c r="C11" s="1" t="s">
        <v>378</v>
      </c>
      <c r="D11" s="1"/>
      <c r="E11" s="8">
        <v>95</v>
      </c>
      <c r="F11" s="1" t="s">
        <v>10</v>
      </c>
      <c r="G11" s="1">
        <v>1</v>
      </c>
    </row>
    <row r="12" spans="2:15" x14ac:dyDescent="0.25">
      <c r="B12" s="1" t="s">
        <v>5</v>
      </c>
      <c r="C12" s="1" t="s">
        <v>377</v>
      </c>
      <c r="D12" s="1"/>
      <c r="E12" s="8">
        <v>100</v>
      </c>
      <c r="F12" s="1" t="s">
        <v>11</v>
      </c>
      <c r="G12" s="1">
        <v>1</v>
      </c>
    </row>
    <row r="13" spans="2:15" x14ac:dyDescent="0.25">
      <c r="B13" s="1" t="s">
        <v>5</v>
      </c>
      <c r="C13" s="1" t="s">
        <v>376</v>
      </c>
      <c r="D13" s="1"/>
      <c r="E13" s="8">
        <v>100</v>
      </c>
      <c r="F13" s="1"/>
      <c r="G13" s="1">
        <v>1</v>
      </c>
      <c r="I13" t="s">
        <v>21</v>
      </c>
    </row>
    <row r="14" spans="2:15" x14ac:dyDescent="0.25">
      <c r="B14" s="1" t="s">
        <v>5</v>
      </c>
      <c r="C14" s="1" t="s">
        <v>381</v>
      </c>
      <c r="D14" s="1"/>
      <c r="E14" s="8">
        <v>100</v>
      </c>
      <c r="F14" s="1" t="s">
        <v>13</v>
      </c>
      <c r="G14" s="1">
        <v>1</v>
      </c>
    </row>
    <row r="15" spans="2:15" x14ac:dyDescent="0.25">
      <c r="B15" s="1" t="s">
        <v>5</v>
      </c>
      <c r="C15" s="1" t="s">
        <v>382</v>
      </c>
      <c r="D15" s="1"/>
      <c r="E15" s="8">
        <v>100</v>
      </c>
      <c r="F15" s="1" t="s">
        <v>13</v>
      </c>
      <c r="G15" s="1">
        <v>1</v>
      </c>
    </row>
    <row r="16" spans="2:15" x14ac:dyDescent="0.25">
      <c r="B16" s="1" t="s">
        <v>5</v>
      </c>
      <c r="C16" s="1" t="s">
        <v>383</v>
      </c>
      <c r="D16" s="1" t="s">
        <v>384</v>
      </c>
      <c r="E16" s="8">
        <v>100</v>
      </c>
      <c r="F16" s="1" t="s">
        <v>11</v>
      </c>
      <c r="G16" s="1">
        <v>1</v>
      </c>
      <c r="I16" s="5" t="s">
        <v>43</v>
      </c>
      <c r="J16" s="5" t="s">
        <v>44</v>
      </c>
      <c r="M16" s="5" t="s">
        <v>18</v>
      </c>
      <c r="N16" s="5" t="s">
        <v>2</v>
      </c>
    </row>
    <row r="17" spans="2:14" x14ac:dyDescent="0.25">
      <c r="B17" s="1" t="s">
        <v>8</v>
      </c>
      <c r="C17" s="1" t="s">
        <v>385</v>
      </c>
      <c r="D17" s="1"/>
      <c r="E17" s="8">
        <v>18</v>
      </c>
      <c r="F17" s="1" t="s">
        <v>11</v>
      </c>
      <c r="G17" s="1">
        <v>2</v>
      </c>
      <c r="I17" s="5"/>
      <c r="J17" s="7"/>
      <c r="M17" s="5"/>
      <c r="N17" s="12"/>
    </row>
    <row r="18" spans="2:14" x14ac:dyDescent="0.25">
      <c r="B18" s="1" t="s">
        <v>8</v>
      </c>
      <c r="C18" s="1" t="s">
        <v>311</v>
      </c>
      <c r="D18" s="1"/>
      <c r="E18" s="8">
        <v>7</v>
      </c>
      <c r="F18" s="1" t="s">
        <v>10</v>
      </c>
      <c r="G18" s="1">
        <v>1</v>
      </c>
      <c r="I18" s="5"/>
      <c r="J18" s="12"/>
      <c r="M18" s="5"/>
      <c r="N18" s="12"/>
    </row>
    <row r="19" spans="2:14" x14ac:dyDescent="0.25">
      <c r="B19" s="1" t="s">
        <v>8</v>
      </c>
      <c r="C19" s="1" t="s">
        <v>386</v>
      </c>
      <c r="D19" s="1"/>
      <c r="E19" s="8">
        <v>9</v>
      </c>
      <c r="F19" s="1" t="s">
        <v>12</v>
      </c>
      <c r="G19" s="1">
        <v>1</v>
      </c>
      <c r="I19" s="5"/>
      <c r="J19" s="12"/>
      <c r="M19" s="5"/>
      <c r="N19" s="12"/>
    </row>
    <row r="20" spans="2:14" x14ac:dyDescent="0.25">
      <c r="B20" s="1"/>
      <c r="C20" s="1"/>
      <c r="D20" s="1"/>
      <c r="E20" s="8"/>
      <c r="F20" s="1"/>
      <c r="G20" s="1"/>
      <c r="I20" s="5"/>
      <c r="J20" s="12"/>
      <c r="M20" s="5"/>
      <c r="N20" s="12"/>
    </row>
    <row r="21" spans="2:14" x14ac:dyDescent="0.25">
      <c r="B21" s="1"/>
      <c r="C21" s="1"/>
      <c r="D21" s="1"/>
      <c r="E21" s="8"/>
      <c r="F21" s="1"/>
      <c r="G21" s="1"/>
      <c r="I21" s="5"/>
      <c r="J21" s="12"/>
      <c r="M21" s="5"/>
      <c r="N21" s="12"/>
    </row>
    <row r="22" spans="2:14" x14ac:dyDescent="0.25">
      <c r="B22" s="1"/>
      <c r="C22" s="1"/>
      <c r="D22" s="1"/>
      <c r="E22" s="8"/>
      <c r="F22" s="1"/>
      <c r="G22" s="1"/>
      <c r="I22" s="5"/>
      <c r="J22" s="12"/>
      <c r="M22" s="5"/>
      <c r="N22" s="12"/>
    </row>
    <row r="23" spans="2:14" x14ac:dyDescent="0.25">
      <c r="B23" s="1"/>
      <c r="C23" s="1"/>
      <c r="D23" s="1"/>
      <c r="E23" s="8"/>
      <c r="F23" s="1"/>
      <c r="G23" s="1"/>
      <c r="I23" s="5"/>
      <c r="J23" s="12"/>
      <c r="M23" s="5"/>
      <c r="N23" s="12"/>
    </row>
    <row r="24" spans="2:14" x14ac:dyDescent="0.25">
      <c r="B24" s="1"/>
      <c r="C24" s="1"/>
      <c r="D24" s="1"/>
      <c r="E24" s="8"/>
      <c r="F24" s="1"/>
      <c r="G24" s="25"/>
      <c r="I24" s="5"/>
      <c r="J24" s="12"/>
      <c r="L24" s="14"/>
      <c r="M24" s="5"/>
      <c r="N24" s="12"/>
    </row>
    <row r="25" spans="2:14" x14ac:dyDescent="0.25">
      <c r="B25" s="1"/>
      <c r="C25" s="1"/>
      <c r="D25" s="1"/>
      <c r="E25" s="8"/>
      <c r="F25" s="1"/>
      <c r="G25" s="1"/>
      <c r="I25" s="5"/>
      <c r="J25" s="12"/>
      <c r="M25" s="5"/>
      <c r="N25" s="12"/>
    </row>
    <row r="26" spans="2:14" x14ac:dyDescent="0.25">
      <c r="B26" s="1"/>
      <c r="C26" s="1"/>
      <c r="D26" s="1"/>
      <c r="E26" s="8"/>
      <c r="F26" s="1"/>
      <c r="G26" s="1"/>
      <c r="I26" s="5"/>
      <c r="J26" s="12"/>
      <c r="M26" s="5"/>
      <c r="N26" s="12"/>
    </row>
    <row r="27" spans="2:14" x14ac:dyDescent="0.25">
      <c r="B27" s="1"/>
      <c r="C27" s="1"/>
      <c r="D27" s="1"/>
      <c r="E27" s="8"/>
      <c r="F27" s="1"/>
      <c r="G27" s="1"/>
      <c r="I27" s="5"/>
      <c r="J27" s="12"/>
      <c r="M27" s="5"/>
      <c r="N27" s="12"/>
    </row>
    <row r="28" spans="2:14" x14ac:dyDescent="0.25">
      <c r="B28" s="1"/>
      <c r="C28" s="1"/>
      <c r="D28" s="1"/>
      <c r="E28" s="8"/>
      <c r="F28" s="1"/>
      <c r="G28" s="1"/>
      <c r="I28" s="5"/>
      <c r="J28" s="12"/>
      <c r="M28" s="5"/>
      <c r="N28" s="12"/>
    </row>
    <row r="29" spans="2:14" x14ac:dyDescent="0.25">
      <c r="B29" s="1"/>
      <c r="C29" s="1"/>
      <c r="D29" s="1"/>
      <c r="E29" s="8"/>
      <c r="F29" s="1"/>
      <c r="G29" s="1"/>
      <c r="I29" s="5"/>
      <c r="J29" s="12"/>
      <c r="M29" s="5"/>
      <c r="N29" s="12"/>
    </row>
    <row r="30" spans="2:14" x14ac:dyDescent="0.25">
      <c r="B30" s="1"/>
      <c r="C30" s="1"/>
      <c r="D30" s="1"/>
      <c r="E30" s="8"/>
      <c r="F30" s="1"/>
      <c r="G30" s="1"/>
      <c r="I30" s="5"/>
      <c r="J30" s="5"/>
    </row>
    <row r="31" spans="2:14" ht="18.75" x14ac:dyDescent="0.4">
      <c r="B31" s="1"/>
      <c r="C31" s="1"/>
      <c r="D31" s="1"/>
      <c r="E31" s="8"/>
      <c r="F31" s="1"/>
      <c r="G31" s="1"/>
      <c r="I31" s="13" t="s">
        <v>22</v>
      </c>
      <c r="J31" s="15">
        <f>SUM(Tabela27812151922252831343740434649525558616467707376792691217202326293235384144475053565962656871747783269121720232629323538414447505356596265[valor])</f>
        <v>0</v>
      </c>
      <c r="M31" s="13" t="s">
        <v>42</v>
      </c>
      <c r="N31" s="15">
        <f>SUM(Tabela278121317202326293235384144475053565962656871747780371013182124273033363942454851545760636669727578843710131821242730333639424548515457606366[Valor])</f>
        <v>0</v>
      </c>
    </row>
    <row r="32" spans="2:14" x14ac:dyDescent="0.25">
      <c r="B32" s="1"/>
      <c r="C32" s="1"/>
      <c r="D32" s="1"/>
      <c r="E32" s="8"/>
      <c r="F32" s="1"/>
      <c r="G32" s="1"/>
      <c r="I32" s="5"/>
      <c r="J32" s="5"/>
    </row>
    <row r="33" spans="2:11" x14ac:dyDescent="0.25">
      <c r="B33" s="1"/>
      <c r="C33" s="1"/>
      <c r="D33" s="1"/>
      <c r="E33" s="8"/>
      <c r="F33" s="1"/>
      <c r="G33" s="1"/>
      <c r="I33" s="5"/>
      <c r="J33" s="5"/>
    </row>
    <row r="34" spans="2:11" x14ac:dyDescent="0.25">
      <c r="B34" s="1"/>
      <c r="C34" s="1"/>
      <c r="D34" s="1"/>
      <c r="E34" s="8"/>
      <c r="F34" s="1"/>
      <c r="G34" s="1"/>
      <c r="I34" s="5"/>
      <c r="J34" s="5"/>
    </row>
    <row r="35" spans="2:11" x14ac:dyDescent="0.25">
      <c r="B35" s="1"/>
      <c r="C35" s="1"/>
      <c r="D35" s="1"/>
      <c r="E35" s="8"/>
      <c r="F35" s="1"/>
      <c r="G35" s="1"/>
      <c r="I35" s="5"/>
      <c r="J35" s="5"/>
    </row>
    <row r="36" spans="2:11" x14ac:dyDescent="0.25">
      <c r="B36" s="1"/>
      <c r="C36" s="1"/>
      <c r="D36" s="1"/>
      <c r="E36" s="8"/>
      <c r="F36" s="1"/>
      <c r="G36" s="1"/>
      <c r="J36" s="5"/>
    </row>
    <row r="37" spans="2:11" x14ac:dyDescent="0.25">
      <c r="I37" s="5"/>
    </row>
    <row r="39" spans="2:11" x14ac:dyDescent="0.25">
      <c r="I39" s="9"/>
    </row>
    <row r="40" spans="2:11" x14ac:dyDescent="0.25">
      <c r="I40" t="s">
        <v>20</v>
      </c>
    </row>
    <row r="41" spans="2:11" x14ac:dyDescent="0.25">
      <c r="B41" s="4" t="s">
        <v>10</v>
      </c>
      <c r="C41" s="2">
        <f>SUMIF(Tabela1651118212427303336394245485154576063666972757881581115192225283134374043464952555861646770737682855811151922252831343740434649525558616467[Forma de Pagamento],"Dinheiro",Tabela1651118212427303336394245485154576063666972757881581115192225283134374043464952555861646770737682855811151922252831343740434649525558616467[Valor])</f>
        <v>102</v>
      </c>
      <c r="D41" s="4" t="s">
        <v>16</v>
      </c>
      <c r="E41" s="2">
        <f>SUMIF(Tabela1651118212427303336394245485154576063666972757881581115192225283134374043464952555861646770737682855811151922252831343740434649525558616467[Item],"Gás",Tabela1651118212427303336394245485154576063666972757881581115192225283134374043464952555861646770737682855811151922252831343740434649525558616467[QUANTIDADE])+G41</f>
        <v>9</v>
      </c>
      <c r="F41" s="4" t="s">
        <v>25</v>
      </c>
      <c r="G41" s="2">
        <f>SUMIF(Tabela1651118212427303336394245485154576063666972757881581115192225283134374043464952555861646770737682855811151922252831343740434649525558616467[Item],"Gás completo",Tabela1651118212427303336394245485154576063666972757881581115192225283134374043464952555861646770737682855811151922252831343740434649525558616467[QUANTIDADE])</f>
        <v>0</v>
      </c>
    </row>
    <row r="42" spans="2:11" x14ac:dyDescent="0.25">
      <c r="B42" s="4" t="s">
        <v>11</v>
      </c>
      <c r="C42" s="2">
        <f>SUMIF(Tabela1651118212427303336394245485154576063666972757881581115192225283134374043464952555861646770737682855811151922252831343740434649525558616467[Forma de Pagamento],"Cartão",Tabela1651118212427303336394245485154576063666972757881581115192225283134374043464952555861646770737682855811151922252831343740434649525558616467[Valor])</f>
        <v>518</v>
      </c>
      <c r="D42" s="4" t="s">
        <v>17</v>
      </c>
      <c r="E42" s="2">
        <f>SUMIF(Tabela1651118212427303336394245485154576063666972757881581115192225283134374043464952555861646770737682855811151922252831343740434649525558616467[Item],"Água",Tabela1651118212427303336394245485154576063666972757881581115192225283134374043464952555861646770737682855811151922252831343740434649525558616467[QUANTIDADE])+G42</f>
        <v>5</v>
      </c>
      <c r="F42" s="4" t="s">
        <v>27</v>
      </c>
      <c r="G42" s="2">
        <f>SUMIF(Tabela1651118212427303336394245485154576063666972757881581115192225283134374043464952555861646770737682855811151922252831343740434649525558616467[Item],"Água completa",Tabela1651118212427303336394245485154576063666972757881581115192225283134374043464952555861646770737682855811151922252831343740434649525558616467[QUANTIDADE])</f>
        <v>0</v>
      </c>
      <c r="J42" s="4" t="s">
        <v>5</v>
      </c>
      <c r="K42" s="4" t="s">
        <v>8</v>
      </c>
    </row>
    <row r="43" spans="2:11" x14ac:dyDescent="0.25">
      <c r="B43" s="4" t="s">
        <v>12</v>
      </c>
      <c r="C43" s="2">
        <f>SUMIF(Tabela1651118212427303336394245485154576063666972757881581115192225283134374043464952555861646770737682855811151922252831343740434649525558616467[Forma de Pagamento],"Pix",Tabela1651118212427303336394245485154576063666972757881581115192225283134374043464952555861646770737682855811151922252831343740434649525558616467[Valor])</f>
        <v>9</v>
      </c>
      <c r="I43" s="4" t="s">
        <v>6</v>
      </c>
      <c r="J43" s="1">
        <f>SUM(J7-E41+N7)</f>
        <v>24</v>
      </c>
      <c r="K43" s="2">
        <f>SUM(K7-E42+O7)</f>
        <v>17</v>
      </c>
    </row>
    <row r="44" spans="2:11" x14ac:dyDescent="0.25">
      <c r="B44" s="4" t="s">
        <v>13</v>
      </c>
      <c r="C44" s="2">
        <f>SUMIF(Tabela1651118212427303336394245485154576063666972757881581115192225283134374043464952555861646770737682855811151922252831343740434649525558616467[Forma de Pagamento],"Fiado",Tabela1651118212427303336394245485154576063666972757881581115192225283134374043464952555861646770737682855811151922252831343740434649525558616467[Valor])</f>
        <v>200</v>
      </c>
      <c r="D44" s="4" t="s">
        <v>14</v>
      </c>
      <c r="E44" s="7">
        <f>SUM(F3-J31+C41+N31)</f>
        <v>102</v>
      </c>
      <c r="I44" s="4" t="s">
        <v>7</v>
      </c>
      <c r="J44" s="2">
        <f>SUM(J8+E41-N7)-G41</f>
        <v>17</v>
      </c>
      <c r="K44" s="2">
        <f>SUM(K8+E42-O7)-G42</f>
        <v>12</v>
      </c>
    </row>
  </sheetData>
  <dataValidations count="2">
    <dataValidation type="list" allowBlank="1" showInputMessage="1" showErrorMessage="1" sqref="F7:F36" xr:uid="{69EDE8D0-F212-4B67-90B7-6D477E1C2C35}">
      <formula1>"Dinheiro,Cartão,Pix,Fiado,Pago"</formula1>
    </dataValidation>
    <dataValidation type="list" allowBlank="1" showInputMessage="1" showErrorMessage="1" sqref="B7:B16 B18:B36" xr:uid="{48BF4BBA-D172-4D40-A2FB-7C3786F9E432}">
      <formula1>"Gás,Água,Gás completo,Água completa,Gás e Água, Recebimento"</formula1>
    </dataValidation>
  </dataValidations>
  <pageMargins left="0.511811024" right="0.511811024" top="0.78740157499999996" bottom="0.78740157499999996" header="0.31496062000000002" footer="0.31496062000000002"/>
  <pageSetup paperSize="0" orientation="portrait" horizontalDpi="203" verticalDpi="203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34</vt:i4>
      </vt:variant>
    </vt:vector>
  </HeadingPairs>
  <TitlesOfParts>
    <vt:vector size="34" baseType="lpstr">
      <vt:lpstr>Dia 30</vt:lpstr>
      <vt:lpstr>Dia 29</vt:lpstr>
      <vt:lpstr>Dia 28</vt:lpstr>
      <vt:lpstr>Dia 27</vt:lpstr>
      <vt:lpstr>Dia 26</vt:lpstr>
      <vt:lpstr>Dia 25</vt:lpstr>
      <vt:lpstr>Dia 24</vt:lpstr>
      <vt:lpstr>Dia 23</vt:lpstr>
      <vt:lpstr>Dia 22</vt:lpstr>
      <vt:lpstr>Dia 21</vt:lpstr>
      <vt:lpstr>Dia 20</vt:lpstr>
      <vt:lpstr>Dia 19</vt:lpstr>
      <vt:lpstr>Dia 18</vt:lpstr>
      <vt:lpstr>Dia 17</vt:lpstr>
      <vt:lpstr>Dia 16</vt:lpstr>
      <vt:lpstr>Dia 15</vt:lpstr>
      <vt:lpstr>Dia 14</vt:lpstr>
      <vt:lpstr>Dia 13</vt:lpstr>
      <vt:lpstr>Dia 12</vt:lpstr>
      <vt:lpstr>Dia 11</vt:lpstr>
      <vt:lpstr>Dia 10</vt:lpstr>
      <vt:lpstr>Dia 09</vt:lpstr>
      <vt:lpstr>Dia 08</vt:lpstr>
      <vt:lpstr>Dia 07</vt:lpstr>
      <vt:lpstr>Dia 06</vt:lpstr>
      <vt:lpstr>Dia 05</vt:lpstr>
      <vt:lpstr>Dia 04</vt:lpstr>
      <vt:lpstr>Dia 03</vt:lpstr>
      <vt:lpstr>Dia 02</vt:lpstr>
      <vt:lpstr>Dia 01</vt:lpstr>
      <vt:lpstr>Fiados</vt:lpstr>
      <vt:lpstr>Historico de abastecimento</vt:lpstr>
      <vt:lpstr>Menu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2023-05-03T21:12:43Z</dcterms:created>
  <dcterms:modified xsi:type="dcterms:W3CDTF">2023-10-02T22:27:26Z</dcterms:modified>
</cp:coreProperties>
</file>