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lype Dantas\Downloads\"/>
    </mc:Choice>
  </mc:AlternateContent>
  <xr:revisionPtr revIDLastSave="0" documentId="8_{21AA4006-7B62-4590-B983-475B0FAFA9F6}" xr6:coauthVersionLast="47" xr6:coauthVersionMax="47" xr10:uidLastSave="{00000000-0000-0000-0000-000000000000}"/>
  <bookViews>
    <workbookView xWindow="-108" yWindow="-108" windowWidth="23256" windowHeight="12456" xr2:uid="{F6D97A53-F63B-4272-A181-44B26E0B790F}"/>
  </bookViews>
  <sheets>
    <sheet name="Dados Para Graficos" sheetId="3" r:id="rId1"/>
    <sheet name="Dashboard" sheetId="4" r:id="rId2"/>
    <sheet name="Tabela de Vendas" sheetId="5" r:id="rId3"/>
    <sheet name="Tabela de Produtos" sheetId="2" r:id="rId4"/>
  </sheets>
  <definedNames>
    <definedName name="int_Nome_Produtos">'Tabela de Produtos'!$A$4:$A$23</definedName>
    <definedName name="int_Quantidades">'Tabela de Produtos'!$F$4:$F$23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O4" i="3"/>
  <c r="O3" i="3"/>
  <c r="J4" i="3"/>
  <c r="J5" i="3"/>
  <c r="J6" i="3"/>
  <c r="J7" i="3"/>
  <c r="J8" i="3"/>
  <c r="J3" i="3"/>
  <c r="I4" i="3"/>
  <c r="I5" i="3"/>
  <c r="I6" i="3"/>
  <c r="I7" i="3"/>
  <c r="I8" i="3"/>
  <c r="E5" i="3"/>
  <c r="E3" i="3"/>
  <c r="AQ4" i="4"/>
  <c r="E20" i="5"/>
  <c r="D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O5" i="3" s="1"/>
  <c r="F6" i="5"/>
  <c r="F4" i="5"/>
  <c r="W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J20" i="2"/>
  <c r="J17" i="2"/>
  <c r="K14" i="2"/>
  <c r="K13" i="2"/>
  <c r="J10" i="2"/>
  <c r="J7" i="2"/>
  <c r="H21" i="2"/>
  <c r="G24" i="2"/>
  <c r="H24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/>
  <c r="H22" i="2" s="1"/>
  <c r="G23" i="2"/>
  <c r="H23" i="2" s="1"/>
  <c r="F25" i="2"/>
  <c r="D25" i="2"/>
  <c r="M4" i="3" l="1"/>
  <c r="N4" i="3" s="1"/>
  <c r="M5" i="3"/>
  <c r="N5" i="3" s="1"/>
  <c r="M3" i="3"/>
  <c r="N3" i="3" s="1"/>
  <c r="E4" i="3"/>
  <c r="I3" i="3"/>
  <c r="F20" i="5"/>
  <c r="BK4" i="4" s="1"/>
  <c r="G25" i="2"/>
  <c r="H25" i="2"/>
</calcChain>
</file>

<file path=xl/sharedStrings.xml><?xml version="1.0" encoding="utf-8"?>
<sst xmlns="http://schemas.openxmlformats.org/spreadsheetml/2006/main" count="185" uniqueCount="59">
  <si>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</si>
  <si>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</si>
  <si>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</si>
  <si>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</si>
  <si>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</si>
  <si>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</si>
  <si>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</si>
  <si>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</si>
  <si>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</si>
  <si>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</si>
  <si>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</si>
  <si>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</si>
  <si>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</si>
  <si>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</si>
  <si>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</si>
  <si>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</si>
  <si>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</si>
  <si>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</si>
  <si>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</si>
  <si>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</si>
  <si>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</si>
  <si>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</si>
  <si>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</si>
  <si>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</si>
  <si>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</si>
  <si>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</si>
  <si>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Valor com Desconto</t>
  </si>
  <si>
    <t>Valor Desconto</t>
  </si>
  <si>
    <t>Contagem de Produtos</t>
  </si>
  <si>
    <t>Contagem em Estoque</t>
  </si>
  <si>
    <t>Rótulos de Linha</t>
  </si>
  <si>
    <t>Total Geral</t>
  </si>
  <si>
    <t>Soma de Qtd</t>
  </si>
  <si>
    <t>Qtd Produtos em tabela</t>
  </si>
  <si>
    <t>Soma em estoque</t>
  </si>
  <si>
    <t>valor correspondente</t>
  </si>
  <si>
    <t>Posição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</si>
  <si>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</si>
  <si>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</si>
  <si>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</si>
  <si>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</si>
  <si>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</si>
  <si>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</si>
  <si>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</si>
  <si>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Mês</t>
  </si>
  <si>
    <t>Vendedor</t>
  </si>
  <si>
    <t>João</t>
  </si>
  <si>
    <t>Sarah</t>
  </si>
  <si>
    <t>Clara</t>
  </si>
  <si>
    <t>Vendedores</t>
  </si>
  <si>
    <t>N. Mês</t>
  </si>
  <si>
    <t>Jan</t>
  </si>
  <si>
    <t>Fev</t>
  </si>
  <si>
    <t>Mar</t>
  </si>
  <si>
    <t>Abr</t>
  </si>
  <si>
    <t>Mai</t>
  </si>
  <si>
    <t>Jun</t>
  </si>
  <si>
    <t>% Categoria</t>
  </si>
  <si>
    <t>%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</si>
</sst>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00B0F0"/>
      <name val="Montserrat"/>
    </font>
    <font>
      <b/>
      <sz val="16"/>
      <color theme="1"/>
      <name val="Montserrat"/>
    </font>
    <font>
      <b/>
      <sz val="28"/>
      <color theme="1"/>
      <name val="Montserrat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8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1" fillId="0" borderId="13" xfId="0" applyFont="1" applyBorder="1" applyAlignment="1">
      <alignment horizontal="center"/>
    </xf>
    <xf numFmtId="164" fontId="0" fillId="0" borderId="1" xfId="0" applyNumberFormat="1" applyBorder="1"/>
    <xf numFmtId="0" fontId="1" fillId="0" borderId="14" xfId="0" applyFont="1" applyBorder="1" applyAlignment="1">
      <alignment horizontal="center"/>
    </xf>
    <xf numFmtId="0" fontId="0" fillId="2" borderId="0" xfId="0" applyFill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1" fontId="0" fillId="0" borderId="4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4" xfId="0" applyNumberFormat="1" applyFill="1" applyBorder="1"/>
    <xf numFmtId="0" fontId="1" fillId="0" borderId="15" xfId="0" applyFont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0" fontId="3" fillId="0" borderId="1" xfId="0" applyFont="1" applyBorder="1"/>
    <xf numFmtId="0" fontId="0" fillId="5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2" borderId="5" xfId="0" applyFont="1" applyFill="1" applyBorder="1"/>
    <xf numFmtId="0" fontId="1" fillId="0" borderId="16" xfId="0" applyFont="1" applyBorder="1" applyAlignment="1">
      <alignment horizontal="center"/>
    </xf>
    <xf numFmtId="0" fontId="0" fillId="7" borderId="0" xfId="0" applyFill="1"/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6" fillId="0" borderId="0" xfId="0" applyFont="1"/>
    <xf numFmtId="0" fontId="6" fillId="7" borderId="0" xfId="0" applyFont="1" applyFill="1"/>
    <xf numFmtId="9" fontId="0" fillId="0" borderId="0" xfId="2" applyFont="1"/>
    <xf numFmtId="164" fontId="0" fillId="2" borderId="16" xfId="0" applyNumberFormat="1" applyFill="1" applyBorder="1"/>
    <xf numFmtId="0" fontId="0" fillId="0" borderId="25" xfId="0" applyBorder="1"/>
    <xf numFmtId="1" fontId="0" fillId="0" borderId="16" xfId="0" applyNumberFormat="1" applyBorder="1" applyAlignment="1">
      <alignment horizontal="center"/>
    </xf>
    <xf numFmtId="44" fontId="0" fillId="0" borderId="1" xfId="1" applyFont="1" applyBorder="1"/>
    <xf numFmtId="0" fontId="0" fillId="2" borderId="0" xfId="0" applyFill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26" xfId="0" applyBorder="1"/>
    <xf numFmtId="0" fontId="0" fillId="0" borderId="32" xfId="0" applyBorder="1"/>
    <xf numFmtId="0" fontId="0" fillId="0" borderId="27" xfId="0" applyBorder="1"/>
    <xf numFmtId="0" fontId="0" fillId="0" borderId="33" xfId="0" applyBorder="1"/>
    <xf numFmtId="9" fontId="0" fillId="0" borderId="1" xfId="2" applyFont="1" applyBorder="1" applyAlignment="1">
      <alignment horizontal="center"/>
    </xf>
    <xf numFmtId="9" fontId="0" fillId="0" borderId="28" xfId="2" applyFont="1" applyBorder="1" applyAlignment="1">
      <alignment horizontal="center"/>
    </xf>
    <xf numFmtId="9" fontId="0" fillId="0" borderId="1" xfId="0" applyNumberFormat="1" applyBorder="1"/>
    <xf numFmtId="0" fontId="5" fillId="0" borderId="0" xfId="0" applyFont="1"/>
    <xf numFmtId="0" fontId="7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44" fontId="9" fillId="0" borderId="17" xfId="1" applyFont="1" applyBorder="1" applyAlignment="1">
      <alignment horizontal="center"/>
    </xf>
    <xf numFmtId="44" fontId="9" fillId="0" borderId="18" xfId="1" applyFont="1" applyBorder="1" applyAlignment="1">
      <alignment horizontal="center"/>
    </xf>
    <xf numFmtId="44" fontId="9" fillId="0" borderId="19" xfId="1" applyFont="1" applyBorder="1" applyAlignment="1">
      <alignment horizontal="center"/>
    </xf>
    <xf numFmtId="44" fontId="9" fillId="0" borderId="20" xfId="1" applyFont="1" applyBorder="1" applyAlignment="1">
      <alignment horizontal="center"/>
    </xf>
    <xf numFmtId="44" fontId="9" fillId="0" borderId="0" xfId="1" applyFont="1" applyBorder="1" applyAlignment="1">
      <alignment horizontal="center"/>
    </xf>
    <xf numFmtId="44" fontId="9" fillId="0" borderId="21" xfId="1" applyFont="1" applyBorder="1" applyAlignment="1">
      <alignment horizontal="center"/>
    </xf>
    <xf numFmtId="44" fontId="9" fillId="0" borderId="22" xfId="1" applyFont="1" applyBorder="1" applyAlignment="1">
      <alignment horizontal="center"/>
    </xf>
    <xf numFmtId="44" fontId="9" fillId="0" borderId="23" xfId="1" applyFont="1" applyBorder="1" applyAlignment="1">
      <alignment horizontal="center"/>
    </xf>
    <xf numFmtId="44" fontId="9" fillId="0" borderId="24" xfId="1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44" fontId="0" fillId="0" borderId="28" xfId="1" applyFont="1" applyBorder="1"/>
    <xf numFmtId="0" fontId="4" fillId="0" borderId="2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44" fontId="0" fillId="0" borderId="32" xfId="1" applyFont="1" applyBorder="1"/>
    <xf numFmtId="44" fontId="0" fillId="0" borderId="33" xfId="1" applyFont="1" applyBorder="1"/>
  </cellXfs>
  <cellStyles count="3">
    <cellStyle name="Moeda" xfId="1" builtinId="4"/>
    <cellStyle name="Normal" xfId="0" builtinId="0"/>
    <cellStyle name="Porcentagem" xfId="2" builtinId="5"/>
  </cellStyles>
  <dxfs count="40">
    <dxf>
      <font>
        <color rgb="FF9C0006"/>
      </font>
      <fill>
        <patternFill>
          <bgColor rgb="FFFFC7CE"/>
        </patternFill>
      </fill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C000"/>
      <color rgb="FF5081E2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Graficos'!$D$3:$D$5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Graficos'!$E$3:$E$5</c:f>
              <c:numCache>
                <c:formatCode>_("R$"* #,##0.00_);_("R$"* \(#,##0.00\);_("R$"* "-"??_);_(@_)</c:formatCode>
                <c:ptCount val="3"/>
                <c:pt idx="0">
                  <c:v>1119</c:v>
                </c:pt>
                <c:pt idx="1">
                  <c:v>1131</c:v>
                </c:pt>
                <c:pt idx="2">
                  <c:v>900.7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1-494D-A9AB-105543B3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078225647"/>
        <c:axId val="2078226607"/>
      </c:barChart>
      <c:catAx>
        <c:axId val="207822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226607"/>
        <c:crosses val="autoZero"/>
        <c:auto val="1"/>
        <c:lblAlgn val="ctr"/>
        <c:lblOffset val="100"/>
        <c:noMultiLvlLbl val="0"/>
      </c:catAx>
      <c:valAx>
        <c:axId val="207822660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82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'Dados Para Graficos'!$H$3:$H$8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Graficos'!$I$3:$I$8</c:f>
              <c:numCache>
                <c:formatCode>_("R$"* #,##0.00_);_("R$"* \(#,##0.00\);_("R$"* "-"??_);_(@_)</c:formatCode>
                <c:ptCount val="6"/>
                <c:pt idx="0">
                  <c:v>1002.9</c:v>
                </c:pt>
                <c:pt idx="1">
                  <c:v>865.09999999999991</c:v>
                </c:pt>
                <c:pt idx="2">
                  <c:v>493.30000000000007</c:v>
                </c:pt>
                <c:pt idx="3">
                  <c:v>659.7</c:v>
                </c:pt>
                <c:pt idx="4">
                  <c:v>79.8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2-4463-9378-59A44CBF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671120"/>
        <c:axId val="18996682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282-4463-9378-59A44CBF81C5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282-4463-9378-59A44CBF81C5}"/>
              </c:ext>
            </c:extLst>
          </c:dPt>
          <c:cat>
            <c:strRef>
              <c:f>'Dados Para Graficos'!$H$3:$H$8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Graficos'!$J$3:$J$8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2-4463-9378-59A44CBF8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29568"/>
        <c:axId val="1902329088"/>
      </c:lineChart>
      <c:catAx>
        <c:axId val="18996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668240"/>
        <c:crosses val="autoZero"/>
        <c:auto val="1"/>
        <c:lblAlgn val="ctr"/>
        <c:lblOffset val="100"/>
        <c:noMultiLvlLbl val="0"/>
      </c:catAx>
      <c:valAx>
        <c:axId val="18996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671120"/>
        <c:crosses val="autoZero"/>
        <c:crossBetween val="between"/>
      </c:valAx>
      <c:valAx>
        <c:axId val="1902329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2329568"/>
        <c:crosses val="max"/>
        <c:crossBetween val="between"/>
      </c:valAx>
      <c:catAx>
        <c:axId val="190232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232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Graficos'!$L$5</c:f>
              <c:strCache>
                <c:ptCount val="1"/>
                <c:pt idx="0">
                  <c:v>Vestuário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8B-49A3-9124-C13230ADCC6C}"/>
              </c:ext>
            </c:extLst>
          </c:dPt>
          <c:dPt>
            <c:idx val="1"/>
            <c:bubble3D val="0"/>
            <c:spPr>
              <a:solidFill>
                <a:srgbClr val="FFC000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8B-49A3-9124-C13230ADCC6C}"/>
              </c:ext>
            </c:extLst>
          </c:dPt>
          <c:dLbls>
            <c:delete val="1"/>
          </c:dLbls>
          <c:val>
            <c:numRef>
              <c:f>'Dados Para Graficos'!$M$5:$N$5</c:f>
              <c:numCache>
                <c:formatCode>0%</c:formatCode>
                <c:ptCount val="2"/>
                <c:pt idx="0">
                  <c:v>0.74945250261846574</c:v>
                </c:pt>
                <c:pt idx="1">
                  <c:v>0.25054749738153426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B-49A3-9124-C13230ADCC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Graficos'!$L$4</c:f>
              <c:strCache>
                <c:ptCount val="1"/>
                <c:pt idx="0">
                  <c:v>Calçado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9E-4C17-A192-9DD51CAE98D6}"/>
              </c:ext>
            </c:extLst>
          </c:dPt>
          <c:dPt>
            <c:idx val="1"/>
            <c:bubble3D val="0"/>
            <c:spPr>
              <a:solidFill>
                <a:srgbClr val="5081E2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9E-4C17-A192-9DD51CAE98D6}"/>
              </c:ext>
            </c:extLst>
          </c:dPt>
          <c:dLbls>
            <c:delete val="1"/>
          </c:dLbls>
          <c:val>
            <c:numRef>
              <c:f>'Dados Para Graficos'!$M$4:$N$4</c:f>
              <c:numCache>
                <c:formatCode>0%</c:formatCode>
                <c:ptCount val="2"/>
                <c:pt idx="0">
                  <c:v>0.12689243660139018</c:v>
                </c:pt>
                <c:pt idx="1">
                  <c:v>0.87310756339860984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E-4C17-A192-9DD51CAE98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Graficos'!$L$3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rgbClr val="F87F46"/>
            </a:solidFill>
          </c:spPr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28-4ADD-B32C-7B449AAABBDF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28-4ADD-B32C-7B449AAABBDF}"/>
              </c:ext>
            </c:extLst>
          </c:dPt>
          <c:dLbls>
            <c:delete val="1"/>
          </c:dLbls>
          <c:val>
            <c:numRef>
              <c:f>'Dados Para Graficos'!$M$3:$N$3</c:f>
              <c:numCache>
                <c:formatCode>0%</c:formatCode>
                <c:ptCount val="2"/>
                <c:pt idx="0">
                  <c:v>0.12365506078014409</c:v>
                </c:pt>
                <c:pt idx="1">
                  <c:v>0.8763449392198559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28-4ADD-B32C-7B449AAABB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Ecommerce.xlsx]Dados Para Graficos!Tabela dinâmica3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Graficos'!$B$1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Graficos'!$A$2:$A$12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'Dados Para Graficos'!$B$2:$B$12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825-ACAD-DFEC8DFE2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4441280"/>
        <c:axId val="384442720"/>
      </c:barChart>
      <c:catAx>
        <c:axId val="3844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442720"/>
        <c:crosses val="autoZero"/>
        <c:auto val="1"/>
        <c:lblAlgn val="ctr"/>
        <c:lblOffset val="100"/>
        <c:noMultiLvlLbl val="0"/>
      </c:catAx>
      <c:valAx>
        <c:axId val="38444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121920</xdr:rowOff>
    </xdr:from>
    <xdr:to>
      <xdr:col>21</xdr:col>
      <xdr:colOff>129540</xdr:colOff>
      <xdr:row>6</xdr:row>
      <xdr:rowOff>26752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EE16F2-5CF4-CE5A-1B92-0A1D747EA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"/>
          <a:ext cx="3329940" cy="590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9525</xdr:colOff>
      <xdr:row>35</xdr:row>
      <xdr:rowOff>0</xdr:rowOff>
    </xdr:from>
    <xdr:to>
      <xdr:col>80</xdr:col>
      <xdr:colOff>0</xdr:colOff>
      <xdr:row>52</xdr:row>
      <xdr:rowOff>123825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2B304C2-93C2-50D6-7957-48B2D6D64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10</xdr:row>
      <xdr:rowOff>0</xdr:rowOff>
    </xdr:from>
    <xdr:to>
      <xdr:col>80</xdr:col>
      <xdr:colOff>1</xdr:colOff>
      <xdr:row>31</xdr:row>
      <xdr:rowOff>133349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1C144B9-211C-A0DC-CC64-698422B5A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123825</xdr:colOff>
      <xdr:row>35</xdr:row>
      <xdr:rowOff>26669</xdr:rowOff>
    </xdr:from>
    <xdr:to>
      <xdr:col>39</xdr:col>
      <xdr:colOff>122625</xdr:colOff>
      <xdr:row>52</xdr:row>
      <xdr:rowOff>34919</xdr:rowOff>
    </xdr:to>
    <xdr:graphicFrame macro="">
      <xdr:nvGraphicFramePr>
        <xdr:cNvPr id="26" name="Gráfico 5">
          <a:extLst>
            <a:ext uri="{FF2B5EF4-FFF2-40B4-BE49-F238E27FC236}">
              <a16:creationId xmlns:a16="http://schemas.microsoft.com/office/drawing/2014/main" id="{889C4255-4E9F-F9BB-3D1F-62C4C285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7144</xdr:colOff>
      <xdr:row>35</xdr:row>
      <xdr:rowOff>26669</xdr:rowOff>
    </xdr:from>
    <xdr:to>
      <xdr:col>27</xdr:col>
      <xdr:colOff>5944</xdr:colOff>
      <xdr:row>52</xdr:row>
      <xdr:rowOff>34919</xdr:rowOff>
    </xdr:to>
    <xdr:graphicFrame macro="">
      <xdr:nvGraphicFramePr>
        <xdr:cNvPr id="28" name="Gráfico 4">
          <a:extLst>
            <a:ext uri="{FF2B5EF4-FFF2-40B4-BE49-F238E27FC236}">
              <a16:creationId xmlns:a16="http://schemas.microsoft.com/office/drawing/2014/main" id="{FE252CA5-9F31-B0F3-0B3B-4FE1C8F7E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42863</xdr:colOff>
      <xdr:row>35</xdr:row>
      <xdr:rowOff>26669</xdr:rowOff>
    </xdr:from>
    <xdr:to>
      <xdr:col>14</xdr:col>
      <xdr:colOff>41663</xdr:colOff>
      <xdr:row>52</xdr:row>
      <xdr:rowOff>34919</xdr:rowOff>
    </xdr:to>
    <xdr:graphicFrame macro="">
      <xdr:nvGraphicFramePr>
        <xdr:cNvPr id="27" name="Gráfico 3">
          <a:extLst>
            <a:ext uri="{FF2B5EF4-FFF2-40B4-BE49-F238E27FC236}">
              <a16:creationId xmlns:a16="http://schemas.microsoft.com/office/drawing/2014/main" id="{824FB2F7-B848-EB99-E1D2-DB103949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41</xdr:row>
      <xdr:rowOff>123825</xdr:rowOff>
    </xdr:from>
    <xdr:to>
      <xdr:col>10</xdr:col>
      <xdr:colOff>66675</xdr:colOff>
      <xdr:row>48</xdr:row>
      <xdr:rowOff>0</xdr:rowOff>
    </xdr:to>
    <xdr:sp macro="" textlink="'Dados Para Graficos'!M3">
      <xdr:nvSpPr>
        <xdr:cNvPr id="29" name="CaixaDeTexto 28">
          <a:extLst>
            <a:ext uri="{FF2B5EF4-FFF2-40B4-BE49-F238E27FC236}">
              <a16:creationId xmlns:a16="http://schemas.microsoft.com/office/drawing/2014/main" id="{3D1D0542-09DB-685D-4107-1A4ACCFE7290}"/>
            </a:ext>
          </a:extLst>
        </xdr:cNvPr>
        <xdr:cNvSpPr txBox="1"/>
      </xdr:nvSpPr>
      <xdr:spPr>
        <a:xfrm>
          <a:off x="771525" y="5591175"/>
          <a:ext cx="819150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181CD9C-370D-406C-9442-A3EA0BBA5506}" type="TxLink">
            <a:rPr lang="en-US" sz="2400" b="1" i="0" u="none" strike="noStrike" kern="1200">
              <a:solidFill>
                <a:srgbClr val="F87F46"/>
              </a:solidFill>
              <a:latin typeface="Calibri"/>
              <a:ea typeface="Calibri"/>
              <a:cs typeface="Calibri"/>
            </a:rPr>
            <a:pPr algn="ctr"/>
            <a:t>12%</a:t>
          </a:fld>
          <a:endParaRPr lang="pt-BR" sz="2400" b="1" kern="1200">
            <a:solidFill>
              <a:srgbClr val="F87F46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0.28864</cdr:x>
      <cdr:y>0.38599</cdr:y>
    </cdr:from>
    <cdr:to>
      <cdr:x>0.71678</cdr:x>
      <cdr:y>0.7837</cdr:y>
    </cdr:to>
    <cdr:sp macro="" textlink="'Dados Para Graficos'!$M$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F5BE2D3-4E07-5F79-1E77-BB6DA714F81A}"/>
            </a:ext>
          </a:extLst>
        </cdr:cNvPr>
        <cdr:cNvSpPr txBox="1"/>
      </cdr:nvSpPr>
      <cdr:spPr>
        <a:xfrm xmlns:a="http://schemas.openxmlformats.org/drawingml/2006/main">
          <a:off x="571500" y="878206"/>
          <a:ext cx="847725" cy="904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27DBB6D-CD2D-48BB-BB9F-D3864110F263}" type="TxLink">
            <a:rPr lang="en-US" sz="2400" b="1" i="0" u="none" strike="noStrike" kern="1200">
              <a:solidFill>
                <a:schemeClr val="accent4"/>
              </a:solidFill>
              <a:latin typeface="Calibri"/>
              <a:ea typeface="Calibri"/>
              <a:cs typeface="Calibri"/>
            </a:rPr>
            <a:pPr algn="ctr"/>
            <a:t>75%</a:t>
          </a:fld>
          <a:endParaRPr lang="pt-BR" sz="2400" b="1" kern="1200">
            <a:solidFill>
              <a:schemeClr val="accent4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0.31389</cdr:x>
      <cdr:y>0.39855</cdr:y>
    </cdr:from>
    <cdr:to>
      <cdr:x>0.71798</cdr:x>
      <cdr:y>0.75021</cdr:y>
    </cdr:to>
    <cdr:sp macro="" textlink="'Dados Para Graficos'!$M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954474F-8FC6-BBF5-301D-F83AF7EC6158}"/>
            </a:ext>
          </a:extLst>
        </cdr:cNvPr>
        <cdr:cNvSpPr txBox="1"/>
      </cdr:nvSpPr>
      <cdr:spPr>
        <a:xfrm xmlns:a="http://schemas.openxmlformats.org/drawingml/2006/main">
          <a:off x="621506" y="906781"/>
          <a:ext cx="8001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50B1ABB-DB77-4DD6-804C-BA65D265812E}" type="TxLink">
            <a:rPr lang="en-US" sz="2400" b="1" i="0" u="none" strike="noStrike" kern="1200">
              <a:solidFill>
                <a:schemeClr val="accent5"/>
              </a:solidFill>
              <a:latin typeface="Calibri"/>
              <a:ea typeface="Calibri"/>
              <a:cs typeface="Calibri"/>
            </a:rPr>
            <a:pPr algn="ctr"/>
            <a:t>13%</a:t>
          </a:fld>
          <a:endParaRPr lang="pt-BR" sz="2400" b="1" kern="1200">
            <a:solidFill>
              <a:schemeClr val="accent5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979667</xdr:colOff>
      <xdr:row>26</xdr:row>
      <xdr:rowOff>332</xdr:rowOff>
    </xdr:from>
    <xdr:to>
      <xdr:col>6</xdr:col>
      <xdr:colOff>323684</xdr:colOff>
      <xdr:row>40</xdr:row>
      <xdr:rowOff>146106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E602232F-BCE4-6906-6A80-F23C84F4B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ype Dantas" refreshedDate="45668.840925925928" createdVersion="8" refreshedVersion="8" minRefreshableVersion="3" recordCount="21" xr:uid="{DA9B8B54-0CC5-4D7B-A611-D49B770E5F30}">
  <cacheSource type="worksheet">
    <worksheetSource name="Tabela1"/>
  </cacheSource>
  <cacheFields count="7">
    <cacheField name="Produtos" numFmtId="0">
      <sharedItems containsBlank="1" count="11">
        <s v="Camiseta Lisa"/>
        <s v="Óculos "/>
        <s v="Jaqueta "/>
        <s v="Calça "/>
        <s v="Vestido "/>
        <s v="Bermuda"/>
        <s v="Tênis"/>
        <s v="Bolsa"/>
        <s v="Boné"/>
        <s v="Cinto"/>
        <m/>
      </sharedItems>
    </cacheField>
    <cacheField name="Tamanho" numFmtId="0">
      <sharedItems containsBlank="1" containsMixedTypes="1" containsNumber="1" containsInteger="1" minValue="36" maxValue="38"/>
    </cacheField>
    <cacheField name="Categoria" numFmtId="0">
      <sharedItems containsBlank="1"/>
    </cacheField>
    <cacheField name="Preço Unitário" numFmtId="164">
      <sharedItems containsString="0" containsBlank="1" containsNumber="1" minValue="25.9" maxValue="399.9"/>
    </cacheField>
    <cacheField name="Qtd" numFmtId="0">
      <sharedItems containsString="0" containsBlank="1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com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  <r>
    <x v="10"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A6513-C3A5-4360-AA9E-A57F772E4C0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12" firstHeaderRow="1" firstDataRow="1" firstDataCol="1"/>
  <pivotFields count="7">
    <pivotField axis="axisRow" showAll="0" sortType="ascending">
      <items count="12">
        <item n="as" h="1" x="10"/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showAll="0"/>
    <pivotField showAll="0"/>
    <pivotField showAll="0"/>
    <pivotField dataField="1" showAll="0"/>
    <pivotField numFmtId="164" showAll="0"/>
    <pivotField numFmtId="164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td" fld="4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606DCC-EEA9-4A73-BA67-A1F4348F7BD8}" name="Tabela13" displayName="Tabela13" ref="A3:H20" totalsRowCount="1" headerRowDxfId="39" headerRowBorderDxfId="38" tableBorderDxfId="37" totalsRowBorderDxfId="36">
  <autoFilter ref="A3:H19" xr:uid="{B4606DCC-EEA9-4A73-BA67-A1F4348F7BD8}"/>
  <tableColumns count="8">
    <tableColumn id="1" xr3:uid="{8045A2E0-DFDE-4911-BC29-603BACD715CE}" name="Produtos" totalsRowLabel="Total" dataDxfId="35" totalsRowDxfId="34"/>
    <tableColumn id="2" xr3:uid="{6792F23C-4710-42E8-8974-66EAC94CEB19}" name="Tamanho" dataDxfId="33" totalsRowDxfId="32"/>
    <tableColumn id="3" xr3:uid="{116B721F-92F2-406C-9599-BA848DD9CB50}" name="Categoria" dataDxfId="31" totalsRowDxfId="30"/>
    <tableColumn id="4" xr3:uid="{3D16C6EA-13ED-4C4F-9808-A6CB75BE3C12}" name="Preço Unitário" totalsRowFunction="sum" dataDxfId="29" totalsRowDxfId="28"/>
    <tableColumn id="5" xr3:uid="{4F2A8DB0-F3E9-4893-A132-63FDC9B031EB}" name="Qtd" totalsRowFunction="sum" dataDxfId="27" totalsRowDxfId="26"/>
    <tableColumn id="6" xr3:uid="{3C4719E9-E4CA-4390-AB66-6D9DB3A22F5D}" name="Valor Total" totalsRowFunction="custom" dataDxfId="25" totalsRowDxfId="24">
      <calculatedColumnFormula>D4*E4</calculatedColumnFormula>
      <totalsRowFormula>SUM(F4:F19)</totalsRowFormula>
    </tableColumn>
    <tableColumn id="8" xr3:uid="{BC060AE1-F323-449D-A5BA-20C227AF52C4}" name="Mês" dataDxfId="23" totalsRowDxfId="22"/>
    <tableColumn id="9" xr3:uid="{11F9DA2A-DA78-4394-BF3F-427CA340B9A4}" name="Vendedor" totalsRowDxfId="2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C27E1-64EF-4031-8DAD-F00955EFA77C}" name="Tabela1" displayName="Tabela1" ref="A3:H25" totalsRowCount="1" headerRowDxfId="20" headerRowBorderDxfId="19" tableBorderDxfId="18" totalsRowBorderDxfId="17">
  <autoFilter ref="A3:H24" xr:uid="{9AEC27E1-64EF-4031-8DAD-F00955EFA77C}"/>
  <tableColumns count="8">
    <tableColumn id="1" xr3:uid="{DB399AE3-3399-4D59-A3AD-3F6A8349090C}" name="Produtos" totalsRowLabel="Total" dataDxfId="16" totalsRowDxfId="15"/>
    <tableColumn id="2" xr3:uid="{03E88B9E-B61D-409B-A340-FD1892E943C5}" name="Tamanho" dataDxfId="14" totalsRowDxfId="13"/>
    <tableColumn id="3" xr3:uid="{B1295ADE-623F-4CE9-B76A-0711263BA996}" name="Categoria" dataDxfId="12" totalsRowDxfId="11"/>
    <tableColumn id="4" xr3:uid="{A9982469-11E4-42CA-A3DF-6084BD1DE2E3}" name="Preço Unitário" totalsRowFunction="sum" dataDxfId="10" totalsRowDxfId="9"/>
    <tableColumn id="9" xr3:uid="{35C79872-3205-4142-81EA-313F4A331F37}" name="Situação" dataDxfId="8" totalsRowDxfId="7">
      <calculatedColumnFormula>Tabela1[[#This Row],[Qtd]]</calculatedColumnFormula>
    </tableColumn>
    <tableColumn id="5" xr3:uid="{D3CCDEE6-2708-4A3B-B7A6-5158AB98F004}" name="Qtd" totalsRowFunction="sum" dataDxfId="6" totalsRowDxfId="5"/>
    <tableColumn id="6" xr3:uid="{ACC7F7BB-B662-4966-9678-910BDF4D9287}" name="Valor Total" totalsRowFunction="custom" dataDxfId="4" totalsRowDxfId="3">
      <calculatedColumnFormula>D4*F4</calculatedColumnFormula>
      <totalsRowFormula>SUM(G4:G24)</totalsRowFormula>
    </tableColumn>
    <tableColumn id="7" xr3:uid="{4FD9941C-1C18-4A0C-99E4-7AF6F2792BD4}" name="Valor com Desconto" totalsRowFunction="custom" dataDxfId="2" totalsRowDxfId="1">
      <calculatedColumnFormula>Tabela1[[#This Row],[Valor Total]]*$J$4</calculatedColumnFormula>
      <totalsRowFormula>SUM(H4:H24)</totalsRow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017-C183-44B3-8565-D3343F420EE3}">
  <dimension ref="A1:O12"/>
  <sheetViews>
    <sheetView tabSelected="1" workbookViewId="0">
      <selection activeCell="E8" sqref="E8"/>
    </sheetView>
  </sheetViews>
  <sheetFormatPr defaultRowHeight="14.4" x14ac:dyDescent="0.3"/>
  <cols>
    <col min="1" max="1" width="17.21875" bestFit="1" customWidth="1"/>
    <col min="2" max="2" width="11.88671875" bestFit="1" customWidth="1"/>
    <col min="4" max="4" width="12.21875" bestFit="1" customWidth="1"/>
    <col min="5" max="5" width="11.88671875" bestFit="1" customWidth="1"/>
    <col min="6" max="6" width="0.77734375" customWidth="1"/>
    <col min="9" max="9" width="11.88671875" bestFit="1" customWidth="1"/>
    <col min="11" max="11" width="0.6640625" customWidth="1"/>
    <col min="12" max="14" width="11.109375" customWidth="1"/>
    <col min="15" max="15" width="14.5546875" bestFit="1" customWidth="1"/>
  </cols>
  <sheetData>
    <row r="1" spans="1:15" ht="15" thickBot="1" x14ac:dyDescent="0.35">
      <c r="A1" s="32" t="s">
        <v>30</v>
      </c>
      <c r="B1" t="s">
        <v>32</v>
      </c>
    </row>
    <row r="2" spans="1:15" ht="15.6" x14ac:dyDescent="0.3">
      <c r="A2" s="33" t="s">
        <v>9</v>
      </c>
      <c r="B2">
        <v>40</v>
      </c>
      <c r="D2" s="118" t="s">
        <v>49</v>
      </c>
      <c r="E2" s="119" t="s">
        <v>25</v>
      </c>
      <c r="F2" s="50"/>
      <c r="G2" s="51" t="s">
        <v>50</v>
      </c>
      <c r="H2" s="52" t="s">
        <v>44</v>
      </c>
      <c r="I2" s="52" t="s">
        <v>23</v>
      </c>
      <c r="J2" s="53" t="s">
        <v>22</v>
      </c>
      <c r="K2" s="50"/>
      <c r="L2" s="51" t="s">
        <v>16</v>
      </c>
      <c r="M2" s="52" t="s">
        <v>57</v>
      </c>
      <c r="N2" s="52" t="s">
        <v>58</v>
      </c>
      <c r="O2" s="53" t="s">
        <v>40</v>
      </c>
    </row>
    <row r="3" spans="1:15" x14ac:dyDescent="0.3">
      <c r="A3" s="33" t="s">
        <v>11</v>
      </c>
      <c r="B3">
        <v>1</v>
      </c>
      <c r="D3" s="54" t="s">
        <v>48</v>
      </c>
      <c r="E3" s="120">
        <f>SUMIF('Tabela de Vendas'!H3:H18,D3,'Tabela de Vendas'!F3:F18)</f>
        <v>1119</v>
      </c>
      <c r="F3" s="18"/>
      <c r="G3" s="114">
        <v>1</v>
      </c>
      <c r="H3" s="4" t="s">
        <v>51</v>
      </c>
      <c r="I3" s="49">
        <f>SUMIF('Tabela de Vendas'!$G$3:$G$18,G3,'Tabela de Vendas'!$F$3:$F$18)</f>
        <v>1002.9</v>
      </c>
      <c r="J3" s="55">
        <f ca="1">SUMIF('Tabela de Vendas'!$G$3:$G$18,G3,'Tabela de Vendas'!$E$4:$E$18)</f>
        <v>12</v>
      </c>
      <c r="K3" s="18"/>
      <c r="L3" s="54" t="s">
        <v>19</v>
      </c>
      <c r="M3" s="58">
        <f>O3 / SUM($O$3:$O$5)</f>
        <v>0.12365506078014409</v>
      </c>
      <c r="N3" s="60">
        <f>1-M3</f>
        <v>0.8763449392198559</v>
      </c>
      <c r="O3" s="55">
        <f>SUMIF('Tabela de Vendas'!$C$3:$C$18,'Dados Para Graficos'!L3,'Tabela de Vendas'!$F$3:$F$18)</f>
        <v>389.59999999999997</v>
      </c>
    </row>
    <row r="4" spans="1:15" x14ac:dyDescent="0.3">
      <c r="A4" s="33" t="s">
        <v>12</v>
      </c>
      <c r="B4">
        <v>11</v>
      </c>
      <c r="D4" s="54" t="s">
        <v>46</v>
      </c>
      <c r="E4" s="120">
        <f>SUMIF('Tabela de Vendas'!H4:H19,D4,'Tabela de Vendas'!F4:F19)</f>
        <v>1131</v>
      </c>
      <c r="F4" s="18"/>
      <c r="G4" s="114">
        <v>2</v>
      </c>
      <c r="H4" s="4" t="s">
        <v>52</v>
      </c>
      <c r="I4" s="49">
        <f>SUMIF('Tabela de Vendas'!$G$3:$G$18,G4,'Tabela de Vendas'!$F$3:$F$18)</f>
        <v>865.09999999999991</v>
      </c>
      <c r="J4" s="55">
        <f ca="1">SUMIF('Tabela de Vendas'!$G$3:$G$18,G4,'Tabela de Vendas'!$E$4:$E$18)</f>
        <v>8</v>
      </c>
      <c r="K4" s="18"/>
      <c r="L4" s="54" t="s">
        <v>20</v>
      </c>
      <c r="M4" s="58">
        <f t="shared" ref="M4:M5" si="0">O4 / SUM($O$3:$O$5)</f>
        <v>0.12689243660139018</v>
      </c>
      <c r="N4" s="60">
        <f t="shared" ref="N4:N5" si="1">1-M4</f>
        <v>0.87310756339860984</v>
      </c>
      <c r="O4" s="55">
        <f>SUMIF('Tabela de Vendas'!$C$3:$C$18,'Dados Para Graficos'!L4,'Tabela de Vendas'!$F$3:$F$18)</f>
        <v>399.8</v>
      </c>
    </row>
    <row r="5" spans="1:15" ht="15" thickBot="1" x14ac:dyDescent="0.35">
      <c r="A5" s="33" t="s">
        <v>7</v>
      </c>
      <c r="B5">
        <v>19</v>
      </c>
      <c r="D5" s="56" t="s">
        <v>47</v>
      </c>
      <c r="E5" s="121">
        <f>SUMIF('Tabela de Vendas'!H5:H20,D5,'Tabela de Vendas'!F5:F20)</f>
        <v>900.7</v>
      </c>
      <c r="F5" s="18"/>
      <c r="G5" s="114">
        <v>3</v>
      </c>
      <c r="H5" s="4" t="s">
        <v>53</v>
      </c>
      <c r="I5" s="49">
        <f>SUMIF('Tabela de Vendas'!$G$3:$G$18,G5,'Tabela de Vendas'!$F$3:$F$18)</f>
        <v>493.30000000000007</v>
      </c>
      <c r="J5" s="55">
        <f ca="1">SUMIF('Tabela de Vendas'!$G$3:$G$18,G5,'Tabela de Vendas'!$E$4:$E$18)</f>
        <v>6</v>
      </c>
      <c r="K5" s="18"/>
      <c r="L5" s="56" t="s">
        <v>18</v>
      </c>
      <c r="M5" s="59">
        <f t="shared" si="0"/>
        <v>0.74945250261846574</v>
      </c>
      <c r="N5" s="60">
        <f t="shared" si="1"/>
        <v>0.25054749738153426</v>
      </c>
      <c r="O5" s="57">
        <f>SUMIF('Tabela de Vendas'!$C$3:$C$18,'Dados Para Graficos'!L5,'Tabela de Vendas'!$F$3:$F$18)</f>
        <v>2361.2999999999997</v>
      </c>
    </row>
    <row r="6" spans="1:15" x14ac:dyDescent="0.3">
      <c r="A6" s="33" t="s">
        <v>15</v>
      </c>
      <c r="B6">
        <v>28</v>
      </c>
      <c r="F6" s="18"/>
      <c r="G6" s="114">
        <v>4</v>
      </c>
      <c r="H6" s="4" t="s">
        <v>54</v>
      </c>
      <c r="I6" s="49">
        <f>SUMIF('Tabela de Vendas'!$G$3:$G$18,G6,'Tabela de Vendas'!$F$3:$F$18)</f>
        <v>659.7</v>
      </c>
      <c r="J6" s="55">
        <f ca="1">SUMIF('Tabela de Vendas'!$G$3:$G$18,G6,'Tabela de Vendas'!$E$4:$E$18)</f>
        <v>3</v>
      </c>
      <c r="K6" s="18"/>
    </row>
    <row r="7" spans="1:15" x14ac:dyDescent="0.3">
      <c r="A7" s="33" t="s">
        <v>13</v>
      </c>
      <c r="B7">
        <v>21</v>
      </c>
      <c r="F7" s="18"/>
      <c r="G7" s="114">
        <v>5</v>
      </c>
      <c r="H7" s="4" t="s">
        <v>55</v>
      </c>
      <c r="I7" s="49">
        <f>SUMIF('Tabela de Vendas'!$G$3:$G$18,G7,'Tabela de Vendas'!$F$3:$F$18)</f>
        <v>79.8</v>
      </c>
      <c r="J7" s="55">
        <f ca="1">SUMIF('Tabela de Vendas'!$G$3:$G$18,G7,'Tabela de Vendas'!$E$4:$E$18)</f>
        <v>1</v>
      </c>
      <c r="K7" s="18"/>
    </row>
    <row r="8" spans="1:15" ht="15" thickBot="1" x14ac:dyDescent="0.35">
      <c r="A8" s="33" t="s">
        <v>6</v>
      </c>
      <c r="B8">
        <v>4</v>
      </c>
      <c r="F8" s="18"/>
      <c r="G8" s="115">
        <v>6</v>
      </c>
      <c r="H8" s="116" t="s">
        <v>56</v>
      </c>
      <c r="I8" s="117">
        <f>SUMIF('Tabela de Vendas'!$G$3:$G$18,G8,'Tabela de Vendas'!$F$3:$F$18)</f>
        <v>49.9</v>
      </c>
      <c r="J8" s="57">
        <f ca="1">SUMIF('Tabela de Vendas'!$G$3:$G$18,G8,'Tabela de Vendas'!$E$4:$E$18)</f>
        <v>0</v>
      </c>
      <c r="K8" s="18"/>
    </row>
    <row r="9" spans="1:15" x14ac:dyDescent="0.3">
      <c r="A9" s="33" t="s">
        <v>5</v>
      </c>
      <c r="B9">
        <v>3</v>
      </c>
    </row>
    <row r="10" spans="1:15" x14ac:dyDescent="0.3">
      <c r="A10" s="33" t="s">
        <v>10</v>
      </c>
      <c r="B10">
        <v>3</v>
      </c>
    </row>
    <row r="11" spans="1:15" x14ac:dyDescent="0.3">
      <c r="A11" s="33" t="s">
        <v>8</v>
      </c>
      <c r="B11">
        <v>2</v>
      </c>
    </row>
    <row r="12" spans="1:15" x14ac:dyDescent="0.3">
      <c r="A12" s="33" t="s">
        <v>31</v>
      </c>
      <c r="B12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C56C-1049-4D23-B4BE-5F39A2C79142}">
  <dimension ref="B1:CC53"/>
  <sheetViews>
    <sheetView showGridLines="0" showRowColHeaders="0" topLeftCell="A7" zoomScale="80" zoomScaleNormal="80" workbookViewId="0">
      <selection activeCell="CM40" sqref="CM40"/>
    </sheetView>
  </sheetViews>
  <sheetFormatPr defaultColWidth="2.21875" defaultRowHeight="10.8" customHeight="1" x14ac:dyDescent="0.4"/>
  <cols>
    <col min="1" max="16384" width="2.21875" style="43"/>
  </cols>
  <sheetData>
    <row r="1" spans="2:80" ht="10.8" customHeight="1" thickBot="1" x14ac:dyDescent="0.45"/>
    <row r="2" spans="2:80" ht="10.8" customHeight="1" x14ac:dyDescent="0.4">
      <c r="W2" s="62" t="s">
        <v>38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Q2" s="62" t="s">
        <v>39</v>
      </c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4"/>
      <c r="BK2" s="62" t="s">
        <v>40</v>
      </c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4"/>
    </row>
    <row r="3" spans="2:80" ht="10.8" customHeight="1" thickBot="1" x14ac:dyDescent="0.45">
      <c r="W3" s="65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7"/>
      <c r="AQ3" s="65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7"/>
      <c r="BK3" s="65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7"/>
    </row>
    <row r="4" spans="2:80" ht="10.8" customHeight="1" x14ac:dyDescent="0.4">
      <c r="E4"/>
      <c r="W4" s="94">
        <f>COUNTA('Tabela de Produtos'!A4:A23)</f>
        <v>20</v>
      </c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6"/>
      <c r="AQ4" s="94">
        <f>SUM('Tabela de Vendas'!E4:E18)</f>
        <v>33</v>
      </c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6"/>
      <c r="BK4" s="103">
        <f>SUM('Tabela de Vendas'!F20)</f>
        <v>3150.7000000000003</v>
      </c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5"/>
    </row>
    <row r="5" spans="2:80" ht="10.8" customHeight="1" x14ac:dyDescent="0.4">
      <c r="W5" s="97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9"/>
      <c r="AQ5" s="97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9"/>
      <c r="BK5" s="106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8"/>
    </row>
    <row r="6" spans="2:80" ht="10.8" customHeight="1" x14ac:dyDescent="0.4">
      <c r="W6" s="97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9"/>
      <c r="AQ6" s="97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9"/>
      <c r="BK6" s="106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8"/>
    </row>
    <row r="7" spans="2:80" ht="10.8" customHeight="1" thickBot="1" x14ac:dyDescent="0.45">
      <c r="W7" s="100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2"/>
      <c r="AQ7" s="100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2"/>
      <c r="BK7" s="109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1"/>
    </row>
    <row r="8" spans="2:80" ht="10.8" customHeight="1" thickBot="1" x14ac:dyDescent="0.45"/>
    <row r="9" spans="2:80" ht="10.8" customHeight="1" x14ac:dyDescent="0.4">
      <c r="B9" s="62" t="s">
        <v>41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</row>
    <row r="10" spans="2:80" ht="10.8" customHeight="1" thickBot="1" x14ac:dyDescent="0.45"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</row>
    <row r="11" spans="2:80" ht="10.8" customHeight="1" x14ac:dyDescent="0.4"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4"/>
    </row>
    <row r="12" spans="2:80" ht="10.8" customHeight="1" x14ac:dyDescent="0.4">
      <c r="B12" s="85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7"/>
    </row>
    <row r="13" spans="2:80" ht="10.8" customHeight="1" x14ac:dyDescent="0.4"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7"/>
    </row>
    <row r="14" spans="2:80" ht="10.8" customHeight="1" x14ac:dyDescent="0.4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7"/>
    </row>
    <row r="15" spans="2:80" ht="10.8" customHeight="1" x14ac:dyDescent="0.4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7"/>
    </row>
    <row r="16" spans="2:80" ht="10.8" customHeight="1" x14ac:dyDescent="0.4"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7"/>
    </row>
    <row r="17" spans="2:80" ht="10.8" customHeight="1" x14ac:dyDescent="0.4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7"/>
    </row>
    <row r="18" spans="2:80" ht="10.8" customHeight="1" x14ac:dyDescent="0.4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7"/>
    </row>
    <row r="19" spans="2:80" ht="10.8" customHeight="1" x14ac:dyDescent="0.4"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7"/>
    </row>
    <row r="20" spans="2:80" ht="10.8" customHeight="1" x14ac:dyDescent="0.4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7"/>
    </row>
    <row r="21" spans="2:80" ht="10.8" customHeight="1" x14ac:dyDescent="0.4"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7"/>
    </row>
    <row r="22" spans="2:80" ht="10.8" customHeight="1" x14ac:dyDescent="0.4"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7"/>
    </row>
    <row r="23" spans="2:80" ht="10.8" customHeight="1" x14ac:dyDescent="0.4">
      <c r="B23" s="85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7"/>
    </row>
    <row r="24" spans="2:80" ht="10.8" customHeight="1" x14ac:dyDescent="0.4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7"/>
    </row>
    <row r="25" spans="2:80" ht="10.8" customHeight="1" x14ac:dyDescent="0.4">
      <c r="B25" s="85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7"/>
    </row>
    <row r="26" spans="2:80" ht="10.8" customHeight="1" x14ac:dyDescent="0.4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2:80" ht="10.8" customHeight="1" x14ac:dyDescent="0.4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7"/>
    </row>
    <row r="28" spans="2:80" ht="10.8" customHeight="1" x14ac:dyDescent="0.4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7"/>
    </row>
    <row r="29" spans="2:80" ht="10.8" customHeight="1" x14ac:dyDescent="0.4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7"/>
    </row>
    <row r="30" spans="2:80" ht="10.8" customHeight="1" x14ac:dyDescent="0.4">
      <c r="B30" s="85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7"/>
    </row>
    <row r="31" spans="2:80" ht="10.8" customHeight="1" x14ac:dyDescent="0.4"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7"/>
    </row>
    <row r="32" spans="2:80" ht="10.8" customHeight="1" thickBot="1" x14ac:dyDescent="0.45">
      <c r="B32" s="88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90"/>
    </row>
    <row r="33" spans="2:81" ht="10.8" customHeight="1" thickBot="1" x14ac:dyDescent="0.45"/>
    <row r="34" spans="2:81" ht="10.8" customHeight="1" x14ac:dyDescent="0.4">
      <c r="B34" s="62" t="s">
        <v>42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4"/>
      <c r="AQ34" s="62" t="s">
        <v>43</v>
      </c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8"/>
      <c r="CC34" s="44"/>
    </row>
    <row r="35" spans="2:81" ht="10.8" customHeight="1" thickBot="1" x14ac:dyDescent="0.45"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7"/>
      <c r="AQ35" s="79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1"/>
      <c r="CC35" s="44"/>
    </row>
    <row r="36" spans="2:81" ht="10.8" customHeight="1" x14ac:dyDescent="0.4"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70"/>
      <c r="AQ36" s="82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4"/>
    </row>
    <row r="37" spans="2:81" ht="10.8" customHeight="1" x14ac:dyDescent="0.4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3"/>
      <c r="AQ37" s="85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7"/>
    </row>
    <row r="38" spans="2:81" ht="10.8" customHeight="1" x14ac:dyDescent="0.4"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3"/>
      <c r="AQ38" s="85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7"/>
    </row>
    <row r="39" spans="2:81" ht="10.8" customHeight="1" x14ac:dyDescent="0.4">
      <c r="B39" s="71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  <c r="AQ39" s="85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7"/>
    </row>
    <row r="40" spans="2:81" ht="10.8" customHeight="1" x14ac:dyDescent="0.4">
      <c r="B40" s="71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3"/>
      <c r="AQ40" s="85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7"/>
    </row>
    <row r="41" spans="2:81" ht="10.8" customHeight="1" x14ac:dyDescent="0.4"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3"/>
      <c r="AQ41" s="85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7"/>
    </row>
    <row r="42" spans="2:81" ht="10.8" customHeight="1" x14ac:dyDescent="0.4">
      <c r="B42" s="71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3"/>
      <c r="AQ42" s="85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7"/>
    </row>
    <row r="43" spans="2:81" ht="10.8" customHeight="1" x14ac:dyDescent="0.4">
      <c r="B43" s="71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3"/>
      <c r="AQ43" s="85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7"/>
    </row>
    <row r="44" spans="2:81" ht="10.8" customHeight="1" x14ac:dyDescent="0.4">
      <c r="B44" s="71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3"/>
      <c r="AQ44" s="85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7"/>
    </row>
    <row r="45" spans="2:81" ht="10.8" customHeight="1" x14ac:dyDescent="0.4">
      <c r="B45" s="71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3"/>
      <c r="AQ45" s="85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7"/>
    </row>
    <row r="46" spans="2:81" ht="10.8" customHeight="1" x14ac:dyDescent="0.4">
      <c r="B46" s="71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3"/>
      <c r="AQ46" s="85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7"/>
    </row>
    <row r="47" spans="2:81" ht="10.8" customHeight="1" x14ac:dyDescent="0.4">
      <c r="B47" s="71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Q47" s="85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7"/>
    </row>
    <row r="48" spans="2:81" ht="10.8" customHeight="1" x14ac:dyDescent="0.4">
      <c r="B48" s="71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3"/>
      <c r="AQ48" s="85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7"/>
    </row>
    <row r="49" spans="2:80" ht="10.8" customHeight="1" x14ac:dyDescent="0.4"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3"/>
      <c r="AQ49" s="85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7"/>
    </row>
    <row r="50" spans="2:80" ht="10.8" customHeight="1" x14ac:dyDescent="0.4">
      <c r="B50" s="71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3"/>
      <c r="AQ50" s="85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7"/>
    </row>
    <row r="51" spans="2:80" ht="10.8" customHeight="1" x14ac:dyDescent="0.4">
      <c r="B51" s="71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3"/>
      <c r="AQ51" s="85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7"/>
    </row>
    <row r="52" spans="2:80" ht="10.8" customHeight="1" x14ac:dyDescent="0.4">
      <c r="B52" s="71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3"/>
      <c r="AQ52" s="85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7"/>
    </row>
    <row r="53" spans="2:80" ht="10.8" customHeight="1" thickBot="1" x14ac:dyDescent="0.45">
      <c r="B53" s="7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  <c r="AQ53" s="88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90"/>
    </row>
  </sheetData>
  <mergeCells count="12">
    <mergeCell ref="W2:AN3"/>
    <mergeCell ref="W4:AN7"/>
    <mergeCell ref="AQ2:BH3"/>
    <mergeCell ref="AQ4:BH7"/>
    <mergeCell ref="BK2:CB3"/>
    <mergeCell ref="BK4:CB7"/>
    <mergeCell ref="B34:AN35"/>
    <mergeCell ref="B36:AN53"/>
    <mergeCell ref="AQ34:CB35"/>
    <mergeCell ref="AQ36:CB53"/>
    <mergeCell ref="B9:CB10"/>
    <mergeCell ref="B11:CB3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1C58-E39D-42E7-A218-2B6151EE5C60}">
  <dimension ref="A1:I23"/>
  <sheetViews>
    <sheetView workbookViewId="0">
      <selection activeCell="F23" sqref="F23"/>
    </sheetView>
  </sheetViews>
  <sheetFormatPr defaultRowHeight="14.4" x14ac:dyDescent="0.3"/>
  <cols>
    <col min="1" max="1" width="14.88671875" bestFit="1" customWidth="1"/>
    <col min="2" max="2" width="15.21875" bestFit="1" customWidth="1"/>
    <col min="3" max="3" width="15.5546875" bestFit="1" customWidth="1"/>
    <col min="4" max="4" width="20.77734375" bestFit="1" customWidth="1"/>
    <col min="5" max="5" width="14.44140625" bestFit="1" customWidth="1"/>
    <col min="6" max="6" width="17" bestFit="1" customWidth="1"/>
    <col min="7" max="8" width="27.109375" bestFit="1" customWidth="1"/>
  </cols>
  <sheetData>
    <row r="1" spans="1:9" ht="14.4" customHeight="1" x14ac:dyDescent="0.3">
      <c r="A1" s="112" t="s">
        <v>21</v>
      </c>
      <c r="B1" s="112"/>
      <c r="C1" s="112"/>
      <c r="D1" s="112"/>
      <c r="E1" s="112"/>
      <c r="F1" s="112"/>
      <c r="G1" s="112"/>
      <c r="H1" s="112"/>
    </row>
    <row r="2" spans="1:9" ht="15" customHeight="1" thickBot="1" x14ac:dyDescent="0.35">
      <c r="A2" s="112"/>
      <c r="B2" s="112"/>
      <c r="C2" s="112"/>
      <c r="D2" s="112"/>
      <c r="E2" s="112"/>
      <c r="F2" s="112"/>
      <c r="G2" s="112"/>
      <c r="H2" s="112"/>
    </row>
    <row r="3" spans="1:9" ht="18.600000000000001" thickBot="1" x14ac:dyDescent="0.4">
      <c r="A3" s="9" t="s">
        <v>0</v>
      </c>
      <c r="B3" s="10" t="s">
        <v>1</v>
      </c>
      <c r="C3" s="10" t="s">
        <v>16</v>
      </c>
      <c r="D3" s="11" t="s">
        <v>17</v>
      </c>
      <c r="E3" s="17" t="s">
        <v>22</v>
      </c>
      <c r="F3" s="17" t="s">
        <v>24</v>
      </c>
      <c r="G3" s="15" t="s">
        <v>44</v>
      </c>
      <c r="H3" s="15" t="s">
        <v>45</v>
      </c>
    </row>
    <row r="4" spans="1:9" x14ac:dyDescent="0.3">
      <c r="A4" s="35" t="s">
        <v>15</v>
      </c>
      <c r="B4" s="7" t="s">
        <v>2</v>
      </c>
      <c r="C4" s="8" t="s">
        <v>18</v>
      </c>
      <c r="D4" s="12">
        <v>25.9</v>
      </c>
      <c r="E4" s="3">
        <v>3</v>
      </c>
      <c r="F4" s="16">
        <f t="shared" ref="F4:F19" si="0">D4*E4</f>
        <v>77.699999999999989</v>
      </c>
      <c r="G4" s="48">
        <v>1</v>
      </c>
      <c r="H4" t="s">
        <v>46</v>
      </c>
      <c r="I4" s="45"/>
    </row>
    <row r="5" spans="1:9" x14ac:dyDescent="0.3">
      <c r="A5" s="36" t="s">
        <v>15</v>
      </c>
      <c r="B5" s="3" t="s">
        <v>3</v>
      </c>
      <c r="C5" s="4" t="s">
        <v>18</v>
      </c>
      <c r="D5" s="13">
        <v>29.9</v>
      </c>
      <c r="E5" s="3">
        <v>3</v>
      </c>
      <c r="F5" s="16">
        <f>D5*E5</f>
        <v>89.699999999999989</v>
      </c>
      <c r="G5" s="48">
        <v>1</v>
      </c>
      <c r="H5" t="s">
        <v>47</v>
      </c>
    </row>
    <row r="6" spans="1:9" x14ac:dyDescent="0.3">
      <c r="A6" s="36" t="s">
        <v>15</v>
      </c>
      <c r="B6" s="3" t="s">
        <v>4</v>
      </c>
      <c r="C6" s="4" t="s">
        <v>18</v>
      </c>
      <c r="D6" s="13">
        <v>32.9</v>
      </c>
      <c r="E6" s="3">
        <v>2</v>
      </c>
      <c r="F6" s="16">
        <f t="shared" si="0"/>
        <v>65.8</v>
      </c>
      <c r="G6" s="48">
        <v>1</v>
      </c>
      <c r="H6" t="s">
        <v>48</v>
      </c>
    </row>
    <row r="7" spans="1:9" x14ac:dyDescent="0.3">
      <c r="A7" s="36" t="s">
        <v>6</v>
      </c>
      <c r="B7" s="3" t="s">
        <v>2</v>
      </c>
      <c r="C7" s="4" t="s">
        <v>18</v>
      </c>
      <c r="D7" s="13">
        <v>249.9</v>
      </c>
      <c r="E7" s="3">
        <v>1</v>
      </c>
      <c r="F7" s="16">
        <f t="shared" si="0"/>
        <v>249.9</v>
      </c>
      <c r="G7" s="48">
        <v>1</v>
      </c>
      <c r="H7" t="s">
        <v>46</v>
      </c>
    </row>
    <row r="8" spans="1:9" x14ac:dyDescent="0.3">
      <c r="A8" s="36" t="s">
        <v>6</v>
      </c>
      <c r="B8" s="3" t="s">
        <v>3</v>
      </c>
      <c r="C8" s="4" t="s">
        <v>18</v>
      </c>
      <c r="D8" s="13">
        <v>259.89999999999998</v>
      </c>
      <c r="E8" s="3">
        <v>2</v>
      </c>
      <c r="F8" s="16">
        <f t="shared" si="0"/>
        <v>519.79999999999995</v>
      </c>
      <c r="G8" s="48">
        <v>1</v>
      </c>
      <c r="H8" t="s">
        <v>46</v>
      </c>
    </row>
    <row r="9" spans="1:9" x14ac:dyDescent="0.3">
      <c r="A9" s="36" t="s">
        <v>7</v>
      </c>
      <c r="B9" s="3" t="s">
        <v>2</v>
      </c>
      <c r="C9" s="4" t="s">
        <v>18</v>
      </c>
      <c r="D9" s="13">
        <v>85.9</v>
      </c>
      <c r="E9" s="3">
        <v>4</v>
      </c>
      <c r="F9" s="16">
        <f t="shared" si="0"/>
        <v>343.6</v>
      </c>
      <c r="G9" s="48">
        <v>2</v>
      </c>
      <c r="H9" t="s">
        <v>48</v>
      </c>
    </row>
    <row r="10" spans="1:9" x14ac:dyDescent="0.3">
      <c r="A10" s="36" t="s">
        <v>7</v>
      </c>
      <c r="B10" s="3" t="s">
        <v>3</v>
      </c>
      <c r="C10" s="4" t="s">
        <v>18</v>
      </c>
      <c r="D10" s="13">
        <v>89.9</v>
      </c>
      <c r="E10" s="3">
        <v>1</v>
      </c>
      <c r="F10" s="16">
        <f t="shared" si="0"/>
        <v>89.9</v>
      </c>
      <c r="G10" s="48">
        <v>2</v>
      </c>
      <c r="H10" t="s">
        <v>47</v>
      </c>
    </row>
    <row r="11" spans="1:9" x14ac:dyDescent="0.3">
      <c r="A11" s="36" t="s">
        <v>8</v>
      </c>
      <c r="B11" s="3" t="s">
        <v>14</v>
      </c>
      <c r="C11" s="4" t="s">
        <v>18</v>
      </c>
      <c r="D11" s="13">
        <v>149.9</v>
      </c>
      <c r="E11" s="3">
        <v>2</v>
      </c>
      <c r="F11" s="16">
        <f t="shared" si="0"/>
        <v>299.8</v>
      </c>
      <c r="G11" s="48">
        <v>2</v>
      </c>
      <c r="H11" t="s">
        <v>47</v>
      </c>
    </row>
    <row r="12" spans="1:9" x14ac:dyDescent="0.3">
      <c r="A12" s="36" t="s">
        <v>9</v>
      </c>
      <c r="B12" s="3" t="s">
        <v>2</v>
      </c>
      <c r="C12" s="4" t="s">
        <v>18</v>
      </c>
      <c r="D12" s="13">
        <v>65.900000000000006</v>
      </c>
      <c r="E12" s="3">
        <v>2</v>
      </c>
      <c r="F12" s="16">
        <f t="shared" si="0"/>
        <v>131.80000000000001</v>
      </c>
      <c r="G12" s="48">
        <v>2</v>
      </c>
      <c r="H12" t="s">
        <v>47</v>
      </c>
    </row>
    <row r="13" spans="1:9" x14ac:dyDescent="0.3">
      <c r="A13" s="36" t="s">
        <v>9</v>
      </c>
      <c r="B13" s="3" t="s">
        <v>3</v>
      </c>
      <c r="C13" s="4" t="s">
        <v>18</v>
      </c>
      <c r="D13" s="13">
        <v>69.900000000000006</v>
      </c>
      <c r="E13" s="3">
        <v>3</v>
      </c>
      <c r="F13" s="16">
        <f t="shared" si="0"/>
        <v>209.70000000000002</v>
      </c>
      <c r="G13" s="48">
        <v>3</v>
      </c>
      <c r="H13" t="s">
        <v>47</v>
      </c>
    </row>
    <row r="14" spans="1:9" x14ac:dyDescent="0.3">
      <c r="A14" s="36" t="s">
        <v>9</v>
      </c>
      <c r="B14" s="3" t="s">
        <v>4</v>
      </c>
      <c r="C14" s="4" t="s">
        <v>18</v>
      </c>
      <c r="D14" s="13">
        <v>70.900000000000006</v>
      </c>
      <c r="E14" s="3">
        <v>4</v>
      </c>
      <c r="F14" s="16">
        <f t="shared" si="0"/>
        <v>283.60000000000002</v>
      </c>
      <c r="G14" s="48">
        <v>3</v>
      </c>
      <c r="H14" t="s">
        <v>46</v>
      </c>
    </row>
    <row r="15" spans="1:9" x14ac:dyDescent="0.3">
      <c r="A15" s="36" t="s">
        <v>10</v>
      </c>
      <c r="B15" s="3">
        <v>36</v>
      </c>
      <c r="C15" s="4" t="s">
        <v>20</v>
      </c>
      <c r="D15" s="13">
        <v>199.9</v>
      </c>
      <c r="E15" s="3">
        <v>2</v>
      </c>
      <c r="F15" s="16">
        <f t="shared" si="0"/>
        <v>399.8</v>
      </c>
      <c r="G15" s="48">
        <v>4</v>
      </c>
      <c r="H15" t="s">
        <v>48</v>
      </c>
    </row>
    <row r="16" spans="1:9" x14ac:dyDescent="0.3">
      <c r="A16" s="36" t="s">
        <v>11</v>
      </c>
      <c r="B16" s="3" t="s">
        <v>14</v>
      </c>
      <c r="C16" s="4" t="s">
        <v>19</v>
      </c>
      <c r="D16" s="13">
        <v>259.89999999999998</v>
      </c>
      <c r="E16" s="3">
        <v>1</v>
      </c>
      <c r="F16" s="16">
        <f t="shared" si="0"/>
        <v>259.89999999999998</v>
      </c>
      <c r="G16" s="48">
        <v>4</v>
      </c>
      <c r="H16" t="s">
        <v>48</v>
      </c>
    </row>
    <row r="17" spans="1:8" x14ac:dyDescent="0.3">
      <c r="A17" s="36" t="s">
        <v>12</v>
      </c>
      <c r="B17" s="3" t="s">
        <v>14</v>
      </c>
      <c r="C17" s="4" t="s">
        <v>19</v>
      </c>
      <c r="D17" s="13">
        <v>39.9</v>
      </c>
      <c r="E17" s="3">
        <v>2</v>
      </c>
      <c r="F17" s="16">
        <f t="shared" si="0"/>
        <v>79.8</v>
      </c>
      <c r="G17" s="48">
        <v>5</v>
      </c>
      <c r="H17" t="s">
        <v>47</v>
      </c>
    </row>
    <row r="18" spans="1:8" x14ac:dyDescent="0.3">
      <c r="A18" s="37" t="s">
        <v>13</v>
      </c>
      <c r="B18" s="5" t="s">
        <v>14</v>
      </c>
      <c r="C18" s="6" t="s">
        <v>19</v>
      </c>
      <c r="D18" s="14">
        <v>49.9</v>
      </c>
      <c r="E18" s="3">
        <v>1</v>
      </c>
      <c r="F18" s="16">
        <f t="shared" si="0"/>
        <v>49.9</v>
      </c>
      <c r="G18" s="48">
        <v>6</v>
      </c>
      <c r="H18" t="s">
        <v>48</v>
      </c>
    </row>
    <row r="19" spans="1:8" ht="3" customHeight="1" x14ac:dyDescent="0.3">
      <c r="A19" s="38"/>
      <c r="B19" s="24"/>
      <c r="C19" s="23"/>
      <c r="D19" s="25"/>
      <c r="E19" s="24"/>
      <c r="F19" s="26">
        <f t="shared" si="0"/>
        <v>0</v>
      </c>
      <c r="G19" s="46"/>
      <c r="H19" s="18"/>
    </row>
    <row r="20" spans="1:8" x14ac:dyDescent="0.3">
      <c r="A20" s="19" t="s">
        <v>23</v>
      </c>
      <c r="B20" s="20"/>
      <c r="C20" s="21"/>
      <c r="D20" s="16">
        <f>SUBTOTAL(109,Tabela13[Preço Unitário])</f>
        <v>1680.5000000000005</v>
      </c>
      <c r="E20" s="22">
        <f>SUBTOTAL(109,Tabela13[Qtd])</f>
        <v>33</v>
      </c>
      <c r="F20" s="16">
        <f>SUM(F4:F19)</f>
        <v>3150.7000000000003</v>
      </c>
      <c r="G20" s="47"/>
      <c r="H20" s="47"/>
    </row>
    <row r="23" spans="1:8" x14ac:dyDescent="0.3">
      <c r="F23" s="61"/>
    </row>
  </sheetData>
  <mergeCells count="1">
    <mergeCell ref="A1:H2"/>
  </mergeCells>
  <conditionalFormatting sqref="D4:D18">
    <cfRule type="dataBar" priority="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{6E971623-EC9F-45A3-B0CC-A403C4B27861}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71623-EC9F-45A3-B0CC-A403C4B2786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D4:D18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74C5-827C-497F-900A-715D8D65E3BF}">
  <dimension ref="A1:K25"/>
  <sheetViews>
    <sheetView topLeftCell="B1" zoomScale="110" zoomScaleNormal="110" workbookViewId="0">
      <selection activeCell="J12" sqref="J12"/>
    </sheetView>
  </sheetViews>
  <sheetFormatPr defaultRowHeight="14.4" x14ac:dyDescent="0.3"/>
  <cols>
    <col min="1" max="1" width="16.88671875" customWidth="1"/>
    <col min="2" max="2" width="14.33203125" style="1" customWidth="1"/>
    <col min="3" max="3" width="15" customWidth="1"/>
    <col min="4" max="4" width="19.5546875" customWidth="1"/>
    <col min="5" max="5" width="14.44140625" bestFit="1" customWidth="1"/>
    <col min="6" max="6" width="17" bestFit="1" customWidth="1"/>
    <col min="7" max="8" width="27.109375" bestFit="1" customWidth="1"/>
    <col min="9" max="9" width="21.6640625" customWidth="1"/>
    <col min="10" max="10" width="21.21875" bestFit="1" customWidth="1"/>
  </cols>
  <sheetData>
    <row r="1" spans="1:11" ht="15.6" customHeight="1" x14ac:dyDescent="0.3">
      <c r="A1" s="113" t="s">
        <v>21</v>
      </c>
      <c r="B1" s="113"/>
      <c r="C1" s="113"/>
      <c r="D1" s="113"/>
      <c r="E1" s="113"/>
      <c r="F1" s="113"/>
      <c r="G1" s="113"/>
      <c r="H1" s="113"/>
    </row>
    <row r="2" spans="1:11" ht="3.6" customHeight="1" thickBot="1" x14ac:dyDescent="0.35">
      <c r="A2" s="113"/>
      <c r="B2" s="113"/>
      <c r="C2" s="113"/>
      <c r="D2" s="113"/>
      <c r="E2" s="113"/>
      <c r="F2" s="113"/>
      <c r="G2" s="113"/>
      <c r="H2" s="113"/>
      <c r="I2" s="40"/>
      <c r="J2" s="18"/>
    </row>
    <row r="3" spans="1:11" s="2" customFormat="1" ht="18.600000000000001" thickBot="1" x14ac:dyDescent="0.4">
      <c r="A3" s="9" t="s">
        <v>0</v>
      </c>
      <c r="B3" s="10" t="s">
        <v>1</v>
      </c>
      <c r="C3" s="10" t="s">
        <v>16</v>
      </c>
      <c r="D3" s="11" t="s">
        <v>17</v>
      </c>
      <c r="E3" s="39" t="s">
        <v>37</v>
      </c>
      <c r="F3" s="17" t="s">
        <v>22</v>
      </c>
      <c r="G3" s="17" t="s">
        <v>24</v>
      </c>
      <c r="H3" s="15" t="s">
        <v>26</v>
      </c>
      <c r="J3" s="28" t="s">
        <v>27</v>
      </c>
    </row>
    <row r="4" spans="1:11" x14ac:dyDescent="0.3">
      <c r="A4" s="35" t="s">
        <v>15</v>
      </c>
      <c r="B4" s="7" t="s">
        <v>2</v>
      </c>
      <c r="C4" s="8" t="s">
        <v>18</v>
      </c>
      <c r="D4" s="12">
        <v>25.9</v>
      </c>
      <c r="E4" s="22">
        <f>Tabela1[[#This Row],[Qtd]]</f>
        <v>12</v>
      </c>
      <c r="F4" s="3">
        <v>12</v>
      </c>
      <c r="G4" s="16">
        <f t="shared" ref="G4:G24" si="0">D4*F4</f>
        <v>310.79999999999995</v>
      </c>
      <c r="H4" s="12">
        <f>Tabela1[[#This Row],[Valor Total]]*$J$4</f>
        <v>15.54</v>
      </c>
      <c r="J4" s="29">
        <v>0.05</v>
      </c>
    </row>
    <row r="5" spans="1:11" x14ac:dyDescent="0.3">
      <c r="A5" s="36" t="s">
        <v>15</v>
      </c>
      <c r="B5" s="3" t="s">
        <v>3</v>
      </c>
      <c r="C5" s="4" t="s">
        <v>18</v>
      </c>
      <c r="D5" s="13">
        <v>29.9</v>
      </c>
      <c r="E5" s="41">
        <f>Tabela1[[#This Row],[Qtd]]</f>
        <v>10</v>
      </c>
      <c r="F5" s="3">
        <v>10</v>
      </c>
      <c r="G5" s="16">
        <f t="shared" si="0"/>
        <v>299</v>
      </c>
      <c r="H5" s="12">
        <f>Tabela1[[#This Row],[Valor Total]]*$J$4</f>
        <v>14.950000000000001</v>
      </c>
    </row>
    <row r="6" spans="1:11" x14ac:dyDescent="0.3">
      <c r="A6" s="36" t="s">
        <v>15</v>
      </c>
      <c r="B6" s="3" t="s">
        <v>4</v>
      </c>
      <c r="C6" s="4" t="s">
        <v>18</v>
      </c>
      <c r="D6" s="13">
        <v>32.9</v>
      </c>
      <c r="E6" s="41">
        <f>Tabela1[[#This Row],[Qtd]]</f>
        <v>6</v>
      </c>
      <c r="F6" s="3">
        <v>6</v>
      </c>
      <c r="G6" s="16">
        <f t="shared" si="0"/>
        <v>197.39999999999998</v>
      </c>
      <c r="H6" s="12">
        <f>Tabela1[[#This Row],[Valor Total]]*$J$4</f>
        <v>9.8699999999999992</v>
      </c>
      <c r="J6" s="30" t="s">
        <v>28</v>
      </c>
    </row>
    <row r="7" spans="1:11" x14ac:dyDescent="0.3">
      <c r="A7" s="36" t="s">
        <v>5</v>
      </c>
      <c r="B7" s="3" t="s">
        <v>14</v>
      </c>
      <c r="C7" s="4" t="s">
        <v>19</v>
      </c>
      <c r="D7" s="13">
        <v>399.9</v>
      </c>
      <c r="E7" s="41">
        <f>Tabela1[[#This Row],[Qtd]]</f>
        <v>3</v>
      </c>
      <c r="F7" s="3">
        <v>3</v>
      </c>
      <c r="G7" s="16">
        <f t="shared" si="0"/>
        <v>1199.6999999999998</v>
      </c>
      <c r="H7" s="12">
        <f>Tabela1[[#This Row],[Valor Total]]*$J$4</f>
        <v>59.984999999999992</v>
      </c>
      <c r="J7" s="31">
        <f>COUNTA(A4:A23)</f>
        <v>20</v>
      </c>
    </row>
    <row r="8" spans="1:11" x14ac:dyDescent="0.3">
      <c r="A8" s="36" t="s">
        <v>6</v>
      </c>
      <c r="B8" s="3" t="s">
        <v>2</v>
      </c>
      <c r="C8" s="4" t="s">
        <v>18</v>
      </c>
      <c r="D8" s="13">
        <v>249.9</v>
      </c>
      <c r="E8" s="41">
        <f>Tabela1[[#This Row],[Qtd]]</f>
        <v>1</v>
      </c>
      <c r="F8" s="3">
        <v>1</v>
      </c>
      <c r="G8" s="16">
        <f t="shared" si="0"/>
        <v>249.9</v>
      </c>
      <c r="H8" s="12">
        <f>Tabela1[[#This Row],[Valor Total]]*$J$4</f>
        <v>12.495000000000001</v>
      </c>
    </row>
    <row r="9" spans="1:11" x14ac:dyDescent="0.3">
      <c r="A9" s="36" t="s">
        <v>6</v>
      </c>
      <c r="B9" s="3" t="s">
        <v>3</v>
      </c>
      <c r="C9" s="4" t="s">
        <v>18</v>
      </c>
      <c r="D9" s="13">
        <v>259.89999999999998</v>
      </c>
      <c r="E9" s="41">
        <f>Tabela1[[#This Row],[Qtd]]</f>
        <v>2</v>
      </c>
      <c r="F9" s="3">
        <v>2</v>
      </c>
      <c r="G9" s="16">
        <f t="shared" si="0"/>
        <v>519.79999999999995</v>
      </c>
      <c r="H9" s="12">
        <f>Tabela1[[#This Row],[Valor Total]]*$J$4</f>
        <v>25.99</v>
      </c>
      <c r="J9" s="30" t="s">
        <v>29</v>
      </c>
    </row>
    <row r="10" spans="1:11" x14ac:dyDescent="0.3">
      <c r="A10" s="36" t="s">
        <v>6</v>
      </c>
      <c r="B10" s="3" t="s">
        <v>4</v>
      </c>
      <c r="C10" s="4" t="s">
        <v>18</v>
      </c>
      <c r="D10" s="13">
        <v>299.89999999999998</v>
      </c>
      <c r="E10" s="41">
        <f>Tabela1[[#This Row],[Qtd]]</f>
        <v>1</v>
      </c>
      <c r="F10" s="3">
        <v>1</v>
      </c>
      <c r="G10" s="16">
        <f t="shared" si="0"/>
        <v>299.89999999999998</v>
      </c>
      <c r="H10" s="12">
        <f>Tabela1[[#This Row],[Valor Total]]*$J$4</f>
        <v>14.994999999999999</v>
      </c>
      <c r="J10" s="31">
        <f>COUNTIF(F4:F23, "&gt; 0")</f>
        <v>19</v>
      </c>
    </row>
    <row r="11" spans="1:11" x14ac:dyDescent="0.3">
      <c r="A11" s="36" t="s">
        <v>7</v>
      </c>
      <c r="B11" s="3" t="s">
        <v>2</v>
      </c>
      <c r="C11" s="4" t="s">
        <v>18</v>
      </c>
      <c r="D11" s="13">
        <v>85.9</v>
      </c>
      <c r="E11" s="41">
        <f>Tabela1[[#This Row],[Qtd]]</f>
        <v>8</v>
      </c>
      <c r="F11" s="3">
        <v>8</v>
      </c>
      <c r="G11" s="16">
        <f t="shared" si="0"/>
        <v>687.2</v>
      </c>
      <c r="H11" s="12">
        <f>Tabela1[[#This Row],[Valor Total]]*$J$4</f>
        <v>34.360000000000007</v>
      </c>
    </row>
    <row r="12" spans="1:11" x14ac:dyDescent="0.3">
      <c r="A12" s="36" t="s">
        <v>7</v>
      </c>
      <c r="B12" s="3" t="s">
        <v>3</v>
      </c>
      <c r="C12" s="4" t="s">
        <v>18</v>
      </c>
      <c r="D12" s="13">
        <v>89.9</v>
      </c>
      <c r="E12" s="41">
        <f>Tabela1[[#This Row],[Qtd]]</f>
        <v>5</v>
      </c>
      <c r="F12" s="3">
        <v>5</v>
      </c>
      <c r="G12" s="16">
        <f t="shared" si="0"/>
        <v>449.5</v>
      </c>
      <c r="H12" s="12">
        <f>Tabela1[[#This Row],[Valor Total]]*$J$4</f>
        <v>22.475000000000001</v>
      </c>
      <c r="J12" s="34" t="s">
        <v>15</v>
      </c>
    </row>
    <row r="13" spans="1:11" x14ac:dyDescent="0.3">
      <c r="A13" s="36" t="s">
        <v>7</v>
      </c>
      <c r="B13" s="3" t="s">
        <v>4</v>
      </c>
      <c r="C13" s="4" t="s">
        <v>18</v>
      </c>
      <c r="D13" s="13">
        <v>92.9</v>
      </c>
      <c r="E13" s="41">
        <f>Tabela1[[#This Row],[Qtd]]</f>
        <v>6</v>
      </c>
      <c r="F13" s="3">
        <v>6</v>
      </c>
      <c r="G13" s="16">
        <f t="shared" si="0"/>
        <v>557.40000000000009</v>
      </c>
      <c r="H13" s="12">
        <f>Tabela1[[#This Row],[Valor Total]]*$J$4</f>
        <v>27.870000000000005</v>
      </c>
      <c r="J13" s="4" t="s">
        <v>33</v>
      </c>
      <c r="K13" s="4">
        <f>COUNTIF(int_Nome_Produtos,J12)</f>
        <v>3</v>
      </c>
    </row>
    <row r="14" spans="1:11" x14ac:dyDescent="0.3">
      <c r="A14" s="36" t="s">
        <v>8</v>
      </c>
      <c r="B14" s="3" t="s">
        <v>14</v>
      </c>
      <c r="C14" s="4" t="s">
        <v>18</v>
      </c>
      <c r="D14" s="13">
        <v>149.9</v>
      </c>
      <c r="E14" s="41">
        <f>Tabela1[[#This Row],[Qtd]]</f>
        <v>2</v>
      </c>
      <c r="F14" s="3">
        <v>2</v>
      </c>
      <c r="G14" s="16">
        <f t="shared" si="0"/>
        <v>299.8</v>
      </c>
      <c r="H14" s="12">
        <f>Tabela1[[#This Row],[Valor Total]]*$J$4</f>
        <v>14.990000000000002</v>
      </c>
      <c r="J14" s="4" t="s">
        <v>34</v>
      </c>
      <c r="K14" s="4">
        <f>SUMIF(int_Nome_Produtos,J12,int_Quantidades)</f>
        <v>28</v>
      </c>
    </row>
    <row r="15" spans="1:11" x14ac:dyDescent="0.3">
      <c r="A15" s="36" t="s">
        <v>9</v>
      </c>
      <c r="B15" s="3" t="s">
        <v>2</v>
      </c>
      <c r="C15" s="4" t="s">
        <v>18</v>
      </c>
      <c r="D15" s="13">
        <v>65.900000000000006</v>
      </c>
      <c r="E15" s="41">
        <f>Tabela1[[#This Row],[Qtd]]</f>
        <v>12</v>
      </c>
      <c r="F15" s="3">
        <v>12</v>
      </c>
      <c r="G15" s="16">
        <f t="shared" si="0"/>
        <v>790.80000000000007</v>
      </c>
      <c r="H15" s="12">
        <f>Tabela1[[#This Row],[Valor Total]]*$J$4</f>
        <v>39.540000000000006</v>
      </c>
    </row>
    <row r="16" spans="1:11" x14ac:dyDescent="0.3">
      <c r="A16" s="36" t="s">
        <v>9</v>
      </c>
      <c r="B16" s="3" t="s">
        <v>3</v>
      </c>
      <c r="C16" s="4" t="s">
        <v>18</v>
      </c>
      <c r="D16" s="13">
        <v>69.900000000000006</v>
      </c>
      <c r="E16" s="41">
        <f>Tabela1[[#This Row],[Qtd]]</f>
        <v>15</v>
      </c>
      <c r="F16" s="3">
        <v>15</v>
      </c>
      <c r="G16" s="16">
        <f t="shared" si="0"/>
        <v>1048.5</v>
      </c>
      <c r="H16" s="12">
        <f>Tabela1[[#This Row],[Valor Total]]*$J$4</f>
        <v>52.425000000000004</v>
      </c>
      <c r="J16" s="34" t="s">
        <v>35</v>
      </c>
    </row>
    <row r="17" spans="1:10" x14ac:dyDescent="0.3">
      <c r="A17" s="36" t="s">
        <v>9</v>
      </c>
      <c r="B17" s="3" t="s">
        <v>4</v>
      </c>
      <c r="C17" s="4" t="s">
        <v>18</v>
      </c>
      <c r="D17" s="13">
        <v>70.900000000000006</v>
      </c>
      <c r="E17" s="41">
        <f>Tabela1[[#This Row],[Qtd]]</f>
        <v>13</v>
      </c>
      <c r="F17" s="3">
        <v>13</v>
      </c>
      <c r="G17" s="16">
        <f t="shared" si="0"/>
        <v>921.7</v>
      </c>
      <c r="H17" s="12">
        <f>Tabela1[[#This Row],[Valor Total]]*$J$4</f>
        <v>46.085000000000008</v>
      </c>
      <c r="J17" s="4">
        <f>_xlfn.XLOOKUP(J12, A4:A23,D4:D23)</f>
        <v>25.9</v>
      </c>
    </row>
    <row r="18" spans="1:10" x14ac:dyDescent="0.3">
      <c r="A18" s="36" t="s">
        <v>10</v>
      </c>
      <c r="B18" s="3">
        <v>36</v>
      </c>
      <c r="C18" s="4" t="s">
        <v>20</v>
      </c>
      <c r="D18" s="13">
        <v>199.9</v>
      </c>
      <c r="E18" s="41">
        <f>Tabela1[[#This Row],[Qtd]]</f>
        <v>2</v>
      </c>
      <c r="F18" s="3">
        <v>2</v>
      </c>
      <c r="G18" s="16">
        <f t="shared" si="0"/>
        <v>399.8</v>
      </c>
      <c r="H18" s="12">
        <f>Tabela1[[#This Row],[Valor Total]]*$J$4</f>
        <v>19.990000000000002</v>
      </c>
    </row>
    <row r="19" spans="1:10" x14ac:dyDescent="0.3">
      <c r="A19" s="36" t="s">
        <v>10</v>
      </c>
      <c r="B19" s="3">
        <v>37</v>
      </c>
      <c r="C19" s="4" t="s">
        <v>20</v>
      </c>
      <c r="D19" s="13">
        <v>249.9</v>
      </c>
      <c r="E19" s="41">
        <f>Tabela1[[#This Row],[Qtd]]</f>
        <v>1</v>
      </c>
      <c r="F19" s="3">
        <v>1</v>
      </c>
      <c r="G19" s="16">
        <f t="shared" si="0"/>
        <v>249.9</v>
      </c>
      <c r="H19" s="12">
        <f>Tabela1[[#This Row],[Valor Total]]*$J$4</f>
        <v>12.495000000000001</v>
      </c>
      <c r="J19" s="30" t="s">
        <v>36</v>
      </c>
    </row>
    <row r="20" spans="1:10" x14ac:dyDescent="0.3">
      <c r="A20" s="36" t="s">
        <v>10</v>
      </c>
      <c r="B20" s="3">
        <v>38</v>
      </c>
      <c r="C20" s="4" t="s">
        <v>20</v>
      </c>
      <c r="D20" s="13">
        <v>259.89999999999998</v>
      </c>
      <c r="E20" s="41">
        <f>Tabela1[[#This Row],[Qtd]]</f>
        <v>0</v>
      </c>
      <c r="F20" s="3">
        <v>0</v>
      </c>
      <c r="G20" s="16">
        <f t="shared" si="0"/>
        <v>0</v>
      </c>
      <c r="H20" s="12">
        <f>Tabela1[[#This Row],[Valor Total]]*$J$4</f>
        <v>0</v>
      </c>
      <c r="J20" s="31">
        <f>_xlfn.XMATCH(J12,A4:A23,0)</f>
        <v>1</v>
      </c>
    </row>
    <row r="21" spans="1:10" x14ac:dyDescent="0.3">
      <c r="A21" s="36" t="s">
        <v>11</v>
      </c>
      <c r="B21" s="3" t="s">
        <v>14</v>
      </c>
      <c r="C21" s="4" t="s">
        <v>19</v>
      </c>
      <c r="D21" s="13">
        <v>259.89999999999998</v>
      </c>
      <c r="E21" s="41">
        <f>Tabela1[[#This Row],[Qtd]]</f>
        <v>1</v>
      </c>
      <c r="F21" s="3">
        <v>1</v>
      </c>
      <c r="G21" s="16">
        <f t="shared" si="0"/>
        <v>259.89999999999998</v>
      </c>
      <c r="H21" s="12">
        <f>Tabela1[[#This Row],[Valor Total]]*$J$4</f>
        <v>12.994999999999999</v>
      </c>
    </row>
    <row r="22" spans="1:10" x14ac:dyDescent="0.3">
      <c r="A22" s="36" t="s">
        <v>12</v>
      </c>
      <c r="B22" s="3" t="s">
        <v>14</v>
      </c>
      <c r="C22" s="4" t="s">
        <v>19</v>
      </c>
      <c r="D22" s="13">
        <v>39.9</v>
      </c>
      <c r="E22" s="41">
        <f>Tabela1[[#This Row],[Qtd]]</f>
        <v>11</v>
      </c>
      <c r="F22" s="3">
        <v>11</v>
      </c>
      <c r="G22" s="16">
        <f t="shared" si="0"/>
        <v>438.9</v>
      </c>
      <c r="H22" s="12">
        <f>Tabela1[[#This Row],[Valor Total]]*$J$4</f>
        <v>21.945</v>
      </c>
    </row>
    <row r="23" spans="1:10" x14ac:dyDescent="0.3">
      <c r="A23" s="37" t="s">
        <v>13</v>
      </c>
      <c r="B23" s="5" t="s">
        <v>14</v>
      </c>
      <c r="C23" s="6" t="s">
        <v>19</v>
      </c>
      <c r="D23" s="14">
        <v>49.9</v>
      </c>
      <c r="E23" s="42">
        <f>Tabela1[[#This Row],[Qtd]]</f>
        <v>21</v>
      </c>
      <c r="F23" s="3">
        <v>21</v>
      </c>
      <c r="G23" s="16">
        <f t="shared" si="0"/>
        <v>1047.8999999999999</v>
      </c>
      <c r="H23" s="12">
        <f>Tabela1[[#This Row],[Valor Total]]*$J$4</f>
        <v>52.394999999999996</v>
      </c>
    </row>
    <row r="24" spans="1:10" ht="3.6" customHeight="1" x14ac:dyDescent="0.3">
      <c r="A24" s="38"/>
      <c r="B24" s="24"/>
      <c r="C24" s="23"/>
      <c r="D24" s="25"/>
      <c r="E24" s="25">
        <f>Tabela1[[#This Row],[Qtd]]</f>
        <v>0</v>
      </c>
      <c r="F24" s="24"/>
      <c r="G24" s="26">
        <f t="shared" si="0"/>
        <v>0</v>
      </c>
      <c r="H24" s="27">
        <f>Tabela1[[#This Row],[Valor Total]]*$J$4</f>
        <v>0</v>
      </c>
    </row>
    <row r="25" spans="1:10" x14ac:dyDescent="0.3">
      <c r="A25" s="19" t="s">
        <v>23</v>
      </c>
      <c r="B25" s="20"/>
      <c r="C25" s="21"/>
      <c r="D25" s="16">
        <f>SUBTOTAL(109,Tabela1[Preço Unitário])</f>
        <v>2983.0000000000009</v>
      </c>
      <c r="E25" s="16"/>
      <c r="F25" s="22">
        <f>SUBTOTAL(109,Tabela1[Qtd])</f>
        <v>132</v>
      </c>
      <c r="G25" s="16">
        <f>SUM(G4:G24)</f>
        <v>10227.799999999999</v>
      </c>
      <c r="H25" s="12">
        <f>SUM(H4:H24)</f>
        <v>511.39000000000004</v>
      </c>
    </row>
  </sheetData>
  <mergeCells count="1">
    <mergeCell ref="A1:H2"/>
  </mergeCells>
  <conditionalFormatting sqref="D4:D23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{F816D755-ED8C-46E3-A5D6-7B676DEE1A05}</x14:id>
        </ext>
      </extLst>
    </cfRule>
  </conditionalFormatting>
  <conditionalFormatting sqref="E4:E23">
    <cfRule type="cellIs" dxfId="0" priority="2" operator="lessThan">
      <formula>3</formula>
    </cfRule>
    <cfRule type="iconSet" priority="3">
      <iconSet iconSet="3Symbols2" showValue="0">
        <cfvo type="percent" val="0"/>
        <cfvo type="num" val="3"/>
        <cfvo type="num" val="10" gte="0"/>
      </iconSet>
    </cfRule>
  </conditionalFormatting>
  <dataValidations count="1">
    <dataValidation type="list" showInputMessage="1" showErrorMessage="1" errorTitle="Erro de digitação" error="Este produto não está listado na tabela original." sqref="J12" xr:uid="{9EE59AF1-8AC9-4BB6-9797-3FFFD431C9A3}">
      <formula1>int_Nome_Produtos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16D755-ED8C-46E3-A5D6-7B676DEE1A0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D4:D23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Dados Para Graficos</vt:lpstr>
      <vt:lpstr>Dashboard</vt:lpstr>
      <vt:lpstr>Tabela de Vendas</vt:lpstr>
      <vt:lpstr>Tabela de Produtos</vt:lpstr>
      <vt:lpstr>int_Nome_Produtos</vt:lpstr>
      <vt:lpstr>int_Quantidades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Felype Santos</cp:lastModifiedBy>
  <cp:lastPrinted>2025-01-11T23:31:36Z</cp:lastPrinted>
  <dcterms:created xsi:type="dcterms:W3CDTF">2023-06-02T17:54:12Z</dcterms:created>
  <dcterms:modified xsi:type="dcterms:W3CDTF">2025-01-13T16:33:28Z</dcterms:modified>
</cp:coreProperties>
</file>