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ilsavani/Downloads/"/>
    </mc:Choice>
  </mc:AlternateContent>
  <xr:revisionPtr revIDLastSave="0" documentId="13_ncr:1_{D8BE40D2-81F2-4345-A4EE-649745D9D864}" xr6:coauthVersionLast="47" xr6:coauthVersionMax="47" xr10:uidLastSave="{00000000-0000-0000-0000-000000000000}"/>
  <bookViews>
    <workbookView xWindow="0" yWindow="740" windowWidth="30240" windowHeight="18900" xr2:uid="{D4886810-D9CC-4231-AA87-2302A306BB27}"/>
  </bookViews>
  <sheets>
    <sheet name="HistoricalFS" sheetId="3" r:id="rId1"/>
    <sheet name="Data Sheet" sheetId="2" r:id="rId2"/>
    <sheet name="Cash Flow Data" sheetId="5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3" l="1"/>
  <c r="E104" i="3"/>
  <c r="F104" i="3"/>
  <c r="G104" i="3"/>
  <c r="H104" i="3"/>
  <c r="I104" i="3"/>
  <c r="J104" i="3"/>
  <c r="K104" i="3"/>
  <c r="L104" i="3"/>
  <c r="C104" i="3"/>
  <c r="D103" i="3"/>
  <c r="E103" i="3"/>
  <c r="F103" i="3"/>
  <c r="G103" i="3"/>
  <c r="H103" i="3"/>
  <c r="I103" i="3"/>
  <c r="J103" i="3"/>
  <c r="K103" i="3"/>
  <c r="L103" i="3"/>
  <c r="C103" i="3"/>
  <c r="D102" i="3"/>
  <c r="E102" i="3"/>
  <c r="F102" i="3"/>
  <c r="F105" i="3" s="1"/>
  <c r="G102" i="3"/>
  <c r="H102" i="3"/>
  <c r="I102" i="3"/>
  <c r="J102" i="3"/>
  <c r="K102" i="3"/>
  <c r="L102" i="3"/>
  <c r="C102" i="3"/>
  <c r="D101" i="3"/>
  <c r="E101" i="3"/>
  <c r="F101" i="3"/>
  <c r="G101" i="3"/>
  <c r="H101" i="3"/>
  <c r="I101" i="3"/>
  <c r="J101" i="3"/>
  <c r="K101" i="3"/>
  <c r="L101" i="3"/>
  <c r="C101" i="3"/>
  <c r="D100" i="3"/>
  <c r="E100" i="3"/>
  <c r="F100" i="3"/>
  <c r="G100" i="3"/>
  <c r="H100" i="3"/>
  <c r="I100" i="3"/>
  <c r="J100" i="3"/>
  <c r="K100" i="3"/>
  <c r="L100" i="3"/>
  <c r="C100" i="3"/>
  <c r="D99" i="3"/>
  <c r="E99" i="3"/>
  <c r="F99" i="3"/>
  <c r="G99" i="3"/>
  <c r="H99" i="3"/>
  <c r="I99" i="3"/>
  <c r="J99" i="3"/>
  <c r="K99" i="3"/>
  <c r="L99" i="3"/>
  <c r="C99" i="3"/>
  <c r="D98" i="3"/>
  <c r="E98" i="3"/>
  <c r="F98" i="3"/>
  <c r="G98" i="3"/>
  <c r="H98" i="3"/>
  <c r="I98" i="3"/>
  <c r="J98" i="3"/>
  <c r="K98" i="3"/>
  <c r="L98" i="3"/>
  <c r="C98" i="3"/>
  <c r="D97" i="3"/>
  <c r="E97" i="3"/>
  <c r="F97" i="3"/>
  <c r="G97" i="3"/>
  <c r="H97" i="3"/>
  <c r="I97" i="3"/>
  <c r="J97" i="3"/>
  <c r="K97" i="3"/>
  <c r="L97" i="3"/>
  <c r="C97" i="3"/>
  <c r="D96" i="3"/>
  <c r="E96" i="3"/>
  <c r="F96" i="3"/>
  <c r="G96" i="3"/>
  <c r="H96" i="3"/>
  <c r="I96" i="3"/>
  <c r="J96" i="3"/>
  <c r="K96" i="3"/>
  <c r="L96" i="3"/>
  <c r="C96" i="3"/>
  <c r="D92" i="3"/>
  <c r="E92" i="3"/>
  <c r="F92" i="3"/>
  <c r="G92" i="3"/>
  <c r="H92" i="3"/>
  <c r="I92" i="3"/>
  <c r="J92" i="3"/>
  <c r="K92" i="3"/>
  <c r="L92" i="3"/>
  <c r="C92" i="3"/>
  <c r="D91" i="3"/>
  <c r="E91" i="3"/>
  <c r="F91" i="3"/>
  <c r="G91" i="3"/>
  <c r="H91" i="3"/>
  <c r="I91" i="3"/>
  <c r="J91" i="3"/>
  <c r="K91" i="3"/>
  <c r="L91" i="3"/>
  <c r="C91" i="3"/>
  <c r="D90" i="3"/>
  <c r="E90" i="3"/>
  <c r="F90" i="3"/>
  <c r="G90" i="3"/>
  <c r="H90" i="3"/>
  <c r="I90" i="3"/>
  <c r="J90" i="3"/>
  <c r="K90" i="3"/>
  <c r="L90" i="3"/>
  <c r="C90" i="3"/>
  <c r="D89" i="3"/>
  <c r="E89" i="3"/>
  <c r="F89" i="3"/>
  <c r="G89" i="3"/>
  <c r="H89" i="3"/>
  <c r="I89" i="3"/>
  <c r="J89" i="3"/>
  <c r="K89" i="3"/>
  <c r="L89" i="3"/>
  <c r="C89" i="3"/>
  <c r="D88" i="3"/>
  <c r="E88" i="3"/>
  <c r="F88" i="3"/>
  <c r="G88" i="3"/>
  <c r="H88" i="3"/>
  <c r="I88" i="3"/>
  <c r="J88" i="3"/>
  <c r="K88" i="3"/>
  <c r="L88" i="3"/>
  <c r="C88" i="3"/>
  <c r="D87" i="3"/>
  <c r="E87" i="3"/>
  <c r="F87" i="3"/>
  <c r="G87" i="3"/>
  <c r="H87" i="3"/>
  <c r="I87" i="3"/>
  <c r="J87" i="3"/>
  <c r="K87" i="3"/>
  <c r="L87" i="3"/>
  <c r="C87" i="3"/>
  <c r="D86" i="3"/>
  <c r="E86" i="3"/>
  <c r="F86" i="3"/>
  <c r="G86" i="3"/>
  <c r="H86" i="3"/>
  <c r="I86" i="3"/>
  <c r="J86" i="3"/>
  <c r="K86" i="3"/>
  <c r="L86" i="3"/>
  <c r="C86" i="3"/>
  <c r="D85" i="3"/>
  <c r="E85" i="3"/>
  <c r="F85" i="3"/>
  <c r="G85" i="3"/>
  <c r="H85" i="3"/>
  <c r="I85" i="3"/>
  <c r="J85" i="3"/>
  <c r="K85" i="3"/>
  <c r="L85" i="3"/>
  <c r="C85" i="3"/>
  <c r="D84" i="3"/>
  <c r="E84" i="3"/>
  <c r="F84" i="3"/>
  <c r="G84" i="3"/>
  <c r="H84" i="3"/>
  <c r="I84" i="3"/>
  <c r="J84" i="3"/>
  <c r="K84" i="3"/>
  <c r="L84" i="3"/>
  <c r="C84" i="3"/>
  <c r="D83" i="3"/>
  <c r="D93" i="3" s="1"/>
  <c r="E83" i="3"/>
  <c r="F83" i="3"/>
  <c r="F93" i="3" s="1"/>
  <c r="G83" i="3"/>
  <c r="H83" i="3"/>
  <c r="I83" i="3"/>
  <c r="J83" i="3"/>
  <c r="K83" i="3"/>
  <c r="L83" i="3"/>
  <c r="C83" i="3"/>
  <c r="D82" i="3"/>
  <c r="E82" i="3"/>
  <c r="F82" i="3"/>
  <c r="G82" i="3"/>
  <c r="H82" i="3"/>
  <c r="I82" i="3"/>
  <c r="J82" i="3"/>
  <c r="K82" i="3"/>
  <c r="L82" i="3"/>
  <c r="C82" i="3"/>
  <c r="D81" i="3"/>
  <c r="E81" i="3"/>
  <c r="F81" i="3"/>
  <c r="G81" i="3"/>
  <c r="H81" i="3"/>
  <c r="I81" i="3"/>
  <c r="J81" i="3"/>
  <c r="K81" i="3"/>
  <c r="L81" i="3"/>
  <c r="C81" i="3"/>
  <c r="D77" i="3"/>
  <c r="E77" i="3"/>
  <c r="F77" i="3"/>
  <c r="G77" i="3"/>
  <c r="H77" i="3"/>
  <c r="I77" i="3"/>
  <c r="J77" i="3"/>
  <c r="K77" i="3"/>
  <c r="L77" i="3"/>
  <c r="C76" i="3"/>
  <c r="D75" i="3"/>
  <c r="E75" i="3"/>
  <c r="F75" i="3"/>
  <c r="G75" i="3"/>
  <c r="H75" i="3"/>
  <c r="I75" i="3"/>
  <c r="J75" i="3"/>
  <c r="K75" i="3"/>
  <c r="L75" i="3"/>
  <c r="C75" i="3"/>
  <c r="D74" i="3"/>
  <c r="E74" i="3"/>
  <c r="F74" i="3"/>
  <c r="G74" i="3"/>
  <c r="H74" i="3"/>
  <c r="I74" i="3"/>
  <c r="J74" i="3"/>
  <c r="K74" i="3"/>
  <c r="L74" i="3"/>
  <c r="C74" i="3"/>
  <c r="D73" i="3"/>
  <c r="E73" i="3"/>
  <c r="F73" i="3"/>
  <c r="G73" i="3"/>
  <c r="H73" i="3"/>
  <c r="I73" i="3"/>
  <c r="J73" i="3"/>
  <c r="K73" i="3"/>
  <c r="L73" i="3"/>
  <c r="C73" i="3"/>
  <c r="D72" i="3"/>
  <c r="E72" i="3"/>
  <c r="F72" i="3"/>
  <c r="G72" i="3"/>
  <c r="H72" i="3"/>
  <c r="I72" i="3"/>
  <c r="J72" i="3"/>
  <c r="K72" i="3"/>
  <c r="L72" i="3"/>
  <c r="C72" i="3"/>
  <c r="D71" i="3"/>
  <c r="E71" i="3"/>
  <c r="F71" i="3"/>
  <c r="F78" i="3" s="1"/>
  <c r="G71" i="3"/>
  <c r="H71" i="3"/>
  <c r="I71" i="3"/>
  <c r="J71" i="3"/>
  <c r="K71" i="3"/>
  <c r="L71" i="3"/>
  <c r="C71" i="3"/>
  <c r="C77" i="3"/>
  <c r="D70" i="3"/>
  <c r="E70" i="3"/>
  <c r="F70" i="3"/>
  <c r="G70" i="3"/>
  <c r="H70" i="3"/>
  <c r="I70" i="3"/>
  <c r="J70" i="3"/>
  <c r="K70" i="3"/>
  <c r="L70" i="3"/>
  <c r="C70" i="3"/>
  <c r="D61" i="3"/>
  <c r="E61" i="3"/>
  <c r="F61" i="3"/>
  <c r="G61" i="3"/>
  <c r="H61" i="3"/>
  <c r="I61" i="3"/>
  <c r="J61" i="3"/>
  <c r="K61" i="3"/>
  <c r="L61" i="3"/>
  <c r="C61" i="3"/>
  <c r="D60" i="3"/>
  <c r="E60" i="3"/>
  <c r="F60" i="3"/>
  <c r="G60" i="3"/>
  <c r="H60" i="3"/>
  <c r="I60" i="3"/>
  <c r="J60" i="3"/>
  <c r="K60" i="3"/>
  <c r="L60" i="3"/>
  <c r="C60" i="3"/>
  <c r="D59" i="3"/>
  <c r="E59" i="3"/>
  <c r="F59" i="3"/>
  <c r="G59" i="3"/>
  <c r="H59" i="3"/>
  <c r="I59" i="3"/>
  <c r="J59" i="3"/>
  <c r="K59" i="3"/>
  <c r="L59" i="3"/>
  <c r="C59" i="3"/>
  <c r="C56" i="3"/>
  <c r="D56" i="3"/>
  <c r="E56" i="3"/>
  <c r="F56" i="3"/>
  <c r="G56" i="3"/>
  <c r="H56" i="3"/>
  <c r="I56" i="3"/>
  <c r="J56" i="3"/>
  <c r="K56" i="3"/>
  <c r="L56" i="3"/>
  <c r="D55" i="3"/>
  <c r="E55" i="3"/>
  <c r="F55" i="3"/>
  <c r="G55" i="3"/>
  <c r="H55" i="3"/>
  <c r="I55" i="3"/>
  <c r="J55" i="3"/>
  <c r="K55" i="3"/>
  <c r="L55" i="3"/>
  <c r="C55" i="3"/>
  <c r="D54" i="3"/>
  <c r="E54" i="3"/>
  <c r="F54" i="3"/>
  <c r="G54" i="3"/>
  <c r="G57" i="3" s="1"/>
  <c r="H54" i="3"/>
  <c r="I54" i="3"/>
  <c r="J54" i="3"/>
  <c r="K54" i="3"/>
  <c r="L54" i="3"/>
  <c r="C54" i="3"/>
  <c r="D53" i="3"/>
  <c r="E53" i="3"/>
  <c r="F53" i="3"/>
  <c r="G53" i="3"/>
  <c r="H53" i="3"/>
  <c r="I53" i="3"/>
  <c r="J53" i="3"/>
  <c r="K53" i="3"/>
  <c r="L53" i="3"/>
  <c r="C53" i="3"/>
  <c r="L50" i="3"/>
  <c r="K50" i="3"/>
  <c r="J50" i="3"/>
  <c r="I50" i="3"/>
  <c r="H50" i="3"/>
  <c r="G50" i="3"/>
  <c r="F50" i="3"/>
  <c r="E50" i="3"/>
  <c r="D50" i="3"/>
  <c r="C50" i="3"/>
  <c r="D49" i="3"/>
  <c r="E49" i="3"/>
  <c r="F49" i="3"/>
  <c r="G49" i="3"/>
  <c r="H49" i="3"/>
  <c r="I49" i="3"/>
  <c r="J49" i="3"/>
  <c r="K49" i="3"/>
  <c r="L49" i="3"/>
  <c r="C49" i="3"/>
  <c r="D48" i="3"/>
  <c r="E48" i="3"/>
  <c r="F48" i="3"/>
  <c r="G48" i="3"/>
  <c r="H48" i="3"/>
  <c r="I48" i="3"/>
  <c r="J48" i="3"/>
  <c r="K48" i="3"/>
  <c r="L48" i="3"/>
  <c r="C48" i="3"/>
  <c r="C47" i="3"/>
  <c r="D47" i="3"/>
  <c r="E47" i="3"/>
  <c r="F47" i="3"/>
  <c r="G47" i="3"/>
  <c r="H47" i="3"/>
  <c r="I47" i="3"/>
  <c r="J47" i="3"/>
  <c r="K47" i="3"/>
  <c r="L47" i="3"/>
  <c r="M6" i="3"/>
  <c r="D6" i="3"/>
  <c r="E6" i="3"/>
  <c r="F6" i="3"/>
  <c r="G6" i="3"/>
  <c r="H6" i="3"/>
  <c r="I6" i="3"/>
  <c r="J6" i="3"/>
  <c r="K6" i="3"/>
  <c r="L6" i="3"/>
  <c r="C6" i="3"/>
  <c r="B35" i="2"/>
  <c r="C35" i="2"/>
  <c r="D35" i="2"/>
  <c r="E35" i="2"/>
  <c r="F35" i="2"/>
  <c r="G35" i="2"/>
  <c r="H35" i="2"/>
  <c r="I35" i="2"/>
  <c r="J35" i="2"/>
  <c r="K35" i="2"/>
  <c r="L105" i="3"/>
  <c r="D105" i="3"/>
  <c r="E93" i="3"/>
  <c r="L76" i="3"/>
  <c r="K76" i="3"/>
  <c r="J76" i="3"/>
  <c r="I76" i="3"/>
  <c r="H76" i="3"/>
  <c r="G76" i="3"/>
  <c r="F76" i="3"/>
  <c r="E76" i="3"/>
  <c r="D76" i="3"/>
  <c r="L78" i="3"/>
  <c r="E78" i="3"/>
  <c r="D78" i="3"/>
  <c r="F57" i="3"/>
  <c r="L62" i="3"/>
  <c r="K62" i="3"/>
  <c r="F62" i="3"/>
  <c r="E62" i="3"/>
  <c r="D62" i="3"/>
  <c r="L57" i="3"/>
  <c r="E57" i="3"/>
  <c r="D57" i="3"/>
  <c r="L51" i="3"/>
  <c r="K51" i="3"/>
  <c r="J51" i="3"/>
  <c r="I51" i="3"/>
  <c r="H51" i="3"/>
  <c r="G51" i="3"/>
  <c r="F51" i="3"/>
  <c r="E51" i="3"/>
  <c r="D51" i="3"/>
  <c r="C51" i="3"/>
  <c r="L36" i="3"/>
  <c r="M36" i="3" s="1"/>
  <c r="M41" i="3" s="1"/>
  <c r="K36" i="3"/>
  <c r="K41" i="3" s="1"/>
  <c r="J36" i="3"/>
  <c r="J41" i="3" s="1"/>
  <c r="I36" i="3"/>
  <c r="I41" i="3" s="1"/>
  <c r="H36" i="3"/>
  <c r="H41" i="3" s="1"/>
  <c r="G36" i="3"/>
  <c r="G41" i="3" s="1"/>
  <c r="F36" i="3"/>
  <c r="F41" i="3" s="1"/>
  <c r="E36" i="3"/>
  <c r="E41" i="3" s="1"/>
  <c r="D36" i="3"/>
  <c r="D41" i="3" s="1"/>
  <c r="C36" i="3"/>
  <c r="C41" i="3" s="1"/>
  <c r="M30" i="3"/>
  <c r="L30" i="3"/>
  <c r="K30" i="3"/>
  <c r="J30" i="3"/>
  <c r="I30" i="3"/>
  <c r="H30" i="3"/>
  <c r="G30" i="3"/>
  <c r="F30" i="3"/>
  <c r="E30" i="3"/>
  <c r="D30" i="3"/>
  <c r="C30" i="3"/>
  <c r="L24" i="3"/>
  <c r="K24" i="3"/>
  <c r="J24" i="3"/>
  <c r="I24" i="3"/>
  <c r="H24" i="3"/>
  <c r="G24" i="3"/>
  <c r="F24" i="3"/>
  <c r="E24" i="3"/>
  <c r="D24" i="3"/>
  <c r="C24" i="3"/>
  <c r="M24" i="3"/>
  <c r="M21" i="3"/>
  <c r="L21" i="3"/>
  <c r="K21" i="3"/>
  <c r="J21" i="3"/>
  <c r="I21" i="3"/>
  <c r="H21" i="3"/>
  <c r="G21" i="3"/>
  <c r="F21" i="3"/>
  <c r="E21" i="3"/>
  <c r="D21" i="3"/>
  <c r="C21" i="3"/>
  <c r="L15" i="3"/>
  <c r="K15" i="3"/>
  <c r="J15" i="3"/>
  <c r="I15" i="3"/>
  <c r="H15" i="3"/>
  <c r="G15" i="3"/>
  <c r="F15" i="3"/>
  <c r="E15" i="3"/>
  <c r="D15" i="3"/>
  <c r="C15" i="3"/>
  <c r="M9" i="3"/>
  <c r="L9" i="3"/>
  <c r="K9" i="3"/>
  <c r="J9" i="3"/>
  <c r="I9" i="3"/>
  <c r="H9" i="3"/>
  <c r="G9" i="3"/>
  <c r="F9" i="3"/>
  <c r="E9" i="3"/>
  <c r="D9" i="3"/>
  <c r="C9" i="3"/>
  <c r="M16" i="3"/>
  <c r="L3" i="3"/>
  <c r="D3" i="3"/>
  <c r="E3" i="3"/>
  <c r="F3" i="3"/>
  <c r="G3" i="3"/>
  <c r="H3" i="3"/>
  <c r="I3" i="3"/>
  <c r="J3" i="3"/>
  <c r="K3" i="3"/>
  <c r="C3" i="3"/>
  <c r="B2" i="3"/>
  <c r="K73" i="2"/>
  <c r="J73" i="2"/>
  <c r="I73" i="2"/>
  <c r="H73" i="2"/>
  <c r="K51" i="2"/>
  <c r="J51" i="2"/>
  <c r="I51" i="2"/>
  <c r="M18" i="3" s="1"/>
  <c r="H51" i="2"/>
  <c r="G51" i="2"/>
  <c r="F51" i="2"/>
  <c r="E51" i="2"/>
  <c r="D51" i="2"/>
  <c r="C51" i="2"/>
  <c r="B51" i="2"/>
  <c r="K34" i="2"/>
  <c r="J34" i="2"/>
  <c r="I34" i="2"/>
  <c r="H34" i="2"/>
  <c r="G34" i="2"/>
  <c r="F34" i="2"/>
  <c r="E34" i="2"/>
  <c r="D34" i="2"/>
  <c r="C34" i="2"/>
  <c r="B34" i="2"/>
  <c r="B15" i="2" s="1"/>
  <c r="K32" i="2"/>
  <c r="J32" i="2"/>
  <c r="I32" i="2"/>
  <c r="H32" i="2"/>
  <c r="G32" i="2"/>
  <c r="F32" i="2"/>
  <c r="E32" i="2"/>
  <c r="D32" i="2"/>
  <c r="C32" i="2"/>
  <c r="B32" i="2"/>
  <c r="K15" i="2"/>
  <c r="B6" i="2"/>
  <c r="E1" i="2"/>
  <c r="K105" i="3" l="1"/>
  <c r="E105" i="3"/>
  <c r="G105" i="3"/>
  <c r="H105" i="3"/>
  <c r="J105" i="3"/>
  <c r="I105" i="3"/>
  <c r="C105" i="3"/>
  <c r="H93" i="3"/>
  <c r="K93" i="3"/>
  <c r="I93" i="3"/>
  <c r="G93" i="3"/>
  <c r="G107" i="3" s="1"/>
  <c r="L93" i="3"/>
  <c r="L107" i="3" s="1"/>
  <c r="J93" i="3"/>
  <c r="E107" i="3"/>
  <c r="C93" i="3"/>
  <c r="F107" i="3"/>
  <c r="D107" i="3"/>
  <c r="G78" i="3"/>
  <c r="H78" i="3"/>
  <c r="K78" i="3"/>
  <c r="K107" i="3" s="1"/>
  <c r="I78" i="3"/>
  <c r="J78" i="3"/>
  <c r="C78" i="3"/>
  <c r="H62" i="3"/>
  <c r="G62" i="3"/>
  <c r="J62" i="3"/>
  <c r="I62" i="3"/>
  <c r="C62" i="3"/>
  <c r="K57" i="3"/>
  <c r="F64" i="3"/>
  <c r="F66" i="3" s="1"/>
  <c r="H57" i="3"/>
  <c r="I57" i="3"/>
  <c r="J57" i="3"/>
  <c r="C57" i="3"/>
  <c r="J64" i="3"/>
  <c r="J66" i="3" s="1"/>
  <c r="L64" i="3"/>
  <c r="L66" i="3" s="1"/>
  <c r="H64" i="3"/>
  <c r="H66" i="3" s="1"/>
  <c r="K64" i="3"/>
  <c r="K66" i="3" s="1"/>
  <c r="G64" i="3"/>
  <c r="G66" i="3" s="1"/>
  <c r="D64" i="3"/>
  <c r="D66" i="3" s="1"/>
  <c r="E64" i="3"/>
  <c r="E66" i="3" s="1"/>
  <c r="L41" i="3"/>
  <c r="F10" i="3"/>
  <c r="K12" i="3"/>
  <c r="K13" i="3" s="1"/>
  <c r="D10" i="3"/>
  <c r="M25" i="3"/>
  <c r="C12" i="3"/>
  <c r="C18" i="3" s="1"/>
  <c r="C19" i="3" s="1"/>
  <c r="J12" i="3"/>
  <c r="J13" i="3" s="1"/>
  <c r="C16" i="3"/>
  <c r="C22" i="3"/>
  <c r="K22" i="3"/>
  <c r="M27" i="3"/>
  <c r="K7" i="3"/>
  <c r="G16" i="3"/>
  <c r="E22" i="3"/>
  <c r="M22" i="3"/>
  <c r="F25" i="3"/>
  <c r="G7" i="3"/>
  <c r="L10" i="3"/>
  <c r="H16" i="3"/>
  <c r="G25" i="3"/>
  <c r="I7" i="3"/>
  <c r="G12" i="3"/>
  <c r="G22" i="3"/>
  <c r="H22" i="3"/>
  <c r="E16" i="3"/>
  <c r="F22" i="3"/>
  <c r="F16" i="3"/>
  <c r="L25" i="3"/>
  <c r="I10" i="3"/>
  <c r="J16" i="3"/>
  <c r="E10" i="3"/>
  <c r="I16" i="3"/>
  <c r="I22" i="3"/>
  <c r="F12" i="3"/>
  <c r="H10" i="3"/>
  <c r="M19" i="3"/>
  <c r="J10" i="3"/>
  <c r="K16" i="3"/>
  <c r="J22" i="3"/>
  <c r="J7" i="3"/>
  <c r="J25" i="3"/>
  <c r="D25" i="3"/>
  <c r="H25" i="3"/>
  <c r="D16" i="3"/>
  <c r="L16" i="3"/>
  <c r="C25" i="3"/>
  <c r="K25" i="3"/>
  <c r="L12" i="3"/>
  <c r="E12" i="3"/>
  <c r="D22" i="3"/>
  <c r="L22" i="3"/>
  <c r="D12" i="3"/>
  <c r="E25" i="3"/>
  <c r="D7" i="3"/>
  <c r="L7" i="3"/>
  <c r="G10" i="3"/>
  <c r="M10" i="3"/>
  <c r="E7" i="3"/>
  <c r="M7" i="3"/>
  <c r="F7" i="3"/>
  <c r="H12" i="3"/>
  <c r="I25" i="3"/>
  <c r="H7" i="3"/>
  <c r="C10" i="3"/>
  <c r="K10" i="3"/>
  <c r="I12" i="3"/>
  <c r="M12" i="3"/>
  <c r="M13" i="3" s="1"/>
  <c r="H107" i="3" l="1"/>
  <c r="I107" i="3"/>
  <c r="J107" i="3"/>
  <c r="C107" i="3"/>
  <c r="I64" i="3"/>
  <c r="I66" i="3" s="1"/>
  <c r="C64" i="3"/>
  <c r="C66" i="3" s="1"/>
  <c r="J18" i="3"/>
  <c r="C13" i="3"/>
  <c r="C27" i="3"/>
  <c r="C28" i="3" s="1"/>
  <c r="K18" i="3"/>
  <c r="K19" i="3" s="1"/>
  <c r="E18" i="3"/>
  <c r="E13" i="3"/>
  <c r="G18" i="3"/>
  <c r="G13" i="3"/>
  <c r="F18" i="3"/>
  <c r="F13" i="3"/>
  <c r="L18" i="3"/>
  <c r="L13" i="3"/>
  <c r="H18" i="3"/>
  <c r="H13" i="3"/>
  <c r="J19" i="3"/>
  <c r="J27" i="3"/>
  <c r="M31" i="3"/>
  <c r="M33" i="3"/>
  <c r="M28" i="3"/>
  <c r="I18" i="3"/>
  <c r="I13" i="3"/>
  <c r="D18" i="3"/>
  <c r="D13" i="3"/>
  <c r="C33" i="3" l="1"/>
  <c r="C34" i="3" s="1"/>
  <c r="C31" i="3"/>
  <c r="K27" i="3"/>
  <c r="K28" i="3" s="1"/>
  <c r="G19" i="3"/>
  <c r="G27" i="3"/>
  <c r="K33" i="3"/>
  <c r="F19" i="3"/>
  <c r="F27" i="3"/>
  <c r="I19" i="3"/>
  <c r="I27" i="3"/>
  <c r="J33" i="3"/>
  <c r="J28" i="3"/>
  <c r="J31" i="3"/>
  <c r="D19" i="3"/>
  <c r="D27" i="3"/>
  <c r="H19" i="3"/>
  <c r="H27" i="3"/>
  <c r="E19" i="3"/>
  <c r="E27" i="3"/>
  <c r="L19" i="3"/>
  <c r="L27" i="3"/>
  <c r="M34" i="3"/>
  <c r="M38" i="3"/>
  <c r="C38" i="3" l="1"/>
  <c r="K31" i="3"/>
  <c r="M44" i="3"/>
  <c r="M42" i="3"/>
  <c r="C42" i="3"/>
  <c r="C44" i="3" s="1"/>
  <c r="L31" i="3"/>
  <c r="L33" i="3"/>
  <c r="L28" i="3"/>
  <c r="K34" i="3"/>
  <c r="K38" i="3"/>
  <c r="E31" i="3"/>
  <c r="E33" i="3"/>
  <c r="E28" i="3"/>
  <c r="J38" i="3"/>
  <c r="J34" i="3"/>
  <c r="D31" i="3"/>
  <c r="D33" i="3"/>
  <c r="D28" i="3"/>
  <c r="F28" i="3"/>
  <c r="F33" i="3"/>
  <c r="F31" i="3"/>
  <c r="H28" i="3"/>
  <c r="H31" i="3"/>
  <c r="H33" i="3"/>
  <c r="G33" i="3"/>
  <c r="G28" i="3"/>
  <c r="G31" i="3"/>
  <c r="I33" i="3"/>
  <c r="I28" i="3"/>
  <c r="I31" i="3"/>
  <c r="J44" i="3" l="1"/>
  <c r="J39" i="3"/>
  <c r="J42" i="3"/>
  <c r="K39" i="3"/>
  <c r="K44" i="3"/>
  <c r="K42" i="3"/>
  <c r="F34" i="3"/>
  <c r="F38" i="3"/>
  <c r="I38" i="3"/>
  <c r="I34" i="3"/>
  <c r="D38" i="3"/>
  <c r="D34" i="3"/>
  <c r="H34" i="3"/>
  <c r="H38" i="3"/>
  <c r="E34" i="3"/>
  <c r="E38" i="3"/>
  <c r="G34" i="3"/>
  <c r="G38" i="3"/>
  <c r="L38" i="3"/>
  <c r="L34" i="3"/>
  <c r="E39" i="3" l="1"/>
  <c r="E42" i="3"/>
  <c r="E44" i="3" s="1"/>
  <c r="H39" i="3"/>
  <c r="H42" i="3"/>
  <c r="H44" i="3" s="1"/>
  <c r="G39" i="3"/>
  <c r="G42" i="3"/>
  <c r="G44" i="3" s="1"/>
  <c r="I44" i="3"/>
  <c r="I39" i="3"/>
  <c r="I42" i="3"/>
  <c r="F39" i="3"/>
  <c r="F42" i="3"/>
  <c r="F44" i="3"/>
  <c r="L39" i="3"/>
  <c r="L44" i="3"/>
  <c r="L42" i="3"/>
  <c r="M39" i="3"/>
  <c r="D39" i="3"/>
  <c r="D42" i="3"/>
  <c r="D44" i="3" s="1"/>
</calcChain>
</file>

<file path=xl/sharedStrings.xml><?xml version="1.0" encoding="utf-8"?>
<sst xmlns="http://schemas.openxmlformats.org/spreadsheetml/2006/main" count="221" uniqueCount="137">
  <si>
    <t>COMPANY NAME</t>
  </si>
  <si>
    <t>TATA MOTORS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</si>
  <si>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</si>
  <si>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</si>
  <si>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</si>
  <si>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</si>
  <si>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</si>
  <si>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</si>
  <si>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</si>
  <si>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</si>
  <si>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</si>
  <si>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</si>
  <si>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</si>
  <si>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</si>
  <si>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</si>
  <si>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</si>
  <si>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</si>
  <si>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</si>
  <si>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</si>
  <si>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</si>
  <si>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</si>
  <si>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</si>
  <si>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</si>
  <si>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</si>
  <si>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</si>
  <si>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</si>
  <si>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</si>
  <si>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</si>
  <si>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>EBITDA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</si>
  <si>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</si>
  <si>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</si>
  <si>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</si>
  <si>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</si>
  <si>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</si>
  <si>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</si>
  <si>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</si>
  <si>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</si>
  <si>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</si>
  <si>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</si>
  <si>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</si>
  <si>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</si>
  <si>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</si>
  <si>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</si>
  <si>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</si>
  <si>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</si>
  <si>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</si>
  <si>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</si>
  <si>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</si>
  <si>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</si>
  <si>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</si>
  <si>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</si>
  <si>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</si>
  <si>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</si>
  <si>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</si>
  <si>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</si>
  <si>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</si>
  <si>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</si>
  <si>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</si>
  <si>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Income Statement</t>
  </si>
  <si>
    <t>#</t>
  </si>
  <si>
    <t>Sales Growth</t>
  </si>
  <si>
    <t>-</t>
  </si>
  <si>
    <t>COGS</t>
  </si>
  <si>
    <t>COGS % Sales</t>
  </si>
  <si>
    <t>Gross Profit</t>
  </si>
  <si>
    <t>Selling &amp; General Expenses</t>
  </si>
  <si>
    <t>S&amp;G Exp % Sales</t>
  </si>
  <si>
    <t>EBITDA Margins</t>
  </si>
  <si>
    <t>Interest % Sales</t>
  </si>
  <si>
    <t>Depreciation%Sales</t>
  </si>
  <si>
    <t>Gross Margins</t>
  </si>
  <si>
    <t>Earnings Before Tax</t>
  </si>
  <si>
    <t>EBT % Sales</t>
  </si>
  <si>
    <t>Net Profit</t>
  </si>
  <si>
    <t>Net Margins</t>
  </si>
  <si>
    <t>No of Equity Shares</t>
  </si>
  <si>
    <t>Dividend per Share</t>
  </si>
  <si>
    <t>Earnings per Share</t>
  </si>
  <si>
    <t>EPS Growth %</t>
  </si>
  <si>
    <t>Dividend payout ratio</t>
  </si>
  <si>
    <t>Retained Earnings</t>
  </si>
  <si>
    <t>Balance Sheet</t>
  </si>
  <si>
    <t>Total Liabilities</t>
  </si>
  <si>
    <t>Total Non Current Assets</t>
  </si>
  <si>
    <t>Total Current Assets</t>
  </si>
  <si>
    <t>Total Assets</t>
  </si>
  <si>
    <t>Check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</si>
  <si>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</si>
  <si>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</si>
  <si>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</si>
  <si>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</si>
  <si>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</si>
  <si>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</si>
  <si>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</si>
  <si>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</si>
  <si>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</si>
  <si>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</si>
  <si>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</si>
  <si>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</si>
  <si>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 in subsidiaries</t>
  </si>
  <si>
    <t>Investment in group cos</t>
  </si>
  <si>
    <t>Redemp n Canc of Shares</t>
  </si>
  <si>
    <t>Acquisition of companies</t>
  </si>
  <si>
    <t>Inter corporate deposits</t>
  </si>
  <si>
    <t>Other investing items</t>
  </si>
  <si>
    <t>Proceeds from shares</t>
  </si>
  <si>
    <t>Redemption of debentures</t>
  </si>
  <si>
    <t>Proceeds from borrowings</t>
  </si>
  <si>
    <t>Repayment of borrowings</t>
  </si>
  <si>
    <t>Proceeds from deposits</t>
  </si>
  <si>
    <t>Interest paid fin</t>
  </si>
  <si>
    <t>Dividends paid</t>
  </si>
  <si>
    <t>Financial liabilities</t>
  </si>
  <si>
    <t>Other financing items</t>
  </si>
  <si>
    <t>Cash from Operating Activity -</t>
  </si>
  <si>
    <t>Cash from Investing Activity -</t>
  </si>
  <si>
    <t>Cash from Financing Activity -</t>
  </si>
  <si>
    <t>Cash Flow Statements</t>
  </si>
  <si>
    <t>Cash from Operating Activities</t>
  </si>
  <si>
    <t>Operating Activities</t>
  </si>
  <si>
    <t>Investing Activities</t>
  </si>
  <si>
    <t>Cash from Investing Activities</t>
  </si>
  <si>
    <t>Financing Activities</t>
  </si>
  <si>
    <t>Cash from Financing Activities</t>
  </si>
  <si>
    <t>Mar-13</t>
  </si>
  <si>
    <t>Mar-14</t>
  </si>
  <si>
    <t>Mar-15</t>
  </si>
  <si>
    <t>Mar-16</t>
  </si>
  <si>
    <t>Mar-17</t>
  </si>
  <si>
    <t>Mar-18</t>
  </si>
  <si>
    <t>Mar-19</t>
  </si>
  <si>
    <t>Mar-20</t>
  </si>
  <si>
    <t>Mar-21</t>
  </si>
  <si>
    <t>Mar-22</t>
  </si>
  <si>
    <t>CF</t>
  </si>
  <si>
    <t>Mar-11</t>
  </si>
  <si>
    <t>Mar-12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</si>
</sst>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&quot;₹&quot;\ #,##0.0;\(&quot;₹&quot;\ #,##0.0\);\-"/>
    <numFmt numFmtId="167" formatCode="&quot;₹&quot;\ #,##0.00"/>
  </numFmts>
  <fonts count="15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</font>
    <font>
      <i/>
      <sz val="11"/>
      <color theme="0" tint="-0.49998474074526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2" borderId="0" applyNumberFormat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2" fillId="0" borderId="0"/>
  </cellStyleXfs>
  <cellXfs count="33">
    <xf numFmtId="0" fontId="0" fillId="0" borderId="0" xfId="0"/>
    <xf numFmtId="164" fontId="6" fillId="0" borderId="0" xfId="2" applyFont="1" applyBorder="1"/>
    <xf numFmtId="164" fontId="8" fillId="0" borderId="0" xfId="2" applyFont="1" applyBorder="1"/>
    <xf numFmtId="0" fontId="8" fillId="0" borderId="0" xfId="5" applyFont="1"/>
    <xf numFmtId="165" fontId="10" fillId="3" borderId="0" xfId="2" applyNumberFormat="1" applyFont="1" applyFill="1" applyBorder="1"/>
    <xf numFmtId="165" fontId="10" fillId="3" borderId="0" xfId="5" applyNumberFormat="1" applyFont="1" applyFill="1" applyAlignment="1">
      <alignment horizontal="center"/>
    </xf>
    <xf numFmtId="165" fontId="11" fillId="0" borderId="0" xfId="2" applyNumberFormat="1" applyFont="1" applyFill="1" applyBorder="1"/>
    <xf numFmtId="0" fontId="5" fillId="0" borderId="0" xfId="5"/>
    <xf numFmtId="9" fontId="8" fillId="0" borderId="0" xfId="6" applyFont="1" applyBorder="1"/>
    <xf numFmtId="0" fontId="12" fillId="0" borderId="0" xfId="7"/>
    <xf numFmtId="43" fontId="8" fillId="0" borderId="0" xfId="2" applyNumberFormat="1" applyFont="1" applyBorder="1"/>
    <xf numFmtId="17" fontId="0" fillId="0" borderId="0" xfId="0" applyNumberFormat="1"/>
    <xf numFmtId="0" fontId="2" fillId="4" borderId="0" xfId="0" applyFont="1" applyFill="1"/>
    <xf numFmtId="17" fontId="2" fillId="4" borderId="0" xfId="0" applyNumberFormat="1" applyFont="1" applyFill="1"/>
    <xf numFmtId="17" fontId="2" fillId="4" borderId="0" xfId="0" applyNumberFormat="1" applyFont="1" applyFill="1" applyAlignment="1">
      <alignment horizontal="right"/>
    </xf>
    <xf numFmtId="0" fontId="3" fillId="0" borderId="0" xfId="0" applyFont="1"/>
    <xf numFmtId="166" fontId="0" fillId="0" borderId="0" xfId="0" applyNumberFormat="1"/>
    <xf numFmtId="10" fontId="0" fillId="0" borderId="0" xfId="1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right"/>
    </xf>
    <xf numFmtId="10" fontId="14" fillId="0" borderId="0" xfId="1" applyNumberFormat="1" applyFont="1"/>
    <xf numFmtId="167" fontId="0" fillId="0" borderId="0" xfId="0" applyNumberFormat="1"/>
    <xf numFmtId="0" fontId="2" fillId="0" borderId="0" xfId="0" applyFont="1"/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0" fontId="3" fillId="5" borderId="0" xfId="0" applyFont="1" applyFill="1"/>
    <xf numFmtId="0" fontId="0" fillId="5" borderId="0" xfId="0" applyFill="1"/>
    <xf numFmtId="166" fontId="3" fillId="0" borderId="0" xfId="0" applyNumberFormat="1" applyFont="1"/>
    <xf numFmtId="3" fontId="0" fillId="0" borderId="0" xfId="0" applyNumberFormat="1"/>
    <xf numFmtId="0" fontId="2" fillId="4" borderId="0" xfId="0" applyFont="1" applyFill="1" applyAlignment="1">
      <alignment horizontal="center"/>
    </xf>
    <xf numFmtId="164" fontId="7" fillId="0" borderId="0" xfId="3" applyNumberFormat="1" applyFont="1" applyBorder="1" applyAlignment="1" applyProtection="1">
      <alignment horizontal="center"/>
    </xf>
    <xf numFmtId="164" fontId="10" fillId="2" borderId="0" xfId="4" applyNumberFormat="1" applyFont="1" applyBorder="1" applyAlignment="1">
      <alignment horizontal="center"/>
    </xf>
  </cellXfs>
  <cellStyles count="8">
    <cellStyle name="Accent6 2" xfId="4" xr:uid="{BBDB2BF0-232B-4C01-AC19-E13AE7790424}"/>
    <cellStyle name="Comma 2" xfId="2" xr:uid="{177753BF-8FC0-47C2-A09D-659D00B32ED6}"/>
    <cellStyle name="Hyperlink 2" xfId="3" xr:uid="{7C8B96FE-EF46-46CA-837F-CBE11AA9368D}"/>
    <cellStyle name="Normal" xfId="0" builtinId="0"/>
    <cellStyle name="Normal 2" xfId="7" xr:uid="{2080FAEF-89A5-4CB3-B948-0E63B4C07C78}"/>
    <cellStyle name="Normal 3" xfId="5" xr:uid="{D9D406C4-520E-4DB0-A06B-D346019C8727}"/>
    <cellStyle name="Percent" xfId="1" builtinId="5"/>
    <cellStyle name="Percent 3" xfId="6" xr:uid="{7B1B12B2-B1C6-4898-946F-9C0F047CCCB8}"/>
  </cellStyles>
  <dxfs count="34">
    <dxf>
      <numFmt numFmtId="22" formatCode="mmm\-yy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165" formatCode="[$-409]mmm\-yy;@"/>
      <fill>
        <patternFill patternType="solid">
          <fgColor indexed="64"/>
          <bgColor rgb="FF0275D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numFmt numFmtId="165" formatCode="[$-409]mmm\-yy;@"/>
      <fill>
        <patternFill patternType="solid">
          <fgColor indexed="64"/>
          <bgColor rgb="FF0275D8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1ABEB6-B162-694A-B7B9-6FE9BA1AD08C}" name="Balance" displayName="Balance" ref="A16:K35" totalsRowShown="0" headerRowDxfId="20" dataDxfId="21" headerRowCellStyle="Normal 3" dataCellStyle="Comma 2">
  <autoFilter ref="A16:K35" xr:uid="{231ABEB6-B162-694A-B7B9-6FE9BA1AD08C}"/>
  <tableColumns count="11">
    <tableColumn id="1" xr3:uid="{ABAB8896-35E5-0743-BCAB-C1E58BFD112E}" name="Report Date" dataDxfId="32" dataCellStyle="Comma 2"/>
    <tableColumn id="2" xr3:uid="{4E706A03-2C4A-954A-8D4E-9F0759FD5C37}" name="Mar-13" dataDxfId="31" dataCellStyle="Comma 2"/>
    <tableColumn id="3" xr3:uid="{85430035-5016-2F44-BA59-511631DDB09B}" name="Mar-14" dataDxfId="30" dataCellStyle="Comma 2"/>
    <tableColumn id="4" xr3:uid="{432670CF-7689-4C40-8AEE-E6AAA07E2A0D}" name="Mar-15" dataDxfId="29" dataCellStyle="Comma 2"/>
    <tableColumn id="5" xr3:uid="{5D8A00DF-0DB7-8E44-A1D7-55AD54FF84B1}" name="Mar-16" dataDxfId="28" dataCellStyle="Comma 2"/>
    <tableColumn id="6" xr3:uid="{B240B171-F489-2E41-AB5E-88EF2C6160AD}" name="Mar-17" dataDxfId="27" dataCellStyle="Comma 2"/>
    <tableColumn id="7" xr3:uid="{A302898D-6DAE-734D-95D9-7E3B232A91A6}" name="Mar-18" dataDxfId="26" dataCellStyle="Comma 2"/>
    <tableColumn id="8" xr3:uid="{BE0327C8-A5B0-2645-915B-BAA79375D1FC}" name="Mar-19" dataDxfId="25" dataCellStyle="Comma 2"/>
    <tableColumn id="9" xr3:uid="{7654C760-D644-084D-9D32-A81F04066AD6}" name="Mar-20" dataDxfId="24" dataCellStyle="Comma 2"/>
    <tableColumn id="10" xr3:uid="{06E0A018-5F9C-8145-8CF3-0BFAEC20DCE6}" name="Mar-21" dataDxfId="23" dataCellStyle="Comma 2"/>
    <tableColumn id="11" xr3:uid="{76CD7FED-9124-A142-918D-54AA50641C07}" name="Mar-22" dataDxfId="22" dataCellStyle="Comma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53F73B-65CC-0F4F-A947-59FFB605F156}" name="Balance2" displayName="Balance2" ref="A56:K73" totalsRowShown="0" headerRowDxfId="7" dataDxfId="8" headerRowCellStyle="Normal 3" dataCellStyle="Normal 3">
  <autoFilter ref="A56:K73" xr:uid="{2C53F73B-65CC-0F4F-A947-59FFB605F156}"/>
  <tableColumns count="11">
    <tableColumn id="1" xr3:uid="{430BA6DA-E9E9-D943-8545-992776ECE686}" name="Report Date" dataDxfId="19" dataCellStyle="Comma 2"/>
    <tableColumn id="2" xr3:uid="{97AAABBF-E7F5-9B45-8DDF-95A643431F87}" name="Mar-13" dataDxfId="18" dataCellStyle="Normal 3"/>
    <tableColumn id="3" xr3:uid="{429A1A6B-ED98-8745-ACC0-5B4403204ADD}" name="Mar-14" dataDxfId="17" dataCellStyle="Normal 3"/>
    <tableColumn id="4" xr3:uid="{3B8E5C1E-CE35-7D4F-AF5F-14A320BA8848}" name="Mar-15" dataDxfId="16" dataCellStyle="Normal 3"/>
    <tableColumn id="5" xr3:uid="{1D356495-4316-904C-BB7E-CA99C29930FB}" name="Mar-16" dataDxfId="15" dataCellStyle="Normal 3"/>
    <tableColumn id="6" xr3:uid="{CB5DB86C-57D2-584E-BB69-60F19121E5D2}" name="Mar-17" dataDxfId="14" dataCellStyle="Normal 3"/>
    <tableColumn id="7" xr3:uid="{3499AC13-F6ED-074F-BB55-A537FEB5151D}" name="Mar-18" dataDxfId="13" dataCellStyle="Normal 3"/>
    <tableColumn id="8" xr3:uid="{2256C2C5-050C-6243-8A9E-581D32F02840}" name="Mar-19" dataDxfId="12" dataCellStyle="Normal 3"/>
    <tableColumn id="9" xr3:uid="{AD73E7F9-341B-2144-AB33-1490D6A12427}" name="Mar-20" dataDxfId="11" dataCellStyle="Normal 3"/>
    <tableColumn id="10" xr3:uid="{66EA0C85-2C2E-8D44-A1D2-82DEE072BFDF}" name="Mar-21" dataDxfId="10" dataCellStyle="Normal 3"/>
    <tableColumn id="11" xr3:uid="{F2BDA850-1F40-1748-B376-ED616538BF9A}" name="Mar-22" dataDxfId="9" dataCellStyle="Normal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64FF32-49B1-9B41-8099-67C7C72290BD}" name="CF" displayName="CF" ref="B2:N35" totalsRowShown="0" headerRowDxfId="0">
  <autoFilter ref="B2:N35" xr:uid="{6D64FF32-49B1-9B41-8099-67C7C72290BD}"/>
  <tableColumns count="13">
    <tableColumn id="1" xr3:uid="{C78D565A-194F-9147-818C-859D3F491FF6}" name="CF"/>
    <tableColumn id="2" xr3:uid="{668A4E59-D542-3342-A678-4DE7EF72D18C}" name="Mar-11" dataDxfId="6"/>
    <tableColumn id="3" xr3:uid="{093EFA24-3CD9-C749-91F8-1B157D3A6361}" name="Mar-12" dataDxfId="5"/>
    <tableColumn id="4" xr3:uid="{A4E5242E-5986-D444-A102-AD75A42F1D02}" name="Mar-13" dataDxfId="4"/>
    <tableColumn id="5" xr3:uid="{D8A479E2-206E-F94C-A480-A530B8B8B1D5}" name="Mar-14"/>
    <tableColumn id="6" xr3:uid="{863CEAEB-5CFD-F542-9D08-F4C8CB7B89CF}" name="Mar-15"/>
    <tableColumn id="7" xr3:uid="{07699499-0DD0-554B-88B3-E050A302DB6C}" name="Mar-16"/>
    <tableColumn id="8" xr3:uid="{152A1F3E-EFE0-C848-89CD-3ED209EF235E}" name="Mar-17"/>
    <tableColumn id="9" xr3:uid="{6EC29E36-99D5-F448-96B8-B8EACB9D56F4}" name="Mar-18"/>
    <tableColumn id="10" xr3:uid="{35D49A04-E89D-3042-95E2-B896F46A8DC0}" name="Mar-19"/>
    <tableColumn id="11" xr3:uid="{17B91BA9-DFCF-EA49-8946-4735608BD803}" name="Mar-20" dataDxfId="3"/>
    <tableColumn id="12" xr3:uid="{83FA8C85-21F3-064A-A7D0-B7FDE5FDB016}" name="Mar-21" dataDxfId="2"/>
    <tableColumn id="13" xr3:uid="{9D46E80C-D145-7340-911C-93F77F430F22}" name="Mar-22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5E12-E142-48AD-908C-A9ADB1403414}">
  <dimension ref="A2:M107"/>
  <sheetViews>
    <sheetView showGridLines="0" tabSelected="1" workbookViewId="0">
      <pane ySplit="3" topLeftCell="A4" activePane="bottomLeft" state="frozen"/>
      <selection pane="bottomLeft" activeCell="C104" sqref="C104:L104"/>
    </sheetView>
  </sheetViews>
  <sheetFormatPr baseColWidth="10" defaultColWidth="8.83203125" defaultRowHeight="15" x14ac:dyDescent="0.2"/>
  <cols>
    <col min="1" max="1" width="1.83203125" customWidth="1"/>
    <col min="2" max="2" width="28.5" bestFit="1" customWidth="1"/>
    <col min="3" max="13" width="13" customWidth="1"/>
  </cols>
  <sheetData>
    <row r="2" spans="1:13" x14ac:dyDescent="0.2">
      <c r="B2" s="30" t="str">
        <f>"Historical Financial Statement - "&amp;'Data Sheet'!B1</f>
        <v>Historical Financial Statement - TATA MOTORS LTD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x14ac:dyDescent="0.2">
      <c r="B3" s="12" t="s">
        <v>56</v>
      </c>
      <c r="C3" s="13" t="str">
        <f>'Data Sheet'!B16</f>
        <v>Mar-13</v>
      </c>
      <c r="D3" s="13" t="str">
        <f>'Data Sheet'!C16</f>
        <v>Mar-14</v>
      </c>
      <c r="E3" s="13" t="str">
        <f>'Data Sheet'!D16</f>
        <v>Mar-15</v>
      </c>
      <c r="F3" s="13" t="str">
        <f>'Data Sheet'!E16</f>
        <v>Mar-16</v>
      </c>
      <c r="G3" s="13" t="str">
        <f>'Data Sheet'!F16</f>
        <v>Mar-17</v>
      </c>
      <c r="H3" s="13" t="str">
        <f>'Data Sheet'!G16</f>
        <v>Mar-18</v>
      </c>
      <c r="I3" s="13" t="str">
        <f>'Data Sheet'!H16</f>
        <v>Mar-19</v>
      </c>
      <c r="J3" s="13" t="str">
        <f>'Data Sheet'!I16</f>
        <v>Mar-20</v>
      </c>
      <c r="K3" s="13" t="str">
        <f>'Data Sheet'!J16</f>
        <v>Mar-21</v>
      </c>
      <c r="L3" s="13" t="str">
        <f>'Data Sheet'!K16</f>
        <v>Mar-22</v>
      </c>
      <c r="M3" s="14" t="s">
        <v>57</v>
      </c>
    </row>
    <row r="4" spans="1:13" x14ac:dyDescent="0.2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5"/>
    </row>
    <row r="5" spans="1:13" x14ac:dyDescent="0.2">
      <c r="A5" t="s">
        <v>59</v>
      </c>
      <c r="B5" s="26" t="s">
        <v>58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</row>
    <row r="6" spans="1:13" x14ac:dyDescent="0.2">
      <c r="B6" t="s">
        <v>12</v>
      </c>
      <c r="C6" s="16">
        <f>IFERROR(VLOOKUP($B$6,Balance[#All],MATCH(C3,'Data Sheet'!$A$16:$K$16,0),FALSE),0)</f>
        <v>188792.69</v>
      </c>
      <c r="D6" s="16">
        <f>IFERROR(VLOOKUP($B$6,Balance[#All],MATCH(D3,'Data Sheet'!$A$16:$K$16,0),FALSE),0)</f>
        <v>232833.66</v>
      </c>
      <c r="E6" s="16">
        <f>IFERROR(VLOOKUP($B$6,Balance[#All],MATCH(E3,'Data Sheet'!$A$16:$K$16,0),FALSE),0)</f>
        <v>263158.98</v>
      </c>
      <c r="F6" s="16">
        <f>IFERROR(VLOOKUP($B$6,Balance[#All],MATCH(F3,'Data Sheet'!$A$16:$K$16,0),FALSE),0)</f>
        <v>273045.59999999998</v>
      </c>
      <c r="G6" s="16">
        <f>IFERROR(VLOOKUP($B$6,Balance[#All],MATCH(G3,'Data Sheet'!$A$16:$K$16,0),FALSE),0)</f>
        <v>269692.51</v>
      </c>
      <c r="H6" s="16">
        <f>IFERROR(VLOOKUP($B$6,Balance[#All],MATCH(H3,'Data Sheet'!$A$16:$K$16,0),FALSE),0)</f>
        <v>291550.48</v>
      </c>
      <c r="I6" s="16">
        <f>IFERROR(VLOOKUP($B$6,Balance[#All],MATCH(I3,'Data Sheet'!$A$16:$K$16,0),FALSE),0)</f>
        <v>301938.40000000002</v>
      </c>
      <c r="J6" s="16">
        <f>IFERROR(VLOOKUP($B$6,Balance[#All],MATCH(J3,'Data Sheet'!$A$16:$K$16,0),FALSE),0)</f>
        <v>261067.97</v>
      </c>
      <c r="K6" s="16">
        <f>IFERROR(VLOOKUP($B$6,Balance[#All],MATCH(K3,'Data Sheet'!$A$16:$K$16,0),FALSE),0)</f>
        <v>249794.75</v>
      </c>
      <c r="L6" s="16">
        <f>IFERROR(VLOOKUP($B$6,Balance[#All],MATCH(L3,'Data Sheet'!$A$16:$K$16,0),FALSE),0)</f>
        <v>278453.62</v>
      </c>
      <c r="M6" s="16">
        <f>IFERROR(SUM('Data Sheet'!I42:K42),0)</f>
        <v>229985.09</v>
      </c>
    </row>
    <row r="7" spans="1:13" x14ac:dyDescent="0.2">
      <c r="B7" s="19" t="s">
        <v>60</v>
      </c>
      <c r="C7" s="20" t="s">
        <v>61</v>
      </c>
      <c r="D7" s="21">
        <f>D6/C6-1</f>
        <v>0.23327688164197458</v>
      </c>
      <c r="E7" s="21">
        <f t="shared" ref="E7:M7" si="0">E6/D6-1</f>
        <v>0.13024457030826198</v>
      </c>
      <c r="F7" s="21">
        <f t="shared" si="0"/>
        <v>3.75690010654397E-2</v>
      </c>
      <c r="G7" s="21">
        <f t="shared" si="0"/>
        <v>-1.2280329732469508E-2</v>
      </c>
      <c r="H7" s="21">
        <f t="shared" si="0"/>
        <v>8.104774581985974E-2</v>
      </c>
      <c r="I7" s="21">
        <f t="shared" si="0"/>
        <v>3.5629919045237157E-2</v>
      </c>
      <c r="J7" s="21">
        <f t="shared" si="0"/>
        <v>-0.135360159555724</v>
      </c>
      <c r="K7" s="21">
        <f t="shared" si="0"/>
        <v>-4.3181168490336042E-2</v>
      </c>
      <c r="L7" s="21">
        <f t="shared" si="0"/>
        <v>0.11472967306158344</v>
      </c>
      <c r="M7" s="21">
        <f t="shared" si="0"/>
        <v>-0.1740632066482023</v>
      </c>
    </row>
    <row r="9" spans="1:13" x14ac:dyDescent="0.2">
      <c r="B9" t="s">
        <v>62</v>
      </c>
      <c r="C9" s="16">
        <f>IFERROR(SUM('Data Sheet'!B18,'Data Sheet'!B20:B22)-1*'Data Sheet'!B19,0)</f>
        <v>142238.74</v>
      </c>
      <c r="D9" s="16">
        <f>IFERROR(SUM('Data Sheet'!C18,'Data Sheet'!C20:C22)-1*'Data Sheet'!C19,0)</f>
        <v>180131.06000000003</v>
      </c>
      <c r="E9" s="16">
        <f>IFERROR(SUM('Data Sheet'!D18,'Data Sheet'!D20:D22)-1*'Data Sheet'!D19,0)</f>
        <v>202856.88</v>
      </c>
      <c r="F9" s="16">
        <f>IFERROR(SUM('Data Sheet'!E18,'Data Sheet'!E20:E22)-1*'Data Sheet'!E19,0)</f>
        <v>205509.07</v>
      </c>
      <c r="G9" s="16">
        <f>IFERROR(SUM('Data Sheet'!F18,'Data Sheet'!F20:F22)-1*'Data Sheet'!F19,0)</f>
        <v>205454.23999999996</v>
      </c>
      <c r="H9" s="16">
        <f>IFERROR(SUM('Data Sheet'!G18,'Data Sheet'!G20:G22)-1*'Data Sheet'!G19,0)</f>
        <v>228429.83</v>
      </c>
      <c r="I9" s="16">
        <f>IFERROR(SUM('Data Sheet'!H18,'Data Sheet'!H20:H22)-1*'Data Sheet'!H19,0)</f>
        <v>242845.53</v>
      </c>
      <c r="J9" s="16">
        <f>IFERROR(SUM('Data Sheet'!I18,'Data Sheet'!I20:I22)-1*'Data Sheet'!I19,0)</f>
        <v>210376.07000000004</v>
      </c>
      <c r="K9" s="16">
        <f>IFERROR(SUM('Data Sheet'!J18,'Data Sheet'!J20:J22)-1*'Data Sheet'!J19,0)</f>
        <v>195326.04</v>
      </c>
      <c r="L9" s="16">
        <f>IFERROR(SUM('Data Sheet'!K18,'Data Sheet'!K20:K22)-1*'Data Sheet'!K19,0)</f>
        <v>223300.00999999998</v>
      </c>
      <c r="M9" s="16">
        <f>IFERROR(SUM('Data Sheet'!H43:K43),0)</f>
        <v>278868.53000000003</v>
      </c>
    </row>
    <row r="10" spans="1:13" x14ac:dyDescent="0.2">
      <c r="B10" s="19" t="s">
        <v>63</v>
      </c>
      <c r="C10" s="21">
        <f>C9/C6</f>
        <v>0.75341232756416565</v>
      </c>
      <c r="D10" s="21">
        <f t="shared" ref="D10:M10" si="1">D9/D6</f>
        <v>0.77364698901353024</v>
      </c>
      <c r="E10" s="21">
        <f t="shared" si="1"/>
        <v>0.77085296500237244</v>
      </c>
      <c r="F10" s="21">
        <f t="shared" si="1"/>
        <v>0.75265475803309057</v>
      </c>
      <c r="G10" s="21">
        <f t="shared" si="1"/>
        <v>0.76180921746770036</v>
      </c>
      <c r="H10" s="21">
        <f t="shared" si="1"/>
        <v>0.78350009919380004</v>
      </c>
      <c r="I10" s="21">
        <f t="shared" si="1"/>
        <v>0.80428832503583503</v>
      </c>
      <c r="J10" s="21">
        <f t="shared" si="1"/>
        <v>0.80582872728508226</v>
      </c>
      <c r="K10" s="21">
        <f t="shared" si="1"/>
        <v>0.7819461377791167</v>
      </c>
      <c r="L10" s="21">
        <f t="shared" si="1"/>
        <v>0.80192891728252624</v>
      </c>
      <c r="M10" s="21">
        <f t="shared" si="1"/>
        <v>1.2125504744677145</v>
      </c>
    </row>
    <row r="12" spans="1:13" x14ac:dyDescent="0.2">
      <c r="B12" t="s">
        <v>64</v>
      </c>
      <c r="C12" s="22">
        <f>C6-C9</f>
        <v>46553.950000000012</v>
      </c>
      <c r="D12" s="22">
        <f t="shared" ref="D12:M12" si="2">D6-D9</f>
        <v>52702.599999999977</v>
      </c>
      <c r="E12" s="22">
        <f t="shared" si="2"/>
        <v>60302.099999999977</v>
      </c>
      <c r="F12" s="22">
        <f t="shared" si="2"/>
        <v>67536.52999999997</v>
      </c>
      <c r="G12" s="22">
        <f t="shared" si="2"/>
        <v>64238.270000000048</v>
      </c>
      <c r="H12" s="22">
        <f t="shared" si="2"/>
        <v>63120.649999999994</v>
      </c>
      <c r="I12" s="22">
        <f t="shared" si="2"/>
        <v>59092.870000000024</v>
      </c>
      <c r="J12" s="22">
        <f t="shared" si="2"/>
        <v>50691.899999999965</v>
      </c>
      <c r="K12" s="22">
        <f t="shared" si="2"/>
        <v>54468.709999999992</v>
      </c>
      <c r="L12" s="22">
        <f t="shared" si="2"/>
        <v>55153.610000000015</v>
      </c>
      <c r="M12" s="22">
        <f t="shared" si="2"/>
        <v>-48883.440000000031</v>
      </c>
    </row>
    <row r="13" spans="1:13" x14ac:dyDescent="0.2">
      <c r="B13" s="19" t="s">
        <v>70</v>
      </c>
      <c r="C13" s="21">
        <f>C12/C6</f>
        <v>0.24658767243583429</v>
      </c>
      <c r="D13" s="21">
        <f t="shared" ref="D13:M13" si="3">D12/D6</f>
        <v>0.22635301098646982</v>
      </c>
      <c r="E13" s="21">
        <f t="shared" si="3"/>
        <v>0.22914703499762759</v>
      </c>
      <c r="F13" s="21">
        <f t="shared" si="3"/>
        <v>0.24734524196690946</v>
      </c>
      <c r="G13" s="21">
        <f t="shared" si="3"/>
        <v>0.23819078253229964</v>
      </c>
      <c r="H13" s="21">
        <f t="shared" si="3"/>
        <v>0.21649990080619999</v>
      </c>
      <c r="I13" s="21">
        <f t="shared" si="3"/>
        <v>0.19571167496416494</v>
      </c>
      <c r="J13" s="21">
        <f t="shared" si="3"/>
        <v>0.19417127271491774</v>
      </c>
      <c r="K13" s="21">
        <f t="shared" si="3"/>
        <v>0.2180538622208833</v>
      </c>
      <c r="L13" s="21">
        <f t="shared" si="3"/>
        <v>0.19807108271747378</v>
      </c>
      <c r="M13" s="21">
        <f t="shared" si="3"/>
        <v>-0.21255047446771455</v>
      </c>
    </row>
    <row r="15" spans="1:13" x14ac:dyDescent="0.2">
      <c r="B15" t="s">
        <v>65</v>
      </c>
      <c r="C15" s="22">
        <f>IFERROR(SUM('Data Sheet'!B23:B24),0)</f>
        <v>21957.97</v>
      </c>
      <c r="D15" s="22">
        <f>IFERROR(SUM('Data Sheet'!C23:C24),0)</f>
        <v>17849.240000000002</v>
      </c>
      <c r="E15" s="22">
        <f>IFERROR(SUM('Data Sheet'!D23:D24),0)</f>
        <v>21063.449999999997</v>
      </c>
      <c r="F15" s="22">
        <f>IFERROR(SUM('Data Sheet'!E23:E24),0)</f>
        <v>29141.280000000002</v>
      </c>
      <c r="G15" s="22">
        <f>IFERROR(SUM('Data Sheet'!F23:F24),0)</f>
        <v>34649.58</v>
      </c>
      <c r="H15" s="22">
        <f>IFERROR(SUM('Data Sheet'!G23:G24),0)</f>
        <v>31662.97</v>
      </c>
      <c r="I15" s="22">
        <f>IFERROR(SUM('Data Sheet'!H23:H24),0)</f>
        <v>34428.54</v>
      </c>
      <c r="J15" s="22">
        <f>IFERROR(SUM('Data Sheet'!I23:I24),0)</f>
        <v>32704.83</v>
      </c>
      <c r="K15" s="22">
        <f>IFERROR(SUM('Data Sheet'!J23:J24),0)</f>
        <v>22181.280000000002</v>
      </c>
      <c r="L15" s="22">
        <f>IFERROR(SUM('Data Sheet'!K23:K24),0)</f>
        <v>30433.52</v>
      </c>
      <c r="M15" s="22"/>
    </row>
    <row r="16" spans="1:13" x14ac:dyDescent="0.2">
      <c r="B16" s="19" t="s">
        <v>66</v>
      </c>
      <c r="C16" s="21">
        <f>C15/C6</f>
        <v>0.11630731041546154</v>
      </c>
      <c r="D16" s="21">
        <f t="shared" ref="D16:M16" si="4">D15/D6</f>
        <v>7.6660908908102038E-2</v>
      </c>
      <c r="E16" s="21">
        <f t="shared" si="4"/>
        <v>8.0040779911823637E-2</v>
      </c>
      <c r="F16" s="21">
        <f t="shared" si="4"/>
        <v>0.10672678849247161</v>
      </c>
      <c r="G16" s="21">
        <f t="shared" si="4"/>
        <v>0.12847809529452636</v>
      </c>
      <c r="H16" s="21">
        <f t="shared" si="4"/>
        <v>0.10860201636437025</v>
      </c>
      <c r="I16" s="21">
        <f t="shared" si="4"/>
        <v>0.11402504616835751</v>
      </c>
      <c r="J16" s="21">
        <f t="shared" si="4"/>
        <v>0.12527323822987554</v>
      </c>
      <c r="K16" s="21">
        <f t="shared" si="4"/>
        <v>8.8798023177028354E-2</v>
      </c>
      <c r="L16" s="21">
        <f t="shared" si="4"/>
        <v>0.10929475436519734</v>
      </c>
      <c r="M16" s="21">
        <f t="shared" si="4"/>
        <v>0</v>
      </c>
    </row>
    <row r="18" spans="2:13" x14ac:dyDescent="0.2">
      <c r="B18" t="s">
        <v>28</v>
      </c>
      <c r="C18" s="22">
        <f t="shared" ref="C18:L18" si="5">C12-C15</f>
        <v>24595.98000000001</v>
      </c>
      <c r="D18" s="22">
        <f t="shared" si="5"/>
        <v>34853.359999999971</v>
      </c>
      <c r="E18" s="22">
        <f t="shared" si="5"/>
        <v>39238.64999999998</v>
      </c>
      <c r="F18" s="22">
        <f t="shared" si="5"/>
        <v>38395.249999999971</v>
      </c>
      <c r="G18" s="22">
        <f t="shared" si="5"/>
        <v>29588.690000000046</v>
      </c>
      <c r="H18" s="22">
        <f t="shared" si="5"/>
        <v>31457.679999999993</v>
      </c>
      <c r="I18" s="22">
        <f t="shared" si="5"/>
        <v>24664.330000000024</v>
      </c>
      <c r="J18" s="22">
        <f t="shared" si="5"/>
        <v>17987.069999999963</v>
      </c>
      <c r="K18" s="22">
        <f t="shared" si="5"/>
        <v>32287.429999999989</v>
      </c>
      <c r="L18" s="22">
        <f t="shared" si="5"/>
        <v>24720.090000000015</v>
      </c>
      <c r="M18" s="22">
        <f>IFERROR(SUM('Data Sheet'!H51:K51),0)</f>
        <v>27983.82</v>
      </c>
    </row>
    <row r="19" spans="2:13" x14ac:dyDescent="0.2">
      <c r="B19" s="19" t="s">
        <v>67</v>
      </c>
      <c r="C19" s="21">
        <f>C18/C6</f>
        <v>0.13028036202037277</v>
      </c>
      <c r="D19" s="21">
        <f t="shared" ref="D19:M19" si="6">D18/D6</f>
        <v>0.14969210207836775</v>
      </c>
      <c r="E19" s="21">
        <f t="shared" si="6"/>
        <v>0.14910625508580397</v>
      </c>
      <c r="F19" s="21">
        <f t="shared" si="6"/>
        <v>0.14061845347443788</v>
      </c>
      <c r="G19" s="21">
        <f t="shared" si="6"/>
        <v>0.10971268723777329</v>
      </c>
      <c r="H19" s="21">
        <f t="shared" si="6"/>
        <v>0.10789788444182975</v>
      </c>
      <c r="I19" s="21">
        <f t="shared" si="6"/>
        <v>8.1686628795807431E-2</v>
      </c>
      <c r="J19" s="21">
        <f t="shared" si="6"/>
        <v>6.8898034485042198E-2</v>
      </c>
      <c r="K19" s="21">
        <f t="shared" si="6"/>
        <v>0.12925583904385496</v>
      </c>
      <c r="L19" s="21">
        <f t="shared" si="6"/>
        <v>8.877632835227646E-2</v>
      </c>
      <c r="M19" s="21">
        <f t="shared" si="6"/>
        <v>0.1216766704311136</v>
      </c>
    </row>
    <row r="21" spans="2:13" x14ac:dyDescent="0.2">
      <c r="B21" t="s">
        <v>22</v>
      </c>
      <c r="C21" s="22">
        <f>IFERROR('Data Sheet'!B27,0)</f>
        <v>3560.25</v>
      </c>
      <c r="D21" s="22">
        <f>IFERROR('Data Sheet'!C27,0)</f>
        <v>4749.4399999999996</v>
      </c>
      <c r="E21" s="22">
        <f>IFERROR('Data Sheet'!D27,0)</f>
        <v>4861.49</v>
      </c>
      <c r="F21" s="22">
        <f>IFERROR('Data Sheet'!E27,0)</f>
        <v>4889.08</v>
      </c>
      <c r="G21" s="22">
        <f>IFERROR('Data Sheet'!F27,0)</f>
        <v>4238.01</v>
      </c>
      <c r="H21" s="22">
        <f>IFERROR('Data Sheet'!G27,0)</f>
        <v>4681.79</v>
      </c>
      <c r="I21" s="22">
        <f>IFERROR('Data Sheet'!H27,0)</f>
        <v>5758.6</v>
      </c>
      <c r="J21" s="22">
        <f>IFERROR('Data Sheet'!I27,0)</f>
        <v>7243.33</v>
      </c>
      <c r="K21" s="22">
        <f>IFERROR('Data Sheet'!J27,0)</f>
        <v>8097.17</v>
      </c>
      <c r="L21" s="22">
        <f>IFERROR('Data Sheet'!K27,0)</f>
        <v>9311.86</v>
      </c>
      <c r="M21" s="22">
        <f>IFERROR(SUM('Data Sheet'!H46:K46),0)</f>
        <v>9689.24</v>
      </c>
    </row>
    <row r="22" spans="2:13" x14ac:dyDescent="0.2">
      <c r="B22" s="19" t="s">
        <v>68</v>
      </c>
      <c r="C22" s="21">
        <f>C21/C6</f>
        <v>1.8857986503608801E-2</v>
      </c>
      <c r="D22" s="21">
        <f t="shared" ref="D22:M22" si="7">D21/D6</f>
        <v>2.0398425210512945E-2</v>
      </c>
      <c r="E22" s="21">
        <f t="shared" si="7"/>
        <v>1.8473585814932098E-2</v>
      </c>
      <c r="F22" s="21">
        <f t="shared" si="7"/>
        <v>1.7905727101993223E-2</v>
      </c>
      <c r="G22" s="21">
        <f t="shared" si="7"/>
        <v>1.5714229512714312E-2</v>
      </c>
      <c r="H22" s="21">
        <f t="shared" si="7"/>
        <v>1.605824830060304E-2</v>
      </c>
      <c r="I22" s="21">
        <f t="shared" si="7"/>
        <v>1.9072102124141878E-2</v>
      </c>
      <c r="J22" s="21">
        <f t="shared" si="7"/>
        <v>2.7744996829752802E-2</v>
      </c>
      <c r="K22" s="21">
        <f t="shared" si="7"/>
        <v>3.2415292955516477E-2</v>
      </c>
      <c r="L22" s="21">
        <f t="shared" si="7"/>
        <v>3.3441332168710897E-2</v>
      </c>
      <c r="M22" s="21">
        <f t="shared" si="7"/>
        <v>4.2129861548850837E-2</v>
      </c>
    </row>
    <row r="24" spans="2:13" x14ac:dyDescent="0.2">
      <c r="B24" t="s">
        <v>21</v>
      </c>
      <c r="C24" s="22">
        <f>IFERROR('Data Sheet'!B26,0)</f>
        <v>7601.28</v>
      </c>
      <c r="D24" s="22">
        <f>IFERROR('Data Sheet'!C26,0)</f>
        <v>11078.16</v>
      </c>
      <c r="E24" s="22">
        <f>IFERROR('Data Sheet'!D26,0)</f>
        <v>13388.63</v>
      </c>
      <c r="F24" s="22">
        <f>IFERROR('Data Sheet'!E26,0)</f>
        <v>16710.78</v>
      </c>
      <c r="G24" s="22">
        <f>IFERROR('Data Sheet'!F26,0)</f>
        <v>17904.990000000002</v>
      </c>
      <c r="H24" s="22">
        <f>IFERROR('Data Sheet'!G26,0)</f>
        <v>21553.59</v>
      </c>
      <c r="I24" s="22">
        <f>IFERROR('Data Sheet'!H26,0)</f>
        <v>23590.63</v>
      </c>
      <c r="J24" s="22">
        <f>IFERROR('Data Sheet'!I26,0)</f>
        <v>21425.43</v>
      </c>
      <c r="K24" s="22">
        <f>IFERROR('Data Sheet'!J26,0)</f>
        <v>23546.71</v>
      </c>
      <c r="L24" s="22">
        <f>IFERROR('Data Sheet'!K26,0)</f>
        <v>24835.69</v>
      </c>
      <c r="M24" s="22">
        <f>IFERROR(SUM('Data Sheet'!H45:K45),0)</f>
        <v>24248.62</v>
      </c>
    </row>
    <row r="25" spans="2:13" x14ac:dyDescent="0.2">
      <c r="B25" s="19" t="s">
        <v>69</v>
      </c>
      <c r="C25" s="21">
        <f>C24/C6</f>
        <v>4.0262575844435503E-2</v>
      </c>
      <c r="D25" s="21">
        <f t="shared" ref="D25:M25" si="8">D24/D6</f>
        <v>4.757971849946438E-2</v>
      </c>
      <c r="E25" s="21">
        <f t="shared" si="8"/>
        <v>5.0876584184966822E-2</v>
      </c>
      <c r="F25" s="21">
        <f t="shared" si="8"/>
        <v>6.1201425695927715E-2</v>
      </c>
      <c r="G25" s="21">
        <f t="shared" si="8"/>
        <v>6.63903865924938E-2</v>
      </c>
      <c r="H25" s="21">
        <f t="shared" si="8"/>
        <v>7.3927472182518786E-2</v>
      </c>
      <c r="I25" s="21">
        <f t="shared" si="8"/>
        <v>7.8130605447998658E-2</v>
      </c>
      <c r="J25" s="21">
        <f t="shared" si="8"/>
        <v>8.206839774331566E-2</v>
      </c>
      <c r="K25" s="21">
        <f t="shared" si="8"/>
        <v>9.4264230933596482E-2</v>
      </c>
      <c r="L25" s="21">
        <f t="shared" si="8"/>
        <v>8.9191478279219347E-2</v>
      </c>
      <c r="M25" s="21">
        <f t="shared" si="8"/>
        <v>0.10543561758720968</v>
      </c>
    </row>
    <row r="27" spans="2:13" x14ac:dyDescent="0.2">
      <c r="B27" t="s">
        <v>71</v>
      </c>
      <c r="C27" s="22">
        <f>IFERROR(C18-SUM(C24,C21),0)</f>
        <v>13434.450000000012</v>
      </c>
      <c r="D27" s="22">
        <f t="shared" ref="D27:M27" si="9">IFERROR(D18-SUM(D24,D21),0)</f>
        <v>19025.759999999973</v>
      </c>
      <c r="E27" s="22">
        <f t="shared" si="9"/>
        <v>20988.529999999981</v>
      </c>
      <c r="F27" s="22">
        <f t="shared" si="9"/>
        <v>16795.38999999997</v>
      </c>
      <c r="G27" s="22">
        <f t="shared" si="9"/>
        <v>7445.690000000046</v>
      </c>
      <c r="H27" s="22">
        <f t="shared" si="9"/>
        <v>5222.299999999992</v>
      </c>
      <c r="I27" s="16">
        <f t="shared" si="9"/>
        <v>-4684.8999999999796</v>
      </c>
      <c r="J27" s="16">
        <f t="shared" si="9"/>
        <v>-10681.690000000039</v>
      </c>
      <c r="K27" s="16">
        <f t="shared" si="9"/>
        <v>643.549999999992</v>
      </c>
      <c r="L27" s="16">
        <f t="shared" si="9"/>
        <v>-9427.4599999999882</v>
      </c>
      <c r="M27" s="16">
        <f t="shared" si="9"/>
        <v>-5954.0400000000009</v>
      </c>
    </row>
    <row r="28" spans="2:13" x14ac:dyDescent="0.2">
      <c r="B28" s="19" t="s">
        <v>72</v>
      </c>
      <c r="C28" s="21">
        <f>C27/C6</f>
        <v>7.115979967232848E-2</v>
      </c>
      <c r="D28" s="21">
        <f t="shared" ref="D28:M28" si="10">D27/D6</f>
        <v>8.1713958368390432E-2</v>
      </c>
      <c r="E28" s="21">
        <f t="shared" si="10"/>
        <v>7.9756085085905037E-2</v>
      </c>
      <c r="F28" s="21">
        <f t="shared" si="10"/>
        <v>6.1511300676516931E-2</v>
      </c>
      <c r="G28" s="21">
        <f t="shared" si="10"/>
        <v>2.7608071132565179E-2</v>
      </c>
      <c r="H28" s="21">
        <f t="shared" si="10"/>
        <v>1.7912163958707913E-2</v>
      </c>
      <c r="I28" s="21">
        <f t="shared" si="10"/>
        <v>-1.5516078776333117E-2</v>
      </c>
      <c r="J28" s="21">
        <f t="shared" si="10"/>
        <v>-4.0915360088026265E-2</v>
      </c>
      <c r="K28" s="21">
        <f t="shared" si="10"/>
        <v>2.5763151547420113E-3</v>
      </c>
      <c r="L28" s="21">
        <f t="shared" si="10"/>
        <v>-3.3856482095653805E-2</v>
      </c>
      <c r="M28" s="21">
        <f t="shared" si="10"/>
        <v>-2.588880870494692E-2</v>
      </c>
    </row>
    <row r="30" spans="2:13" x14ac:dyDescent="0.2">
      <c r="B30" t="s">
        <v>24</v>
      </c>
      <c r="C30" s="16">
        <f>IFERROR('Data Sheet'!B29,0)</f>
        <v>3776.66</v>
      </c>
      <c r="D30" s="16">
        <f>IFERROR('Data Sheet'!C29,0)</f>
        <v>4764.79</v>
      </c>
      <c r="E30" s="16">
        <f>IFERROR('Data Sheet'!D29,0)</f>
        <v>7642.91</v>
      </c>
      <c r="F30" s="16">
        <f>IFERROR('Data Sheet'!E29,0)</f>
        <v>3025.05</v>
      </c>
      <c r="G30" s="16">
        <f>IFERROR('Data Sheet'!F29,0)</f>
        <v>3251.23</v>
      </c>
      <c r="H30" s="16">
        <f>IFERROR('Data Sheet'!G29,0)</f>
        <v>4341.93</v>
      </c>
      <c r="I30" s="16">
        <f>IFERROR('Data Sheet'!H29,0)</f>
        <v>-2437.4499999999998</v>
      </c>
      <c r="J30" s="16">
        <f>IFERROR('Data Sheet'!I29,0)</f>
        <v>395.25</v>
      </c>
      <c r="K30" s="16">
        <f>IFERROR('Data Sheet'!J29,0)</f>
        <v>2541.86</v>
      </c>
      <c r="L30" s="16">
        <f>IFERROR('Data Sheet'!K29,0)</f>
        <v>4231.29</v>
      </c>
      <c r="M30" s="16">
        <f>IFERROR(SUM('Data Sheet'!H48:K48),0)</f>
        <v>2546.15</v>
      </c>
    </row>
    <row r="31" spans="2:13" x14ac:dyDescent="0.2">
      <c r="B31" s="19" t="s">
        <v>27</v>
      </c>
      <c r="C31" s="21">
        <f>C30/C27</f>
        <v>0.28111757459367498</v>
      </c>
      <c r="D31" s="21">
        <f t="shared" ref="D31:M31" si="11">D30/D27</f>
        <v>0.25043887865714731</v>
      </c>
      <c r="E31" s="21">
        <f t="shared" si="11"/>
        <v>0.3641469888553418</v>
      </c>
      <c r="F31" s="21">
        <f t="shared" si="11"/>
        <v>0.18011192356950362</v>
      </c>
      <c r="G31" s="21">
        <f t="shared" si="11"/>
        <v>0.43665932908836924</v>
      </c>
      <c r="H31" s="21">
        <f t="shared" si="11"/>
        <v>0.8314210213890445</v>
      </c>
      <c r="I31" s="21">
        <f t="shared" si="11"/>
        <v>0.52027791414971725</v>
      </c>
      <c r="J31" s="21">
        <f t="shared" si="11"/>
        <v>-3.7002571690434617E-2</v>
      </c>
      <c r="K31" s="21">
        <f t="shared" si="11"/>
        <v>3.9497474943672315</v>
      </c>
      <c r="L31" s="21">
        <f t="shared" si="11"/>
        <v>-0.4488260888935095</v>
      </c>
      <c r="M31" s="21">
        <f t="shared" si="11"/>
        <v>-0.42763400984877492</v>
      </c>
    </row>
    <row r="33" spans="1:13" x14ac:dyDescent="0.2">
      <c r="B33" t="s">
        <v>73</v>
      </c>
      <c r="C33" s="16">
        <f>IFERROR(C27-C30,0)</f>
        <v>9657.7900000000118</v>
      </c>
      <c r="D33" s="16">
        <f t="shared" ref="D33:M33" si="12">IFERROR(D27-D30,0)</f>
        <v>14260.969999999972</v>
      </c>
      <c r="E33" s="16">
        <f t="shared" si="12"/>
        <v>13345.619999999981</v>
      </c>
      <c r="F33" s="16">
        <f t="shared" si="12"/>
        <v>13770.339999999971</v>
      </c>
      <c r="G33" s="16">
        <f t="shared" si="12"/>
        <v>4194.4600000000464</v>
      </c>
      <c r="H33" s="16">
        <f t="shared" si="12"/>
        <v>880.36999999999171</v>
      </c>
      <c r="I33" s="16">
        <f t="shared" si="12"/>
        <v>-2247.4499999999798</v>
      </c>
      <c r="J33" s="16">
        <f t="shared" si="12"/>
        <v>-11076.940000000039</v>
      </c>
      <c r="K33" s="16">
        <f t="shared" si="12"/>
        <v>-1898.3100000000081</v>
      </c>
      <c r="L33" s="16">
        <f t="shared" si="12"/>
        <v>-13658.749999999989</v>
      </c>
      <c r="M33" s="16">
        <f t="shared" si="12"/>
        <v>-8500.19</v>
      </c>
    </row>
    <row r="34" spans="1:13" x14ac:dyDescent="0.2">
      <c r="B34" s="19" t="s">
        <v>74</v>
      </c>
      <c r="C34" s="21">
        <f>C33/C6</f>
        <v>5.1155529379871709E-2</v>
      </c>
      <c r="D34" s="21">
        <f t="shared" ref="D34:M34" si="13">D33/D6</f>
        <v>6.124960626397391E-2</v>
      </c>
      <c r="E34" s="21">
        <f t="shared" si="13"/>
        <v>5.0713146858982282E-2</v>
      </c>
      <c r="F34" s="21">
        <f t="shared" si="13"/>
        <v>5.0432381990407359E-2</v>
      </c>
      <c r="G34" s="21">
        <f t="shared" si="13"/>
        <v>1.5552749314395296E-2</v>
      </c>
      <c r="H34" s="21">
        <f t="shared" si="13"/>
        <v>3.01961430487095E-3</v>
      </c>
      <c r="I34" s="21">
        <f t="shared" si="13"/>
        <v>-7.4434056747998256E-3</v>
      </c>
      <c r="J34" s="21">
        <f t="shared" si="13"/>
        <v>-4.2429333632923408E-2</v>
      </c>
      <c r="K34" s="21">
        <f t="shared" si="13"/>
        <v>-7.5994791724005731E-3</v>
      </c>
      <c r="L34" s="21">
        <f t="shared" si="13"/>
        <v>-4.9052154538339235E-2</v>
      </c>
      <c r="M34" s="21">
        <f t="shared" si="13"/>
        <v>-3.695974378165124E-2</v>
      </c>
    </row>
    <row r="36" spans="1:13" x14ac:dyDescent="0.2">
      <c r="B36" t="s">
        <v>75</v>
      </c>
      <c r="C36">
        <f>IFERROR('Data Sheet'!B93,0)</f>
        <v>285.72000000000003</v>
      </c>
      <c r="D36">
        <f>IFERROR('Data Sheet'!C93,0)</f>
        <v>288.74</v>
      </c>
      <c r="E36">
        <f>IFERROR('Data Sheet'!D93,0)</f>
        <v>288.74</v>
      </c>
      <c r="F36">
        <f>IFERROR('Data Sheet'!E93,0)</f>
        <v>288.72000000000003</v>
      </c>
      <c r="G36">
        <f>IFERROR('Data Sheet'!F93,0)</f>
        <v>288.73</v>
      </c>
      <c r="H36">
        <f>IFERROR('Data Sheet'!G93,0)</f>
        <v>288.73</v>
      </c>
      <c r="I36">
        <f>IFERROR('Data Sheet'!H93,0)</f>
        <v>288.73</v>
      </c>
      <c r="J36">
        <f>IFERROR('Data Sheet'!I93,0)</f>
        <v>308.89999999999998</v>
      </c>
      <c r="K36">
        <f>IFERROR('Data Sheet'!J93,0)</f>
        <v>332.03</v>
      </c>
      <c r="L36">
        <f>IFERROR('Data Sheet'!K93,0)</f>
        <v>332.07</v>
      </c>
      <c r="M36">
        <f>L36</f>
        <v>332.07</v>
      </c>
    </row>
    <row r="37" spans="1:13" x14ac:dyDescent="0.2"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  <row r="38" spans="1:13" x14ac:dyDescent="0.2">
      <c r="B38" t="s">
        <v>77</v>
      </c>
      <c r="C38" s="22">
        <f>IFERROR(C33/C36,0)</f>
        <v>33.80158896822067</v>
      </c>
      <c r="D38" s="22">
        <f t="shared" ref="D38:M38" si="14">IFERROR(D33/D36,0)</f>
        <v>49.390351180993186</v>
      </c>
      <c r="E38" s="22">
        <f t="shared" si="14"/>
        <v>46.220198102098706</v>
      </c>
      <c r="F38" s="22">
        <f t="shared" si="14"/>
        <v>47.694444444444336</v>
      </c>
      <c r="G38" s="22">
        <f t="shared" si="14"/>
        <v>14.527274616423808</v>
      </c>
      <c r="H38" s="22">
        <f t="shared" si="14"/>
        <v>3.049111626779315</v>
      </c>
      <c r="I38" s="22">
        <f t="shared" si="14"/>
        <v>-7.7839157690575265</v>
      </c>
      <c r="J38" s="22">
        <f t="shared" si="14"/>
        <v>-35.859307219164904</v>
      </c>
      <c r="K38" s="22">
        <f t="shared" si="14"/>
        <v>-5.7172845827184542</v>
      </c>
      <c r="L38" s="22">
        <f t="shared" si="14"/>
        <v>-41.132140813683833</v>
      </c>
      <c r="M38" s="22">
        <f t="shared" si="14"/>
        <v>-25.597584846568498</v>
      </c>
    </row>
    <row r="39" spans="1:13" x14ac:dyDescent="0.2">
      <c r="B39" s="19" t="s">
        <v>78</v>
      </c>
      <c r="C39" s="21"/>
      <c r="D39" s="21">
        <f>IFERROR(D38/C38-1,0)</f>
        <v>0.46118430194002547</v>
      </c>
      <c r="E39" s="21">
        <f t="shared" ref="E39:M39" si="15">IFERROR(E38/D38-1,0)</f>
        <v>-6.4185676009415493E-2</v>
      </c>
      <c r="F39" s="21">
        <f t="shared" si="15"/>
        <v>3.189614936502605E-2</v>
      </c>
      <c r="G39" s="21">
        <f t="shared" si="15"/>
        <v>-0.69540950134463697</v>
      </c>
      <c r="H39" s="21">
        <f t="shared" si="15"/>
        <v>-0.79011124197155724</v>
      </c>
      <c r="I39" s="21">
        <f t="shared" si="15"/>
        <v>-3.5528470983790919</v>
      </c>
      <c r="J39" s="21">
        <f t="shared" si="15"/>
        <v>3.6068467700681115</v>
      </c>
      <c r="K39" s="21">
        <f t="shared" si="15"/>
        <v>-0.84056344011958861</v>
      </c>
      <c r="L39" s="21">
        <f t="shared" si="15"/>
        <v>6.194349033807641</v>
      </c>
      <c r="M39" s="21">
        <f t="shared" si="15"/>
        <v>-0.37767438455202651</v>
      </c>
    </row>
    <row r="41" spans="1:13" x14ac:dyDescent="0.2">
      <c r="B41" t="s">
        <v>76</v>
      </c>
      <c r="C41" s="16">
        <f>IFERROR('Data Sheet'!B31/HistoricalFS!C36,0)</f>
        <v>2.2332003359932799</v>
      </c>
      <c r="D41" s="16">
        <f>IFERROR('Data Sheet'!C31/HistoricalFS!D36,0)</f>
        <v>2.2296183417607534</v>
      </c>
      <c r="E41" s="16">
        <f>IFERROR('Data Sheet'!D31/HistoricalFS!E36,0)</f>
        <v>0</v>
      </c>
      <c r="F41" s="16">
        <f>IFERROR('Data Sheet'!E31/HistoricalFS!F36,0)</f>
        <v>0.23524522028262676</v>
      </c>
      <c r="G41" s="16">
        <f>IFERROR('Data Sheet'!F31/HistoricalFS!G36,0)</f>
        <v>0</v>
      </c>
      <c r="H41" s="16">
        <f>IFERROR('Data Sheet'!G31/HistoricalFS!H36,0)</f>
        <v>0</v>
      </c>
      <c r="I41" s="16">
        <f>IFERROR('Data Sheet'!H31/HistoricalFS!I36,0)</f>
        <v>0</v>
      </c>
      <c r="J41" s="16">
        <f>IFERROR('Data Sheet'!I31/HistoricalFS!J36,0)</f>
        <v>0</v>
      </c>
      <c r="K41" s="16">
        <f>IFERROR('Data Sheet'!J31/HistoricalFS!K36,0)</f>
        <v>0</v>
      </c>
      <c r="L41" s="16">
        <f>IFERROR('Data Sheet'!K31/HistoricalFS!L36,0)</f>
        <v>0</v>
      </c>
      <c r="M41" s="16">
        <f>IFERROR('Data Sheet'!L31/HistoricalFS!M36,0)</f>
        <v>0</v>
      </c>
    </row>
    <row r="42" spans="1:13" x14ac:dyDescent="0.2">
      <c r="B42" s="19" t="s">
        <v>79</v>
      </c>
      <c r="C42" s="21">
        <f>IFERROR(C41/C38,0)</f>
        <v>6.6067909946271278E-2</v>
      </c>
      <c r="D42" s="21">
        <f t="shared" ref="D42:M42" si="16">IFERROR(D41/D38,0)</f>
        <v>4.5142791829728357E-2</v>
      </c>
      <c r="E42" s="21">
        <f t="shared" si="16"/>
        <v>0</v>
      </c>
      <c r="F42" s="21">
        <f t="shared" si="16"/>
        <v>4.9323400874633563E-3</v>
      </c>
      <c r="G42" s="21">
        <f t="shared" si="16"/>
        <v>0</v>
      </c>
      <c r="H42" s="21">
        <f t="shared" si="16"/>
        <v>0</v>
      </c>
      <c r="I42" s="21">
        <f t="shared" si="16"/>
        <v>0</v>
      </c>
      <c r="J42" s="21">
        <f t="shared" si="16"/>
        <v>0</v>
      </c>
      <c r="K42" s="21">
        <f t="shared" si="16"/>
        <v>0</v>
      </c>
      <c r="L42" s="21">
        <f t="shared" si="16"/>
        <v>0</v>
      </c>
      <c r="M42" s="21">
        <f t="shared" si="16"/>
        <v>0</v>
      </c>
    </row>
    <row r="44" spans="1:13" x14ac:dyDescent="0.2">
      <c r="B44" t="s">
        <v>80</v>
      </c>
      <c r="C44" s="17">
        <f>IFERROR(IF(C38&gt;C41,1-C42,0),0)</f>
        <v>0.93393209005372868</v>
      </c>
      <c r="D44" s="17">
        <f t="shared" ref="D44:M44" si="17">IFERROR(IF(D38&gt;D41,1-D42,0),0)</f>
        <v>0.95485720817027164</v>
      </c>
      <c r="E44" s="17">
        <f t="shared" si="17"/>
        <v>1</v>
      </c>
      <c r="F44" s="17">
        <f t="shared" si="17"/>
        <v>0.99506765991253665</v>
      </c>
      <c r="G44" s="17">
        <f t="shared" si="17"/>
        <v>1</v>
      </c>
      <c r="H44" s="17">
        <f t="shared" si="17"/>
        <v>1</v>
      </c>
      <c r="I44" s="17">
        <f t="shared" si="17"/>
        <v>0</v>
      </c>
      <c r="J44" s="17">
        <f t="shared" si="17"/>
        <v>0</v>
      </c>
      <c r="K44" s="17">
        <f t="shared" si="17"/>
        <v>0</v>
      </c>
      <c r="L44" s="17">
        <f t="shared" si="17"/>
        <v>0</v>
      </c>
      <c r="M44" s="17">
        <f t="shared" si="17"/>
        <v>0</v>
      </c>
    </row>
    <row r="46" spans="1:13" x14ac:dyDescent="0.2">
      <c r="A46" t="s">
        <v>59</v>
      </c>
      <c r="B46" s="26" t="s">
        <v>81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</row>
    <row r="47" spans="1:13" x14ac:dyDescent="0.2">
      <c r="B47" t="s">
        <v>33</v>
      </c>
      <c r="C47" s="16">
        <f>IFERROR(VLOOKUP($B$47,Balance2[],MATCH(C3,Balance2[#Headers],0),0),0)</f>
        <v>638.07000000000005</v>
      </c>
      <c r="D47" s="16">
        <f>IFERROR(VLOOKUP($B$47,Balance2[],MATCH(D3,Balance2[#Headers],0),0),0)</f>
        <v>643.78</v>
      </c>
      <c r="E47" s="16">
        <f>IFERROR(VLOOKUP($B$47,Balance2[],MATCH(E3,Balance2[#Headers],0),0),0)</f>
        <v>643.78</v>
      </c>
      <c r="F47" s="16">
        <f>IFERROR(VLOOKUP($B$47,Balance2[],MATCH(F3,Balance2[#Headers],0),0),0)</f>
        <v>679.18</v>
      </c>
      <c r="G47" s="16">
        <f>IFERROR(VLOOKUP($B$47,Balance2[],MATCH(G3,Balance2[#Headers],0),0),0)</f>
        <v>679.22</v>
      </c>
      <c r="H47" s="16">
        <f>IFERROR(VLOOKUP($B$47,Balance2[],MATCH(H3,Balance2[#Headers],0),0),0)</f>
        <v>679.22</v>
      </c>
      <c r="I47" s="16">
        <f>IFERROR(VLOOKUP($B$47,Balance2[],MATCH(I3,Balance2[#Headers],0),0),0)</f>
        <v>679.22</v>
      </c>
      <c r="J47" s="16">
        <f>IFERROR(VLOOKUP($B$47,Balance2[],MATCH(J3,Balance2[#Headers],0),0),0)</f>
        <v>719.54</v>
      </c>
      <c r="K47" s="16">
        <f>IFERROR(VLOOKUP($B$47,Balance2[],MATCH(K3,Balance2[#Headers],0),0),0)</f>
        <v>765.81</v>
      </c>
      <c r="L47" s="16">
        <f>IFERROR(VLOOKUP($B$47,Balance2[],MATCH(L3,Balance2[#Headers],0),0),0)</f>
        <v>765.88</v>
      </c>
    </row>
    <row r="48" spans="1:13" x14ac:dyDescent="0.2">
      <c r="B48" t="s">
        <v>34</v>
      </c>
      <c r="C48" s="16">
        <f>IFERROR(VLOOKUP($B$48,Balance2[],MATCH(C3,Balance2[#Headers],0),0),0)</f>
        <v>36999.230000000003</v>
      </c>
      <c r="D48" s="16">
        <f>IFERROR(VLOOKUP($B$48,Balance2[],MATCH(D3,Balance2[#Headers],0),0),0)</f>
        <v>64959.67</v>
      </c>
      <c r="E48" s="16">
        <f>IFERROR(VLOOKUP($B$48,Balance2[],MATCH(E3,Balance2[#Headers],0),0),0)</f>
        <v>55618.14</v>
      </c>
      <c r="F48" s="16">
        <f>IFERROR(VLOOKUP($B$48,Balance2[],MATCH(F3,Balance2[#Headers],0),0),0)</f>
        <v>78273.23</v>
      </c>
      <c r="G48" s="16">
        <f>IFERROR(VLOOKUP($B$48,Balance2[],MATCH(G3,Balance2[#Headers],0),0),0)</f>
        <v>57382.67</v>
      </c>
      <c r="H48" s="16">
        <f>IFERROR(VLOOKUP($B$48,Balance2[],MATCH(H3,Balance2[#Headers],0),0),0)</f>
        <v>94748.69</v>
      </c>
      <c r="I48" s="16">
        <f>IFERROR(VLOOKUP($B$48,Balance2[],MATCH(I3,Balance2[#Headers],0),0),0)</f>
        <v>59500.34</v>
      </c>
      <c r="J48" s="16">
        <f>IFERROR(VLOOKUP($B$48,Balance2[],MATCH(J3,Balance2[#Headers],0),0),0)</f>
        <v>61491.49</v>
      </c>
      <c r="K48" s="16">
        <f>IFERROR(VLOOKUP($B$48,Balance2[],MATCH(K3,Balance2[#Headers],0),0),0)</f>
        <v>54480.91</v>
      </c>
      <c r="L48" s="16">
        <f>IFERROR(VLOOKUP($B$48,Balance2[],MATCH(L3,Balance2[#Headers],0),0),0)</f>
        <v>43795.360000000001</v>
      </c>
    </row>
    <row r="49" spans="2:13" x14ac:dyDescent="0.2">
      <c r="B49" t="s">
        <v>35</v>
      </c>
      <c r="C49" s="16">
        <f>IFERROR(VLOOKUP($B49,Balance2[],MATCH(C3,Balance2[#Headers],0),0),0)</f>
        <v>53715.71</v>
      </c>
      <c r="D49" s="16">
        <f>IFERROR(VLOOKUP($B49,Balance2[],MATCH(D3,Balance2[#Headers],0),0),0)</f>
        <v>60642.28</v>
      </c>
      <c r="E49" s="16">
        <f>IFERROR(VLOOKUP($B49,Balance2[],MATCH(E3,Balance2[#Headers],0),0),0)</f>
        <v>73610.39</v>
      </c>
      <c r="F49" s="16">
        <f>IFERROR(VLOOKUP($B49,Balance2[],MATCH(F3,Balance2[#Headers],0),0),0)</f>
        <v>69359.960000000006</v>
      </c>
      <c r="G49" s="16">
        <f>IFERROR(VLOOKUP($B49,Balance2[],MATCH(G3,Balance2[#Headers],0),0),0)</f>
        <v>78603.98</v>
      </c>
      <c r="H49" s="16">
        <f>IFERROR(VLOOKUP($B49,Balance2[],MATCH(H3,Balance2[#Headers],0),0),0)</f>
        <v>88950.47</v>
      </c>
      <c r="I49" s="16">
        <f>IFERROR(VLOOKUP($B49,Balance2[],MATCH(I3,Balance2[#Headers],0),0),0)</f>
        <v>106175.34</v>
      </c>
      <c r="J49" s="16">
        <f>IFERROR(VLOOKUP($B49,Balance2[],MATCH(J3,Balance2[#Headers],0),0),0)</f>
        <v>124787.64</v>
      </c>
      <c r="K49" s="16">
        <f>IFERROR(VLOOKUP($B49,Balance2[],MATCH(K3,Balance2[#Headers],0),0),0)</f>
        <v>142130.57</v>
      </c>
      <c r="L49" s="16">
        <f>IFERROR(VLOOKUP($B49,Balance2[],MATCH(L3,Balance2[#Headers],0),0),0)</f>
        <v>146449.03</v>
      </c>
    </row>
    <row r="50" spans="2:13" x14ac:dyDescent="0.2">
      <c r="B50" t="s">
        <v>36</v>
      </c>
      <c r="C50" s="16">
        <f>IFERROR(VLOOKUP($B50,Balance2[],MATCH(C3,Balance2[#Headers],0),0),0)</f>
        <v>76977.02</v>
      </c>
      <c r="D50" s="16">
        <f>IFERROR(VLOOKUP($B50,Balance2[],MATCH(D3,Balance2[#Headers],0),0),0)</f>
        <v>92180.26</v>
      </c>
      <c r="E50" s="16">
        <f>IFERROR(VLOOKUP($B50,Balance2[],MATCH(E3,Balance2[#Headers],0),0),0)</f>
        <v>107442.48</v>
      </c>
      <c r="F50" s="16">
        <f>IFERROR(VLOOKUP($B50,Balance2[],MATCH(F3,Balance2[#Headers],0),0),0)</f>
        <v>114871.75</v>
      </c>
      <c r="G50" s="16">
        <f>IFERROR(VLOOKUP($B50,Balance2[],MATCH(G3,Balance2[#Headers],0),0),0)</f>
        <v>135914.49</v>
      </c>
      <c r="H50" s="16">
        <f>IFERROR(VLOOKUP($B50,Balance2[],MATCH(H3,Balance2[#Headers],0),0),0)</f>
        <v>142813.43</v>
      </c>
      <c r="I50" s="16">
        <f>IFERROR(VLOOKUP($B50,Balance2[],MATCH(I3,Balance2[#Headers],0),0),0)</f>
        <v>139348.59</v>
      </c>
      <c r="J50" s="16">
        <f>IFERROR(VLOOKUP($B50,Balance2[],MATCH(J3,Balance2[#Headers],0),0),0)</f>
        <v>133180.72</v>
      </c>
      <c r="K50" s="16">
        <f>IFERROR(VLOOKUP($B50,Balance2[],MATCH(K3,Balance2[#Headers],0),0),0)</f>
        <v>144192.62</v>
      </c>
      <c r="L50" s="16">
        <f>IFERROR(VLOOKUP($B50,Balance2[],MATCH(L3,Balance2[#Headers],0),0),0)</f>
        <v>138051.22</v>
      </c>
    </row>
    <row r="51" spans="2:13" x14ac:dyDescent="0.2">
      <c r="B51" s="15" t="s">
        <v>82</v>
      </c>
      <c r="C51" s="28">
        <f>IFERROR('Data Sheet'!B61,0)</f>
        <v>168330.03</v>
      </c>
      <c r="D51" s="28">
        <f>IFERROR('Data Sheet'!C61,0)</f>
        <v>218425.99</v>
      </c>
      <c r="E51" s="28">
        <f>IFERROR('Data Sheet'!D61,0)</f>
        <v>237314.79</v>
      </c>
      <c r="F51" s="28">
        <f>IFERROR('Data Sheet'!E61,0)</f>
        <v>263184.12</v>
      </c>
      <c r="G51" s="28">
        <f>IFERROR('Data Sheet'!F61,0)</f>
        <v>272580.36</v>
      </c>
      <c r="H51" s="28">
        <f>IFERROR('Data Sheet'!G61,0)</f>
        <v>327191.81</v>
      </c>
      <c r="I51" s="28">
        <f>IFERROR('Data Sheet'!H61,0)</f>
        <v>305703.49</v>
      </c>
      <c r="J51" s="28">
        <f>IFERROR('Data Sheet'!I61,0)</f>
        <v>320179.39</v>
      </c>
      <c r="K51" s="28">
        <f>IFERROR('Data Sheet'!J61,0)</f>
        <v>341569.91</v>
      </c>
      <c r="L51" s="28">
        <f>IFERROR('Data Sheet'!K61,0)</f>
        <v>329061.49</v>
      </c>
      <c r="M51" s="15"/>
    </row>
    <row r="53" spans="2:13" x14ac:dyDescent="0.2">
      <c r="B53" t="s">
        <v>38</v>
      </c>
      <c r="C53" s="16">
        <f>IFERROR(VLOOKUP($B$53,Balance2[],MATCH(C3,Balance2[#Headers],0),0),0)</f>
        <v>55511.73</v>
      </c>
      <c r="D53" s="16">
        <f>IFERROR(VLOOKUP($B$53,Balance2[],MATCH(D3,Balance2[#Headers],0),0),0)</f>
        <v>69091.67</v>
      </c>
      <c r="E53" s="16">
        <f>IFERROR(VLOOKUP($B$53,Balance2[],MATCH(E3,Balance2[#Headers],0),0),0)</f>
        <v>88479.49</v>
      </c>
      <c r="F53" s="16">
        <f>IFERROR(VLOOKUP($B$53,Balance2[],MATCH(F3,Balance2[#Headers],0),0),0)</f>
        <v>107231.76</v>
      </c>
      <c r="G53" s="16">
        <f>IFERROR(VLOOKUP($B$53,Balance2[],MATCH(G3,Balance2[#Headers],0),0),0)</f>
        <v>95944.08</v>
      </c>
      <c r="H53" s="16">
        <f>IFERROR(VLOOKUP($B$53,Balance2[],MATCH(H3,Balance2[#Headers],0),0),0)</f>
        <v>121413.86</v>
      </c>
      <c r="I53" s="16">
        <f>IFERROR(VLOOKUP($B$53,Balance2[],MATCH(I3,Balance2[#Headers],0),0),0)</f>
        <v>111234.47</v>
      </c>
      <c r="J53" s="16">
        <f>IFERROR(VLOOKUP($B$53,Balance2[],MATCH(J3,Balance2[#Headers],0),0),0)</f>
        <v>127107.14</v>
      </c>
      <c r="K53" s="16">
        <f>IFERROR(VLOOKUP($B$53,Balance2[],MATCH(K3,Balance2[#Headers],0),0),0)</f>
        <v>138707.60999999999</v>
      </c>
      <c r="L53" s="16">
        <f>IFERROR(VLOOKUP($B$53,Balance2[],MATCH(L3,Balance2[#Headers],0),0),0)</f>
        <v>138855.45000000001</v>
      </c>
    </row>
    <row r="54" spans="2:13" x14ac:dyDescent="0.2">
      <c r="B54" t="s">
        <v>39</v>
      </c>
      <c r="C54" s="16">
        <f>IFERROR(VLOOKUP($B$54,Balance2[],MATCH(C3,Balance2[#Headers],0),0),0)</f>
        <v>18453.55</v>
      </c>
      <c r="D54" s="16">
        <f>IFERROR(VLOOKUP($B$54,Balance2[],MATCH(D3,Balance2[#Headers],0),0),0)</f>
        <v>33262.559999999998</v>
      </c>
      <c r="E54" s="16">
        <f>IFERROR(VLOOKUP($B$54,Balance2[],MATCH(E3,Balance2[#Headers],0),0),0)</f>
        <v>28640.09</v>
      </c>
      <c r="F54" s="16">
        <f>IFERROR(VLOOKUP($B$54,Balance2[],MATCH(F3,Balance2[#Headers],0),0),0)</f>
        <v>25918.94</v>
      </c>
      <c r="G54" s="16">
        <f>IFERROR(VLOOKUP($B$54,Balance2[],MATCH(G3,Balance2[#Headers],0),0),0)</f>
        <v>33698.839999999997</v>
      </c>
      <c r="H54" s="16">
        <f>IFERROR(VLOOKUP($B$54,Balance2[],MATCH(H3,Balance2[#Headers],0),0),0)</f>
        <v>40033.5</v>
      </c>
      <c r="I54" s="16">
        <f>IFERROR(VLOOKUP($B$54,Balance2[],MATCH(I3,Balance2[#Headers],0),0),0)</f>
        <v>31883.84</v>
      </c>
      <c r="J54" s="16">
        <f>IFERROR(VLOOKUP($B$54,Balance2[],MATCH(J3,Balance2[#Headers],0),0),0)</f>
        <v>35622.29</v>
      </c>
      <c r="K54" s="16">
        <f>IFERROR(VLOOKUP($B$54,Balance2[],MATCH(K3,Balance2[#Headers],0),0),0)</f>
        <v>20963.93</v>
      </c>
      <c r="L54" s="16">
        <f>IFERROR(VLOOKUP($B$54,Balance2[],MATCH(L3,Balance2[#Headers],0),0),0)</f>
        <v>10251.09</v>
      </c>
    </row>
    <row r="55" spans="2:13" x14ac:dyDescent="0.2">
      <c r="B55" t="s">
        <v>40</v>
      </c>
      <c r="C55" s="16">
        <f>IFERROR(VLOOKUP($B$55,Balance2[],MATCH(C3,Balance2[#Headers],0),0),0)</f>
        <v>8764.73</v>
      </c>
      <c r="D55" s="16">
        <f>IFERROR(VLOOKUP($B$55,Balance2[],MATCH(D3,Balance2[#Headers],0),0),0)</f>
        <v>10686.67</v>
      </c>
      <c r="E55" s="16">
        <f>IFERROR(VLOOKUP($B$55,Balance2[],MATCH(E3,Balance2[#Headers],0),0),0)</f>
        <v>15336.74</v>
      </c>
      <c r="F55" s="16">
        <f>IFERROR(VLOOKUP($B$55,Balance2[],MATCH(F3,Balance2[#Headers],0),0),0)</f>
        <v>23767.02</v>
      </c>
      <c r="G55" s="16">
        <f>IFERROR(VLOOKUP($B$55,Balance2[],MATCH(G3,Balance2[#Headers],0),0),0)</f>
        <v>20337.919999999998</v>
      </c>
      <c r="H55" s="16">
        <f>IFERROR(VLOOKUP($B$55,Balance2[],MATCH(H3,Balance2[#Headers],0),0),0)</f>
        <v>20812.75</v>
      </c>
      <c r="I55" s="16">
        <f>IFERROR(VLOOKUP($B$55,Balance2[],MATCH(I3,Balance2[#Headers],0),0),0)</f>
        <v>15770.72</v>
      </c>
      <c r="J55" s="16">
        <f>IFERROR(VLOOKUP($B$55,Balance2[],MATCH(J3,Balance2[#Headers],0),0),0)</f>
        <v>16308.48</v>
      </c>
      <c r="K55" s="16">
        <f>IFERROR(VLOOKUP($B$55,Balance2[],MATCH(K3,Balance2[#Headers],0),0),0)</f>
        <v>24620.28</v>
      </c>
      <c r="L55" s="16">
        <f>IFERROR(VLOOKUP($B$55,Balance2[],MATCH(L3,Balance2[#Headers],0),0),0)</f>
        <v>29379.53</v>
      </c>
    </row>
    <row r="56" spans="2:13" x14ac:dyDescent="0.2">
      <c r="B56" t="s">
        <v>41</v>
      </c>
      <c r="C56" s="16">
        <f>IFERROR('Data Sheet'!B65-SUM('Data Sheet'!B67:B69),0)</f>
        <v>32488.780000000006</v>
      </c>
      <c r="D56" s="16">
        <f>IFERROR('Data Sheet'!C65-SUM('Data Sheet'!C67:C69),0)</f>
        <v>37828.179999999993</v>
      </c>
      <c r="E56" s="16">
        <f>IFERROR('Data Sheet'!D65-SUM('Data Sheet'!D67:D69),0)</f>
        <v>30891.17</v>
      </c>
      <c r="F56" s="16">
        <f>IFERROR('Data Sheet'!E65-SUM('Data Sheet'!E67:E69),0)</f>
        <v>29579.359999999986</v>
      </c>
      <c r="G56" s="16">
        <f>IFERROR('Data Sheet'!F65-SUM('Data Sheet'!F67:F69),0)</f>
        <v>37360.780000000013</v>
      </c>
      <c r="H56" s="16">
        <f>IFERROR('Data Sheet'!G65-SUM('Data Sheet'!G67:G69),0)</f>
        <v>48286.860000000015</v>
      </c>
      <c r="I56" s="16">
        <f>IFERROR('Data Sheet'!H65-SUM('Data Sheet'!H67:H69),0)</f>
        <v>56155.739999999991</v>
      </c>
      <c r="J56" s="16">
        <f>IFERROR('Data Sheet'!I65-SUM('Data Sheet'!I67:I69),0)</f>
        <v>58784.94</v>
      </c>
      <c r="K56" s="16">
        <f>IFERROR('Data Sheet'!J65-SUM('Data Sheet'!J67:J69),0)</f>
        <v>61717.959999999992</v>
      </c>
      <c r="L56" s="16">
        <f>IFERROR('Data Sheet'!K65-SUM('Data Sheet'!K67:K69),0)</f>
        <v>62223.770000000019</v>
      </c>
    </row>
    <row r="57" spans="2:13" x14ac:dyDescent="0.2">
      <c r="B57" s="15" t="s">
        <v>83</v>
      </c>
      <c r="C57" s="28">
        <f>SUM(C53:C56)</f>
        <v>115218.79000000001</v>
      </c>
      <c r="D57" s="28">
        <f t="shared" ref="D57:L57" si="18">SUM(D53:D56)</f>
        <v>150869.07999999999</v>
      </c>
      <c r="E57" s="28">
        <f t="shared" si="18"/>
        <v>163347.49</v>
      </c>
      <c r="F57" s="28">
        <f t="shared" si="18"/>
        <v>186497.07999999996</v>
      </c>
      <c r="G57" s="28">
        <f t="shared" si="18"/>
        <v>187341.62</v>
      </c>
      <c r="H57" s="28">
        <f t="shared" si="18"/>
        <v>230546.97</v>
      </c>
      <c r="I57" s="28">
        <f t="shared" si="18"/>
        <v>215044.77</v>
      </c>
      <c r="J57" s="28">
        <f t="shared" si="18"/>
        <v>237822.85</v>
      </c>
      <c r="K57" s="28">
        <f t="shared" si="18"/>
        <v>246009.77999999997</v>
      </c>
      <c r="L57" s="28">
        <f t="shared" si="18"/>
        <v>240709.84000000003</v>
      </c>
    </row>
    <row r="58" spans="2:13" x14ac:dyDescent="0.2">
      <c r="B58" s="15"/>
    </row>
    <row r="59" spans="2:13" x14ac:dyDescent="0.2">
      <c r="B59" t="s">
        <v>42</v>
      </c>
      <c r="C59" s="16">
        <f>IFERROR(VLOOKUP($B$59,Balance2[],MATCH(C3,Balance2[#Headers],0),0),0)</f>
        <v>10959.6</v>
      </c>
      <c r="D59" s="16">
        <f>IFERROR(VLOOKUP($B$59,Balance2[],MATCH(D3,Balance2[#Headers],0),0),0)</f>
        <v>10574.23</v>
      </c>
      <c r="E59" s="16">
        <f>IFERROR(VLOOKUP($B$59,Balance2[],MATCH(E3,Balance2[#Headers],0),0),0)</f>
        <v>12579.2</v>
      </c>
      <c r="F59" s="16">
        <f>IFERROR(VLOOKUP($B$59,Balance2[],MATCH(F3,Balance2[#Headers],0),0),0)</f>
        <v>13570.91</v>
      </c>
      <c r="G59" s="16">
        <f>IFERROR(VLOOKUP($B$59,Balance2[],MATCH(G3,Balance2[#Headers],0),0),0)</f>
        <v>14075.55</v>
      </c>
      <c r="H59" s="16">
        <f>IFERROR(VLOOKUP($B$59,Balance2[],MATCH(H3,Balance2[#Headers],0),0),0)</f>
        <v>19893.3</v>
      </c>
      <c r="I59" s="16">
        <f>IFERROR(VLOOKUP($B$59,Balance2[],MATCH(I3,Balance2[#Headers],0),0),0)</f>
        <v>18996.169999999998</v>
      </c>
      <c r="J59" s="16">
        <f>IFERROR(VLOOKUP($B$59,Balance2[],MATCH(J3,Balance2[#Headers],0),0),0)</f>
        <v>11172.69</v>
      </c>
      <c r="K59" s="16">
        <f>IFERROR(VLOOKUP($B$59,Balance2[],MATCH(K3,Balance2[#Headers],0),0),0)</f>
        <v>12679.08</v>
      </c>
      <c r="L59" s="16">
        <f>IFERROR(VLOOKUP($B$59,Balance2[],MATCH(L3,Balance2[#Headers],0),0),0)</f>
        <v>12442.12</v>
      </c>
    </row>
    <row r="60" spans="2:13" x14ac:dyDescent="0.2">
      <c r="B60" t="s">
        <v>43</v>
      </c>
      <c r="C60" s="16">
        <f>IFERROR(VLOOKUP($B$60,Balance2[],MATCH(C3,Balance2[#Headers],0),0),0)</f>
        <v>21036.82</v>
      </c>
      <c r="D60" s="16">
        <f>IFERROR(VLOOKUP($B$60,Balance2[],MATCH(D3,Balance2[#Headers],0),0),0)</f>
        <v>27270.89</v>
      </c>
      <c r="E60" s="16">
        <f>IFERROR(VLOOKUP($B$60,Balance2[],MATCH(E3,Balance2[#Headers],0),0),0)</f>
        <v>29272.34</v>
      </c>
      <c r="F60" s="16">
        <f>IFERROR(VLOOKUP($B$60,Balance2[],MATCH(F3,Balance2[#Headers],0),0),0)</f>
        <v>32655.73</v>
      </c>
      <c r="G60" s="16">
        <f>IFERROR(VLOOKUP($B$60,Balance2[],MATCH(G3,Balance2[#Headers],0),0),0)</f>
        <v>35085.31</v>
      </c>
      <c r="H60" s="16">
        <f>IFERROR(VLOOKUP($B$60,Balance2[],MATCH(H3,Balance2[#Headers],0),0),0)</f>
        <v>42137.63</v>
      </c>
      <c r="I60" s="16">
        <f>IFERROR(VLOOKUP($B$60,Balance2[],MATCH(I3,Balance2[#Headers],0),0),0)</f>
        <v>39013.730000000003</v>
      </c>
      <c r="J60" s="16">
        <f>IFERROR(VLOOKUP($B$60,Balance2[],MATCH(J3,Balance2[#Headers],0),0),0)</f>
        <v>37456.879999999997</v>
      </c>
      <c r="K60" s="16">
        <f>IFERROR(VLOOKUP($B$60,Balance2[],MATCH(K3,Balance2[#Headers],0),0),0)</f>
        <v>36088.589999999997</v>
      </c>
      <c r="L60" s="16">
        <f>IFERROR(VLOOKUP($B$60,Balance2[],MATCH(L3,Balance2[#Headers],0),0),0)</f>
        <v>35240.339999999997</v>
      </c>
    </row>
    <row r="61" spans="2:13" x14ac:dyDescent="0.2">
      <c r="B61" t="s">
        <v>44</v>
      </c>
      <c r="C61" s="16">
        <f>IFERROR(VLOOKUP($B$61,Balance2[],MATCH(C3,Balance2[#Headers],0),0),0)</f>
        <v>21114.82</v>
      </c>
      <c r="D61" s="16">
        <f>IFERROR(VLOOKUP($B$61,Balance2[],MATCH(D3,Balance2[#Headers],0),0),0)</f>
        <v>29711.79</v>
      </c>
      <c r="E61" s="16">
        <f>IFERROR(VLOOKUP($B$61,Balance2[],MATCH(E3,Balance2[#Headers],0),0),0)</f>
        <v>32115.759999999998</v>
      </c>
      <c r="F61" s="16">
        <f>IFERROR(VLOOKUP($B$61,Balance2[],MATCH(F3,Balance2[#Headers],0),0),0)</f>
        <v>30460.400000000001</v>
      </c>
      <c r="G61" s="16">
        <f>IFERROR(VLOOKUP($B$61,Balance2[],MATCH(G3,Balance2[#Headers],0),0),0)</f>
        <v>36077.879999999997</v>
      </c>
      <c r="H61" s="16">
        <f>IFERROR(VLOOKUP($B$61,Balance2[],MATCH(H3,Balance2[#Headers],0),0),0)</f>
        <v>34613.910000000003</v>
      </c>
      <c r="I61" s="16">
        <f>IFERROR(VLOOKUP($B$61,Balance2[],MATCH(I3,Balance2[#Headers],0),0),0)</f>
        <v>32648.82</v>
      </c>
      <c r="J61" s="16">
        <f>IFERROR(VLOOKUP($B$61,Balance2[],MATCH(J3,Balance2[#Headers],0),0),0)</f>
        <v>33726.97</v>
      </c>
      <c r="K61" s="16">
        <f>IFERROR(VLOOKUP($B$61,Balance2[],MATCH(K3,Balance2[#Headers],0),0),0)</f>
        <v>46792.46</v>
      </c>
      <c r="L61" s="16">
        <f>IFERROR(VLOOKUP($B$61,Balance2[],MATCH(L3,Balance2[#Headers],0),0),0)</f>
        <v>40669.19</v>
      </c>
    </row>
    <row r="62" spans="2:13" x14ac:dyDescent="0.2">
      <c r="B62" s="15" t="s">
        <v>84</v>
      </c>
      <c r="C62" s="28">
        <f>IFERROR(SUM(C59:C61),0)</f>
        <v>53111.24</v>
      </c>
      <c r="D62" s="28">
        <f t="shared" ref="D62:L62" si="19">IFERROR(SUM(D59:D61),0)</f>
        <v>67556.91</v>
      </c>
      <c r="E62" s="28">
        <f t="shared" si="19"/>
        <v>73967.3</v>
      </c>
      <c r="F62" s="28">
        <f t="shared" si="19"/>
        <v>76687.040000000008</v>
      </c>
      <c r="G62" s="28">
        <f t="shared" si="19"/>
        <v>85238.739999999991</v>
      </c>
      <c r="H62" s="28">
        <f t="shared" si="19"/>
        <v>96644.84</v>
      </c>
      <c r="I62" s="28">
        <f t="shared" si="19"/>
        <v>90658.72</v>
      </c>
      <c r="J62" s="28">
        <f t="shared" si="19"/>
        <v>82356.540000000008</v>
      </c>
      <c r="K62" s="28">
        <f t="shared" si="19"/>
        <v>95560.13</v>
      </c>
      <c r="L62" s="28">
        <f t="shared" si="19"/>
        <v>88351.65</v>
      </c>
    </row>
    <row r="64" spans="2:13" x14ac:dyDescent="0.2">
      <c r="B64" s="15" t="s">
        <v>85</v>
      </c>
      <c r="C64" s="28">
        <f>IFERROR(C62+C57,0)</f>
        <v>168330.03</v>
      </c>
      <c r="D64" s="28">
        <f t="shared" ref="D64:L64" si="20">IFERROR(D62+D57,0)</f>
        <v>218425.99</v>
      </c>
      <c r="E64" s="28">
        <f t="shared" si="20"/>
        <v>237314.78999999998</v>
      </c>
      <c r="F64" s="28">
        <f t="shared" si="20"/>
        <v>263184.12</v>
      </c>
      <c r="G64" s="28">
        <f t="shared" si="20"/>
        <v>272580.36</v>
      </c>
      <c r="H64" s="28">
        <f t="shared" si="20"/>
        <v>327191.81</v>
      </c>
      <c r="I64" s="28">
        <f t="shared" si="20"/>
        <v>305703.49</v>
      </c>
      <c r="J64" s="28">
        <f t="shared" si="20"/>
        <v>320179.39</v>
      </c>
      <c r="K64" s="28">
        <f t="shared" si="20"/>
        <v>341569.91</v>
      </c>
      <c r="L64" s="28">
        <f t="shared" si="20"/>
        <v>329061.49</v>
      </c>
    </row>
    <row r="66" spans="1:13" x14ac:dyDescent="0.2">
      <c r="B66" s="18" t="s">
        <v>86</v>
      </c>
      <c r="C66" s="18" t="b">
        <f>C64=C51</f>
        <v>1</v>
      </c>
      <c r="D66" s="18" t="b">
        <f t="shared" ref="D66:L66" si="21">D64=D51</f>
        <v>1</v>
      </c>
      <c r="E66" s="18" t="b">
        <f t="shared" si="21"/>
        <v>1</v>
      </c>
      <c r="F66" s="18" t="b">
        <f t="shared" si="21"/>
        <v>1</v>
      </c>
      <c r="G66" s="18" t="b">
        <f t="shared" si="21"/>
        <v>1</v>
      </c>
      <c r="H66" s="18" t="b">
        <f t="shared" si="21"/>
        <v>1</v>
      </c>
      <c r="I66" s="18" t="b">
        <f t="shared" si="21"/>
        <v>1</v>
      </c>
      <c r="J66" s="18" t="b">
        <f t="shared" si="21"/>
        <v>1</v>
      </c>
      <c r="K66" s="18" t="b">
        <f t="shared" si="21"/>
        <v>1</v>
      </c>
      <c r="L66" s="18" t="b">
        <f t="shared" si="21"/>
        <v>1</v>
      </c>
    </row>
    <row r="68" spans="1:13" x14ac:dyDescent="0.2">
      <c r="A68" t="s">
        <v>59</v>
      </c>
      <c r="B68" s="26" t="s">
        <v>117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1:13" x14ac:dyDescent="0.2">
      <c r="B69" s="15" t="s">
        <v>119</v>
      </c>
    </row>
    <row r="70" spans="1:13" x14ac:dyDescent="0.2">
      <c r="B70" t="s">
        <v>87</v>
      </c>
      <c r="C70" s="16">
        <f>IFERROR(VLOOKUP($B$70,CF[#All],MATCH(C3,CF[#Headers],0),0),0)</f>
        <v>24406</v>
      </c>
      <c r="D70" s="16">
        <f>IFERROR(VLOOKUP($B$70,CF[#All],MATCH(D3,CF[#Headers],0),0),0)</f>
        <v>36303</v>
      </c>
      <c r="E70" s="16">
        <f>IFERROR(VLOOKUP($B$70,CF[#All],MATCH(E3,CF[#Headers],0),0),0)</f>
        <v>43397</v>
      </c>
      <c r="F70" s="16">
        <f>IFERROR(VLOOKUP($B$70,CF[#All],MATCH(F3,CF[#Headers],0),0),0)</f>
        <v>38626</v>
      </c>
      <c r="G70" s="16">
        <f>IFERROR(VLOOKUP($B$70,CF[#All],MATCH(G3,CF[#Headers],0),0),0)</f>
        <v>28840</v>
      </c>
      <c r="H70" s="16">
        <f>IFERROR(VLOOKUP($B$70,CF[#All],MATCH(H3,CF[#Headers],0),0),0)</f>
        <v>33312</v>
      </c>
      <c r="I70" s="16">
        <f>IFERROR(VLOOKUP($B$70,CF[#All],MATCH(I3,CF[#Headers],0),0),0)</f>
        <v>28771</v>
      </c>
      <c r="J70" s="16">
        <f>IFERROR(VLOOKUP($B$70,CF[#All],MATCH(J3,CF[#Headers],0),0),0)</f>
        <v>23352</v>
      </c>
      <c r="K70" s="16">
        <f>IFERROR(VLOOKUP($B$70,CF[#All],MATCH(K3,CF[#Headers],0),0),0)</f>
        <v>31198</v>
      </c>
      <c r="L70" s="16">
        <f>IFERROR(VLOOKUP($B$70,CF[#All],MATCH(L3,CF[#Headers],0),0),0)</f>
        <v>26666</v>
      </c>
    </row>
    <row r="71" spans="1:13" x14ac:dyDescent="0.2">
      <c r="B71" t="s">
        <v>42</v>
      </c>
      <c r="C71" s="16">
        <f>IFERROR(VLOOKUP($B$71,CF[#All],MATCH(C3,CF[#Headers],0),0),0)</f>
        <v>-5177</v>
      </c>
      <c r="D71" s="16">
        <f>IFERROR(VLOOKUP($B$71,CF[#All],MATCH(D3,CF[#Headers],0),0),0)</f>
        <v>445</v>
      </c>
      <c r="E71" s="16">
        <f>IFERROR(VLOOKUP($B$71,CF[#All],MATCH(E3,CF[#Headers],0),0),0)</f>
        <v>-3179</v>
      </c>
      <c r="F71" s="16">
        <f>IFERROR(VLOOKUP($B$71,CF[#All],MATCH(F3,CF[#Headers],0),0),0)</f>
        <v>-2223</v>
      </c>
      <c r="G71" s="16">
        <f>IFERROR(VLOOKUP($B$71,CF[#All],MATCH(G3,CF[#Headers],0),0),0)</f>
        <v>-4152</v>
      </c>
      <c r="H71" s="16">
        <f>IFERROR(VLOOKUP($B$71,CF[#All],MATCH(H3,CF[#Headers],0),0),0)</f>
        <v>-10688</v>
      </c>
      <c r="I71" s="16">
        <f>IFERROR(VLOOKUP($B$71,CF[#All],MATCH(I3,CF[#Headers],0),0),0)</f>
        <v>-9109</v>
      </c>
      <c r="J71" s="16">
        <f>IFERROR(VLOOKUP($B$71,CF[#All],MATCH(J3,CF[#Headers],0),0),0)</f>
        <v>9950</v>
      </c>
      <c r="K71" s="16">
        <f>IFERROR(VLOOKUP($B$71,CF[#All],MATCH(K3,CF[#Headers],0),0),0)</f>
        <v>-5505</v>
      </c>
      <c r="L71" s="16">
        <f>IFERROR(VLOOKUP($B$71,CF[#All],MATCH(L3,CF[#Headers],0),0),0)</f>
        <v>337</v>
      </c>
    </row>
    <row r="72" spans="1:13" x14ac:dyDescent="0.2">
      <c r="B72" t="s">
        <v>43</v>
      </c>
      <c r="C72" s="16">
        <f>IFERROR(VLOOKUP($B$72,CF[#All],MATCH(C3,CF[#Headers],0),0),0)</f>
        <v>-2656</v>
      </c>
      <c r="D72" s="16">
        <f>IFERROR(VLOOKUP($B$72,CF[#All],MATCH(D3,CF[#Headers],0),0),0)</f>
        <v>-2853</v>
      </c>
      <c r="E72" s="16">
        <f>IFERROR(VLOOKUP($B$72,CF[#All],MATCH(E3,CF[#Headers],0),0),0)</f>
        <v>-3692</v>
      </c>
      <c r="F72" s="16">
        <f>IFERROR(VLOOKUP($B$72,CF[#All],MATCH(F3,CF[#Headers],0),0),0)</f>
        <v>-5743</v>
      </c>
      <c r="G72" s="16">
        <f>IFERROR(VLOOKUP($B$72,CF[#All],MATCH(G3,CF[#Headers],0),0),0)</f>
        <v>-6621</v>
      </c>
      <c r="H72" s="16">
        <f>IFERROR(VLOOKUP($B$72,CF[#All],MATCH(H3,CF[#Headers],0),0),0)</f>
        <v>-3560</v>
      </c>
      <c r="I72" s="16">
        <f>IFERROR(VLOOKUP($B$72,CF[#All],MATCH(I3,CF[#Headers],0),0),0)</f>
        <v>2069</v>
      </c>
      <c r="J72" s="16">
        <f>IFERROR(VLOOKUP($B$72,CF[#All],MATCH(J3,CF[#Headers],0),0),0)</f>
        <v>2326</v>
      </c>
      <c r="K72" s="16">
        <f>IFERROR(VLOOKUP($B$72,CF[#All],MATCH(K3,CF[#Headers],0),0),0)</f>
        <v>3814</v>
      </c>
      <c r="L72" s="16">
        <f>IFERROR(VLOOKUP($B$72,CF[#All],MATCH(L3,CF[#Headers],0),0),0)</f>
        <v>597</v>
      </c>
    </row>
    <row r="73" spans="1:13" x14ac:dyDescent="0.2">
      <c r="B73" t="s">
        <v>88</v>
      </c>
      <c r="C73" s="16">
        <f>IFERROR(VLOOKUP($B$73,CF[#All],MATCH(C3,CF[#Headers],0),0),0)</f>
        <v>8132</v>
      </c>
      <c r="D73" s="16">
        <f>IFERROR(VLOOKUP($B$73,CF[#All],MATCH(D3,CF[#Headers],0),0),0)</f>
        <v>4694</v>
      </c>
      <c r="E73" s="16">
        <f>IFERROR(VLOOKUP($B$73,CF[#All],MATCH(E3,CF[#Headers],0),0),0)</f>
        <v>3598</v>
      </c>
      <c r="F73" s="16">
        <f>IFERROR(VLOOKUP($B$73,CF[#All],MATCH(F3,CF[#Headers],0),0),0)</f>
        <v>3947</v>
      </c>
      <c r="G73" s="16">
        <f>IFERROR(VLOOKUP($B$73,CF[#All],MATCH(G3,CF[#Headers],0),0),0)</f>
        <v>9301</v>
      </c>
      <c r="H73" s="16">
        <f>IFERROR(VLOOKUP($B$73,CF[#All],MATCH(H3,CF[#Headers],0),0),0)</f>
        <v>7320</v>
      </c>
      <c r="I73" s="16">
        <f>IFERROR(VLOOKUP($B$73,CF[#All],MATCH(I3,CF[#Headers],0),0),0)</f>
        <v>-4692</v>
      </c>
      <c r="J73" s="16">
        <f>IFERROR(VLOOKUP($B$73,CF[#All],MATCH(J3,CF[#Headers],0),0),0)</f>
        <v>-8085</v>
      </c>
      <c r="K73" s="16">
        <f>IFERROR(VLOOKUP($B$73,CF[#All],MATCH(K3,CF[#Headers],0),0),0)</f>
        <v>5748</v>
      </c>
      <c r="L73" s="16">
        <f>IFERROR(VLOOKUP($B$73,CF[#All],MATCH(L3,CF[#Headers],0),0),0)</f>
        <v>-7012</v>
      </c>
    </row>
    <row r="74" spans="1:13" x14ac:dyDescent="0.2">
      <c r="B74" t="s">
        <v>89</v>
      </c>
      <c r="C74" s="16">
        <f>IFERROR(VLOOKUP($B$74,CF[#All],MATCH(C3,CF[#Headers],0),0),0)</f>
        <v>0</v>
      </c>
      <c r="D74" s="16">
        <f>IFERROR(VLOOKUP($B$74,CF[#All],MATCH(D3,CF[#Headers],0),0),0)</f>
        <v>0</v>
      </c>
      <c r="E74" s="16">
        <f>IFERROR(VLOOKUP($B$74,CF[#All],MATCH(E3,CF[#Headers],0),0),0)</f>
        <v>0</v>
      </c>
      <c r="F74" s="16">
        <f>IFERROR(VLOOKUP($B$74,CF[#All],MATCH(F3,CF[#Headers],0),0),0)</f>
        <v>-520</v>
      </c>
      <c r="G74" s="16">
        <f>IFERROR(VLOOKUP($B$74,CF[#All],MATCH(G3,CF[#Headers],0),0),0)</f>
        <v>0</v>
      </c>
      <c r="H74" s="16">
        <f>IFERROR(VLOOKUP($B$74,CF[#All],MATCH(H3,CF[#Headers],0),0),0)</f>
        <v>0</v>
      </c>
      <c r="I74" s="16">
        <f>IFERROR(VLOOKUP($B$74,CF[#All],MATCH(I3,CF[#Headers],0),0),0)</f>
        <v>0</v>
      </c>
      <c r="J74" s="16">
        <f>IFERROR(VLOOKUP($B$74,CF[#All],MATCH(J3,CF[#Headers],0),0),0)</f>
        <v>0</v>
      </c>
      <c r="K74" s="16">
        <f>IFERROR(VLOOKUP($B$74,CF[#All],MATCH(K3,CF[#Headers],0),0),0)</f>
        <v>0</v>
      </c>
      <c r="L74" s="16">
        <f>IFERROR(VLOOKUP($B$74,CF[#All],MATCH(L3,CF[#Headers],0),0),0)</f>
        <v>0</v>
      </c>
    </row>
    <row r="75" spans="1:13" x14ac:dyDescent="0.2">
      <c r="B75" t="s">
        <v>90</v>
      </c>
      <c r="C75" s="16">
        <f>IFERROR(VLOOKUP($B$75,CF[#All],MATCH(C3,CF[#Headers],0),0),0)</f>
        <v>-303</v>
      </c>
      <c r="D75" s="16">
        <f>IFERROR(VLOOKUP($B$75,CF[#All],MATCH(D3,CF[#Headers],0),0),0)</f>
        <v>1870</v>
      </c>
      <c r="E75" s="16">
        <f>IFERROR(VLOOKUP($B$75,CF[#All],MATCH(E3,CF[#Headers],0),0),0)</f>
        <v>-398</v>
      </c>
      <c r="F75" s="16">
        <f>IFERROR(VLOOKUP($B$75,CF[#All],MATCH(F3,CF[#Headers],0),0),0)</f>
        <v>5852</v>
      </c>
      <c r="G75" s="16">
        <f>IFERROR(VLOOKUP($B$75,CF[#All],MATCH(G3,CF[#Headers],0),0),0)</f>
        <v>4727</v>
      </c>
      <c r="H75" s="16">
        <f>IFERROR(VLOOKUP($B$75,CF[#All],MATCH(H3,CF[#Headers],0),0),0)</f>
        <v>494</v>
      </c>
      <c r="I75" s="16">
        <f>IFERROR(VLOOKUP($B$75,CF[#All],MATCH(I3,CF[#Headers],0),0),0)</f>
        <v>4512</v>
      </c>
      <c r="J75" s="16">
        <f>IFERROR(VLOOKUP($B$75,CF[#All],MATCH(J3,CF[#Headers],0),0),0)</f>
        <v>875</v>
      </c>
      <c r="K75" s="16">
        <f>IFERROR(VLOOKUP($B$75,CF[#All],MATCH(K3,CF[#Headers],0),0),0)</f>
        <v>-4150</v>
      </c>
      <c r="L75" s="16">
        <f>IFERROR(VLOOKUP($B$75,CF[#All],MATCH(L3,CF[#Headers],0),0),0)</f>
        <v>-4396</v>
      </c>
    </row>
    <row r="76" spans="1:13" x14ac:dyDescent="0.2">
      <c r="B76" t="s">
        <v>91</v>
      </c>
      <c r="C76" s="16">
        <f>IFERROR(VLOOKUP($B$76,CF[#All],MATCH(C3,CF[#Headers],0),0),0)</f>
        <v>-3</v>
      </c>
      <c r="D76" s="16">
        <f>IFERROR('Cash Flow Data'!F10,0)</f>
        <v>4157</v>
      </c>
      <c r="E76" s="16">
        <f>IFERROR('Cash Flow Data'!G10,0)</f>
        <v>-3672</v>
      </c>
      <c r="F76" s="16">
        <f>IFERROR('Cash Flow Data'!H10,0)</f>
        <v>1313</v>
      </c>
      <c r="G76" s="16">
        <f>IFERROR('Cash Flow Data'!I10,0)</f>
        <v>3254</v>
      </c>
      <c r="H76" s="16">
        <f>IFERROR('Cash Flow Data'!J10,0)</f>
        <v>-6434</v>
      </c>
      <c r="I76" s="16">
        <f>IFERROR('Cash Flow Data'!K10,0)</f>
        <v>-7221</v>
      </c>
      <c r="J76" s="16">
        <f>IFERROR('Cash Flow Data'!L10,0)</f>
        <v>5065</v>
      </c>
      <c r="K76" s="16">
        <f>IFERROR('Cash Flow Data'!M10,0)</f>
        <v>-93</v>
      </c>
      <c r="L76" s="16">
        <f>IFERROR('Cash Flow Data'!N10,0)</f>
        <v>-10474</v>
      </c>
    </row>
    <row r="77" spans="1:13" x14ac:dyDescent="0.2">
      <c r="B77" t="s">
        <v>92</v>
      </c>
      <c r="C77" s="16">
        <f>IFERROR(VLOOKUP($B$77,CF[#All],MATCH($C$3,CF[#Headers],0),0),0)</f>
        <v>-2240</v>
      </c>
      <c r="D77" s="16">
        <f>IFERROR(VLOOKUP($B$77,CF[#All],MATCH($C$3,CF[#Headers],0),0),0)</f>
        <v>-2240</v>
      </c>
      <c r="E77" s="16">
        <f>IFERROR(VLOOKUP($B$77,CF[#All],MATCH($C$3,CF[#Headers],0),0),0)</f>
        <v>-2240</v>
      </c>
      <c r="F77" s="16">
        <f>IFERROR(VLOOKUP($B$77,CF[#All],MATCH($C$3,CF[#Headers],0),0),0)</f>
        <v>-2240</v>
      </c>
      <c r="G77" s="16">
        <f>IFERROR(VLOOKUP($B$77,CF[#All],MATCH($C$3,CF[#Headers],0),0),0)</f>
        <v>-2240</v>
      </c>
      <c r="H77" s="16">
        <f>IFERROR(VLOOKUP($B$77,CF[#All],MATCH($C$3,CF[#Headers],0),0),0)</f>
        <v>-2240</v>
      </c>
      <c r="I77" s="16">
        <f>IFERROR(VLOOKUP($B$77,CF[#All],MATCH($C$3,CF[#Headers],0),0),0)</f>
        <v>-2240</v>
      </c>
      <c r="J77" s="16">
        <f>IFERROR(VLOOKUP($B$77,CF[#All],MATCH($C$3,CF[#Headers],0),0),0)</f>
        <v>-2240</v>
      </c>
      <c r="K77" s="16">
        <f>IFERROR(VLOOKUP($B$77,CF[#All],MATCH($C$3,CF[#Headers],0),0),0)</f>
        <v>-2240</v>
      </c>
      <c r="L77" s="16">
        <f>IFERROR(VLOOKUP($B$77,CF[#All],MATCH($C$3,CF[#Headers],0),0),0)</f>
        <v>-2240</v>
      </c>
    </row>
    <row r="78" spans="1:13" x14ac:dyDescent="0.2">
      <c r="B78" s="15" t="s">
        <v>118</v>
      </c>
      <c r="C78" s="28">
        <f>SUM(C70:C77)</f>
        <v>22159</v>
      </c>
      <c r="D78" s="28">
        <f t="shared" ref="D78:L78" si="22">SUM(D70:D77)</f>
        <v>42376</v>
      </c>
      <c r="E78" s="28">
        <f t="shared" si="22"/>
        <v>33814</v>
      </c>
      <c r="F78" s="28">
        <f t="shared" si="22"/>
        <v>39012</v>
      </c>
      <c r="G78" s="28">
        <f t="shared" si="22"/>
        <v>33109</v>
      </c>
      <c r="H78" s="28">
        <f t="shared" si="22"/>
        <v>18204</v>
      </c>
      <c r="I78" s="28">
        <f t="shared" si="22"/>
        <v>12090</v>
      </c>
      <c r="J78" s="28">
        <f t="shared" si="22"/>
        <v>31243</v>
      </c>
      <c r="K78" s="28">
        <f t="shared" si="22"/>
        <v>28772</v>
      </c>
      <c r="L78" s="28">
        <f t="shared" si="22"/>
        <v>3478</v>
      </c>
    </row>
    <row r="80" spans="1:13" x14ac:dyDescent="0.2">
      <c r="B80" s="15" t="s">
        <v>120</v>
      </c>
    </row>
    <row r="81" spans="2:12" x14ac:dyDescent="0.2">
      <c r="B81" t="s">
        <v>93</v>
      </c>
      <c r="C81" s="16">
        <f>IFERROR(VLOOKUP($B$81,CF[#All],MATCH(C3,CF[#Headers],0),0),0)</f>
        <v>-18863</v>
      </c>
      <c r="D81" s="16">
        <f>IFERROR(VLOOKUP($B$81,CF[#All],MATCH(D3,CF[#Headers],0),0),0)</f>
        <v>-26975</v>
      </c>
      <c r="E81" s="16">
        <f>IFERROR(VLOOKUP($B$81,CF[#All],MATCH(E3,CF[#Headers],0),0),0)</f>
        <v>-31962</v>
      </c>
      <c r="F81" s="16">
        <f>IFERROR(VLOOKUP($B$81,CF[#All],MATCH(F3,CF[#Headers],0),0),0)</f>
        <v>-31503</v>
      </c>
      <c r="G81" s="16">
        <f>IFERROR(VLOOKUP($B$81,CF[#All],MATCH(G3,CF[#Headers],0),0),0)</f>
        <v>-16072</v>
      </c>
      <c r="H81" s="16">
        <f>IFERROR(VLOOKUP($B$81,CF[#All],MATCH(H3,CF[#Headers],0),0),0)</f>
        <v>-35079</v>
      </c>
      <c r="I81" s="16">
        <f>IFERROR(VLOOKUP($B$81,CF[#All],MATCH(I3,CF[#Headers],0),0),0)</f>
        <v>-35304</v>
      </c>
      <c r="J81" s="16">
        <f>IFERROR(VLOOKUP($B$81,CF[#All],MATCH(J3,CF[#Headers],0),0),0)</f>
        <v>-29702</v>
      </c>
      <c r="K81" s="16">
        <f>IFERROR(VLOOKUP($B$81,CF[#All],MATCH(K3,CF[#Headers],0),0),0)</f>
        <v>-20205</v>
      </c>
      <c r="L81" s="16">
        <f>IFERROR(VLOOKUP($B$81,CF[#All],MATCH(L3,CF[#Headers],0),0),0)</f>
        <v>-15168</v>
      </c>
    </row>
    <row r="82" spans="2:12" x14ac:dyDescent="0.2">
      <c r="B82" t="s">
        <v>94</v>
      </c>
      <c r="C82" s="16">
        <f>IFERROR(VLOOKUP($B$82,CF[#All],MATCH(C3,CF[#Headers],0),0),0)</f>
        <v>37</v>
      </c>
      <c r="D82" s="16">
        <f>IFERROR(VLOOKUP($B$82,CF[#All],MATCH(D3,CF[#Headers],0),0),0)</f>
        <v>50</v>
      </c>
      <c r="E82" s="16">
        <f>IFERROR(VLOOKUP($B$82,CF[#All],MATCH(E3,CF[#Headers],0),0),0)</f>
        <v>74</v>
      </c>
      <c r="F82" s="16">
        <f>IFERROR(VLOOKUP($B$82,CF[#All],MATCH(F3,CF[#Headers],0),0),0)</f>
        <v>59</v>
      </c>
      <c r="G82" s="16">
        <f>IFERROR(VLOOKUP($B$82,CF[#All],MATCH(G3,CF[#Headers],0),0),0)</f>
        <v>53</v>
      </c>
      <c r="H82" s="16">
        <f>IFERROR(VLOOKUP($B$82,CF[#All],MATCH(H3,CF[#Headers],0),0),0)</f>
        <v>30</v>
      </c>
      <c r="I82" s="16">
        <f>IFERROR(VLOOKUP($B$82,CF[#All],MATCH(I3,CF[#Headers],0),0),0)</f>
        <v>67</v>
      </c>
      <c r="J82" s="16">
        <f>IFERROR(VLOOKUP($B$82,CF[#All],MATCH(J3,CF[#Headers],0),0),0)</f>
        <v>171</v>
      </c>
      <c r="K82" s="16">
        <f>IFERROR(VLOOKUP($B$82,CF[#All],MATCH(K3,CF[#Headers],0),0),0)</f>
        <v>351</v>
      </c>
      <c r="L82" s="16">
        <f>IFERROR(VLOOKUP($B$82,CF[#All],MATCH(L3,CF[#Headers],0),0),0)</f>
        <v>230</v>
      </c>
    </row>
    <row r="83" spans="2:12" x14ac:dyDescent="0.2">
      <c r="B83" t="s">
        <v>95</v>
      </c>
      <c r="C83" s="16">
        <f>IFERROR(VLOOKUP($B$83,CF[#All],MATCH(C3,CF[#Headers],0),0),0)</f>
        <v>73</v>
      </c>
      <c r="D83" s="16">
        <f>IFERROR(VLOOKUP($B$83,CF[#All],MATCH(D3,CF[#Headers],0),0),0)</f>
        <v>-429</v>
      </c>
      <c r="E83" s="16">
        <f>IFERROR(VLOOKUP($B$83,CF[#All],MATCH(E3,CF[#Headers],0),0),0)</f>
        <v>-5461</v>
      </c>
      <c r="F83" s="16">
        <f>IFERROR(VLOOKUP($B$83,CF[#All],MATCH(F3,CF[#Headers],0),0),0)</f>
        <v>-4728</v>
      </c>
      <c r="G83" s="16">
        <f>IFERROR(VLOOKUP($B$83,CF[#All],MATCH(G3,CF[#Headers],0),0),0)</f>
        <v>-6</v>
      </c>
      <c r="H83" s="16">
        <f>IFERROR(VLOOKUP($B$83,CF[#All],MATCH(H3,CF[#Headers],0),0),0)</f>
        <v>-329</v>
      </c>
      <c r="I83" s="16">
        <f>IFERROR(VLOOKUP($B$83,CF[#All],MATCH(I3,CF[#Headers],0),0),0)</f>
        <v>-130</v>
      </c>
      <c r="J83" s="16">
        <f>IFERROR(VLOOKUP($B$83,CF[#All],MATCH(J3,CF[#Headers],0),0),0)</f>
        <v>-1439</v>
      </c>
      <c r="K83" s="16">
        <f>IFERROR(VLOOKUP($B$83,CF[#All],MATCH(K3,CF[#Headers],0),0),0)</f>
        <v>-7530</v>
      </c>
      <c r="L83" s="16">
        <f>IFERROR(VLOOKUP($B$83,CF[#All],MATCH(L3,CF[#Headers],0),0),0)</f>
        <v>-3008</v>
      </c>
    </row>
    <row r="84" spans="2:12" x14ac:dyDescent="0.2">
      <c r="B84" t="s">
        <v>96</v>
      </c>
      <c r="C84" s="16">
        <f>IFERROR(VLOOKUP($B$84,CF[#All],MATCH(C3,CF[#Headers],0),0),0)</f>
        <v>34</v>
      </c>
      <c r="D84" s="16">
        <f>IFERROR(VLOOKUP($B$84,CF[#All],MATCH(D3,CF[#Headers],0),0),0)</f>
        <v>4</v>
      </c>
      <c r="E84" s="16">
        <f>IFERROR(VLOOKUP($B$84,CF[#All],MATCH(E3,CF[#Headers],0),0),0)</f>
        <v>42</v>
      </c>
      <c r="F84" s="16">
        <f>IFERROR(VLOOKUP($B$84,CF[#All],MATCH(F3,CF[#Headers],0),0),0)</f>
        <v>89</v>
      </c>
      <c r="G84" s="16">
        <f>IFERROR(VLOOKUP($B$84,CF[#All],MATCH(G3,CF[#Headers],0),0),0)</f>
        <v>1965</v>
      </c>
      <c r="H84" s="16">
        <f>IFERROR(VLOOKUP($B$84,CF[#All],MATCH(H3,CF[#Headers],0),0),0)</f>
        <v>2381</v>
      </c>
      <c r="I84" s="16">
        <f>IFERROR(VLOOKUP($B$84,CF[#All],MATCH(I3,CF[#Headers],0),0),0)</f>
        <v>5644</v>
      </c>
      <c r="J84" s="16">
        <f>IFERROR(VLOOKUP($B$84,CF[#All],MATCH(J3,CF[#Headers],0),0),0)</f>
        <v>21</v>
      </c>
      <c r="K84" s="16">
        <f>IFERROR(VLOOKUP($B$84,CF[#All],MATCH(K3,CF[#Headers],0),0),0)</f>
        <v>226</v>
      </c>
      <c r="L84" s="16">
        <f>IFERROR(VLOOKUP($B$84,CF[#All],MATCH(L3,CF[#Headers],0),0),0)</f>
        <v>104</v>
      </c>
    </row>
    <row r="85" spans="2:12" x14ac:dyDescent="0.2">
      <c r="B85" t="s">
        <v>97</v>
      </c>
      <c r="C85" s="16">
        <f>IFERROR(VLOOKUP($B$85,CF[#All],MATCH(C3,CF[#Headers],0),0),0)</f>
        <v>713</v>
      </c>
      <c r="D85" s="16">
        <f>IFERROR(VLOOKUP($B$85,CF[#All],MATCH(D3,CF[#Headers],0),0),0)</f>
        <v>653</v>
      </c>
      <c r="E85" s="16">
        <f>IFERROR(VLOOKUP($B$85,CF[#All],MATCH(E3,CF[#Headers],0),0),0)</f>
        <v>698</v>
      </c>
      <c r="F85" s="16">
        <f>IFERROR(VLOOKUP($B$85,CF[#All],MATCH(F3,CF[#Headers],0),0),0)</f>
        <v>731</v>
      </c>
      <c r="G85" s="16">
        <f>IFERROR(VLOOKUP($B$85,CF[#All],MATCH(G3,CF[#Headers],0),0),0)</f>
        <v>638</v>
      </c>
      <c r="H85" s="16">
        <f>IFERROR(VLOOKUP($B$85,CF[#All],MATCH(H3,CF[#Headers],0),0),0)</f>
        <v>690</v>
      </c>
      <c r="I85" s="16">
        <f>IFERROR(VLOOKUP($B$85,CF[#All],MATCH(I3,CF[#Headers],0),0),0)</f>
        <v>761</v>
      </c>
      <c r="J85" s="16">
        <f>IFERROR(VLOOKUP($B$85,CF[#All],MATCH(J3,CF[#Headers],0),0),0)</f>
        <v>1104</v>
      </c>
      <c r="K85" s="16">
        <f>IFERROR(VLOOKUP($B$85,CF[#All],MATCH(K3,CF[#Headers],0),0),0)</f>
        <v>428</v>
      </c>
      <c r="L85" s="16">
        <f>IFERROR(VLOOKUP($B$85,CF[#All],MATCH(L3,CF[#Headers],0),0),0)</f>
        <v>653</v>
      </c>
    </row>
    <row r="86" spans="2:12" x14ac:dyDescent="0.2">
      <c r="B86" t="s">
        <v>98</v>
      </c>
      <c r="C86" s="16">
        <f>IFERROR(VLOOKUP($B$86,CF[#All],MATCH(C3,CF[#Headers],0),0),0)</f>
        <v>95</v>
      </c>
      <c r="D86" s="16">
        <f>IFERROR(VLOOKUP($B$86,CF[#All],MATCH(D3,CF[#Headers],0),0),0)</f>
        <v>40</v>
      </c>
      <c r="E86" s="16">
        <f>IFERROR(VLOOKUP($B$86,CF[#All],MATCH(E3,CF[#Headers],0),0),0)</f>
        <v>80</v>
      </c>
      <c r="F86" s="16">
        <f>IFERROR(VLOOKUP($B$86,CF[#All],MATCH(F3,CF[#Headers],0),0),0)</f>
        <v>58</v>
      </c>
      <c r="G86" s="16">
        <f>IFERROR(VLOOKUP($B$86,CF[#All],MATCH(G3,CF[#Headers],0),0),0)</f>
        <v>620</v>
      </c>
      <c r="H86" s="16">
        <f>IFERROR(VLOOKUP($B$86,CF[#All],MATCH(H3,CF[#Headers],0),0),0)</f>
        <v>1797</v>
      </c>
      <c r="I86" s="16">
        <f>IFERROR(VLOOKUP($B$86,CF[#All],MATCH(I3,CF[#Headers],0),0),0)</f>
        <v>232</v>
      </c>
      <c r="J86" s="16">
        <f>IFERROR(VLOOKUP($B$86,CF[#All],MATCH(J3,CF[#Headers],0),0),0)</f>
        <v>21</v>
      </c>
      <c r="K86" s="16">
        <f>IFERROR(VLOOKUP($B$86,CF[#All],MATCH(K3,CF[#Headers],0),0),0)</f>
        <v>18</v>
      </c>
      <c r="L86" s="16">
        <f>IFERROR(VLOOKUP($B$86,CF[#All],MATCH(L3,CF[#Headers],0),0),0)</f>
        <v>32</v>
      </c>
    </row>
    <row r="87" spans="2:12" x14ac:dyDescent="0.2">
      <c r="B87" t="s">
        <v>99</v>
      </c>
      <c r="C87" s="16">
        <f>IFERROR(VLOOKUP($B$87,CF[#All],MATCH(C3,CF[#Headers],0),0),0)</f>
        <v>0</v>
      </c>
      <c r="D87" s="16">
        <f>IFERROR(VLOOKUP($B$87,CF[#All],MATCH(D3,CF[#Headers],0),0),0)</f>
        <v>0</v>
      </c>
      <c r="E87" s="16">
        <f>IFERROR(VLOOKUP($B$87,CF[#All],MATCH(E3,CF[#Headers],0),0),0)</f>
        <v>0</v>
      </c>
      <c r="F87" s="16">
        <f>IFERROR(VLOOKUP($B$87,CF[#All],MATCH(F3,CF[#Headers],0),0),0)</f>
        <v>0</v>
      </c>
      <c r="G87" s="16">
        <f>IFERROR(VLOOKUP($B$87,CF[#All],MATCH(G3,CF[#Headers],0),0),0)</f>
        <v>0</v>
      </c>
      <c r="H87" s="16">
        <f>IFERROR(VLOOKUP($B$87,CF[#All],MATCH(H3,CF[#Headers],0),0),0)</f>
        <v>0</v>
      </c>
      <c r="I87" s="16">
        <f>IFERROR(VLOOKUP($B$87,CF[#All],MATCH(I3,CF[#Headers],0),0),0)</f>
        <v>0</v>
      </c>
      <c r="J87" s="16">
        <f>IFERROR(VLOOKUP($B$87,CF[#All],MATCH(J3,CF[#Headers],0),0),0)</f>
        <v>0</v>
      </c>
      <c r="K87" s="16">
        <f>IFERROR(VLOOKUP($B$87,CF[#All],MATCH(K3,CF[#Headers],0),0),0)</f>
        <v>0</v>
      </c>
      <c r="L87" s="16">
        <f>IFERROR(VLOOKUP($B$87,CF[#All],MATCH(L3,CF[#Headers],0),0),0)</f>
        <v>0</v>
      </c>
    </row>
    <row r="88" spans="2:12" x14ac:dyDescent="0.2">
      <c r="B88" t="s">
        <v>100</v>
      </c>
      <c r="C88" s="16">
        <f>IFERROR(VLOOKUP($B$88,CF[#All],MATCH(C3,CF[#Headers],0),0),0)</f>
        <v>0</v>
      </c>
      <c r="D88" s="16">
        <f>IFERROR(VLOOKUP($B$88,CF[#All],MATCH(D3,CF[#Headers],0),0),0)</f>
        <v>0</v>
      </c>
      <c r="E88" s="16">
        <f>IFERROR(VLOOKUP($B$88,CF[#All],MATCH(E3,CF[#Headers],0),0),0)</f>
        <v>-160</v>
      </c>
      <c r="F88" s="16">
        <f>IFERROR(VLOOKUP($B$88,CF[#All],MATCH(F3,CF[#Headers],0),0),0)</f>
        <v>0</v>
      </c>
      <c r="G88" s="16">
        <f>IFERROR(VLOOKUP($B$88,CF[#All],MATCH(G3,CF[#Headers],0),0),0)</f>
        <v>-107</v>
      </c>
      <c r="H88" s="16">
        <f>IFERROR(VLOOKUP($B$88,CF[#All],MATCH(H3,CF[#Headers],0),0),0)</f>
        <v>-4</v>
      </c>
      <c r="I88" s="16">
        <f>IFERROR(VLOOKUP($B$88,CF[#All],MATCH(I3,CF[#Headers],0),0),0)</f>
        <v>-9</v>
      </c>
      <c r="J88" s="16">
        <f>IFERROR(VLOOKUP($B$88,CF[#All],MATCH(J3,CF[#Headers],0),0),0)</f>
        <v>-606</v>
      </c>
      <c r="K88" s="16">
        <f>IFERROR(VLOOKUP($B$88,CF[#All],MATCH(K3,CF[#Headers],0),0),0)</f>
        <v>-10</v>
      </c>
      <c r="L88" s="16">
        <f>IFERROR(VLOOKUP($B$88,CF[#All],MATCH(L3,CF[#Headers],0),0),0)</f>
        <v>0</v>
      </c>
    </row>
    <row r="89" spans="2:12" x14ac:dyDescent="0.2">
      <c r="B89" t="s">
        <v>101</v>
      </c>
      <c r="C89" s="16">
        <f>IFERROR(VLOOKUP($B$89,CF[#All],MATCH(C3,CF[#Headers],0),0),0)</f>
        <v>0</v>
      </c>
      <c r="D89" s="16">
        <f>IFERROR(VLOOKUP($B$89,CF[#All],MATCH(D3,CF[#Headers],0),0),0)</f>
        <v>0</v>
      </c>
      <c r="E89" s="16">
        <f>IFERROR(VLOOKUP($B$89,CF[#All],MATCH(E3,CF[#Headers],0),0),0)</f>
        <v>0</v>
      </c>
      <c r="F89" s="16">
        <f>IFERROR(VLOOKUP($B$89,CF[#All],MATCH(F3,CF[#Headers],0),0),0)</f>
        <v>0</v>
      </c>
      <c r="G89" s="16">
        <f>IFERROR(VLOOKUP($B$89,CF[#All],MATCH(G3,CF[#Headers],0),0),0)</f>
        <v>0</v>
      </c>
      <c r="H89" s="16">
        <f>IFERROR(VLOOKUP($B$89,CF[#All],MATCH(H3,CF[#Headers],0),0),0)</f>
        <v>14</v>
      </c>
      <c r="I89" s="16">
        <f>IFERROR(VLOOKUP($B$89,CF[#All],MATCH(I3,CF[#Headers],0),0),0)</f>
        <v>533</v>
      </c>
      <c r="J89" s="16">
        <f>IFERROR(VLOOKUP($B$89,CF[#All],MATCH(J3,CF[#Headers],0),0),0)</f>
        <v>0</v>
      </c>
      <c r="K89" s="16">
        <f>IFERROR(VLOOKUP($B$89,CF[#All],MATCH(K3,CF[#Headers],0),0),0)</f>
        <v>0</v>
      </c>
      <c r="L89" s="16">
        <f>IFERROR(VLOOKUP($B$89,CF[#All],MATCH(L3,CF[#Headers],0),0),0)</f>
        <v>0</v>
      </c>
    </row>
    <row r="90" spans="2:12" x14ac:dyDescent="0.2">
      <c r="B90" t="s">
        <v>102</v>
      </c>
      <c r="C90" s="16">
        <f>IFERROR(VLOOKUP($B$90,CF[#All],MATCH(C3,CF[#Headers],0),0),0)</f>
        <v>0</v>
      </c>
      <c r="D90" s="16">
        <f>IFERROR(VLOOKUP($B$90,CF[#All],MATCH(D3,CF[#Headers],0),0),0)</f>
        <v>-185</v>
      </c>
      <c r="E90" s="16">
        <f>IFERROR(VLOOKUP($B$90,CF[#All],MATCH(E3,CF[#Headers],0),0),0)</f>
        <v>0</v>
      </c>
      <c r="F90" s="16">
        <f>IFERROR(VLOOKUP($B$90,CF[#All],MATCH(F3,CF[#Headers],0),0),0)</f>
        <v>-111</v>
      </c>
      <c r="G90" s="16">
        <f>IFERROR(VLOOKUP($B$90,CF[#All],MATCH(G3,CF[#Headers],0),0),0)</f>
        <v>0</v>
      </c>
      <c r="H90" s="16">
        <f>IFERROR(VLOOKUP($B$90,CF[#All],MATCH(H3,CF[#Headers],0),0),0)</f>
        <v>0</v>
      </c>
      <c r="I90" s="16">
        <f>IFERROR(VLOOKUP($B$90,CF[#All],MATCH(I3,CF[#Headers],0),0),0)</f>
        <v>-8</v>
      </c>
      <c r="J90" s="16">
        <f>IFERROR(VLOOKUP($B$90,CF[#All],MATCH(J3,CF[#Headers],0),0),0)</f>
        <v>-27</v>
      </c>
      <c r="K90" s="16">
        <f>IFERROR(VLOOKUP($B$90,CF[#All],MATCH(K3,CF[#Headers],0),0),0)</f>
        <v>0</v>
      </c>
      <c r="L90" s="16">
        <f>IFERROR(VLOOKUP($B$90,CF[#All],MATCH(L3,CF[#Headers],0),0),0)</f>
        <v>-98</v>
      </c>
    </row>
    <row r="91" spans="2:12" x14ac:dyDescent="0.2">
      <c r="B91" t="s">
        <v>103</v>
      </c>
      <c r="C91" s="16">
        <f>IFERROR(VLOOKUP($B$91,CF[#All],MATCH(C3,CF[#Headers],0),0),0)</f>
        <v>45</v>
      </c>
      <c r="D91" s="16">
        <f>IFERROR(VLOOKUP($B$91,CF[#All],MATCH(D3,CF[#Headers],0),0),0)</f>
        <v>0</v>
      </c>
      <c r="E91" s="16">
        <f>IFERROR(VLOOKUP($B$91,CF[#All],MATCH(E3,CF[#Headers],0),0),0)</f>
        <v>0</v>
      </c>
      <c r="F91" s="16">
        <f>IFERROR(VLOOKUP($B$91,CF[#All],MATCH(F3,CF[#Headers],0),0),0)</f>
        <v>0</v>
      </c>
      <c r="G91" s="16">
        <f>IFERROR(VLOOKUP($B$91,CF[#All],MATCH(G3,CF[#Headers],0),0),0)</f>
        <v>0</v>
      </c>
      <c r="H91" s="16">
        <f>IFERROR(VLOOKUP($B$91,CF[#All],MATCH(H3,CF[#Headers],0),0),0)</f>
        <v>0</v>
      </c>
      <c r="I91" s="16">
        <f>IFERROR(VLOOKUP($B$91,CF[#All],MATCH(I3,CF[#Headers],0),0),0)</f>
        <v>0</v>
      </c>
      <c r="J91" s="16">
        <f>IFERROR(VLOOKUP($B$91,CF[#All],MATCH(J3,CF[#Headers],0),0),0)</f>
        <v>0</v>
      </c>
      <c r="K91" s="16">
        <f>IFERROR(VLOOKUP($B$91,CF[#All],MATCH(K3,CF[#Headers],0),0),0)</f>
        <v>0</v>
      </c>
      <c r="L91" s="16">
        <f>IFERROR(VLOOKUP($B$91,CF[#All],MATCH(L3,CF[#Headers],0),0),0)</f>
        <v>0</v>
      </c>
    </row>
    <row r="92" spans="2:12" x14ac:dyDescent="0.2">
      <c r="B92" t="s">
        <v>104</v>
      </c>
      <c r="C92" s="16">
        <f>IFERROR(VLOOKUP($B$92,CF[#All],MATCH(C3,CF[#Headers],0),0),0)</f>
        <v>-5103</v>
      </c>
      <c r="D92" s="16">
        <f>IFERROR(VLOOKUP($B$92,CF[#All],MATCH(D3,CF[#Headers],0),0),0)</f>
        <v>-1149</v>
      </c>
      <c r="E92" s="16">
        <f>IFERROR(VLOOKUP($B$92,CF[#All],MATCH(E3,CF[#Headers],0),0),0)</f>
        <v>456</v>
      </c>
      <c r="F92" s="16">
        <f>IFERROR(VLOOKUP($B$92,CF[#All],MATCH(F3,CF[#Headers],0),0),0)</f>
        <v>-1289</v>
      </c>
      <c r="G92" s="16">
        <f>IFERROR(VLOOKUP($B$92,CF[#All],MATCH(G3,CF[#Headers],0),0),0)</f>
        <v>-26663</v>
      </c>
      <c r="H92" s="16">
        <f>IFERROR(VLOOKUP($B$92,CF[#All],MATCH(H3,CF[#Headers],0),0),0)</f>
        <v>5360</v>
      </c>
      <c r="I92" s="16">
        <f>IFERROR(VLOOKUP($B$92,CF[#All],MATCH(I3,CF[#Headers],0),0),0)</f>
        <v>7335</v>
      </c>
      <c r="J92" s="16">
        <f>IFERROR(VLOOKUP($B$92,CF[#All],MATCH(J3,CF[#Headers],0),0),0)</f>
        <v>-2659</v>
      </c>
      <c r="K92" s="16">
        <f>IFERROR(VLOOKUP($B$92,CF[#All],MATCH(K3,CF[#Headers],0),0),0)</f>
        <v>1051</v>
      </c>
      <c r="L92" s="16">
        <f>IFERROR(VLOOKUP($B$92,CF[#All],MATCH(L3,CF[#Headers],0),0),0)</f>
        <v>12813</v>
      </c>
    </row>
    <row r="93" spans="2:12" x14ac:dyDescent="0.2">
      <c r="B93" s="15" t="s">
        <v>121</v>
      </c>
      <c r="C93" s="16">
        <f>SUM(C81:C92)</f>
        <v>-22969</v>
      </c>
      <c r="D93" s="16">
        <f t="shared" ref="D93:L93" si="23">SUM(D81:D92)</f>
        <v>-27991</v>
      </c>
      <c r="E93" s="16">
        <f t="shared" si="23"/>
        <v>-36233</v>
      </c>
      <c r="F93" s="16">
        <f t="shared" si="23"/>
        <v>-36694</v>
      </c>
      <c r="G93" s="16">
        <f t="shared" si="23"/>
        <v>-39572</v>
      </c>
      <c r="H93" s="16">
        <f t="shared" si="23"/>
        <v>-25140</v>
      </c>
      <c r="I93" s="16">
        <f t="shared" si="23"/>
        <v>-20879</v>
      </c>
      <c r="J93" s="16">
        <f t="shared" si="23"/>
        <v>-33116</v>
      </c>
      <c r="K93" s="16">
        <f t="shared" si="23"/>
        <v>-25671</v>
      </c>
      <c r="L93" s="16">
        <f t="shared" si="23"/>
        <v>-4442</v>
      </c>
    </row>
    <row r="95" spans="2:12" x14ac:dyDescent="0.2">
      <c r="B95" s="15" t="s">
        <v>122</v>
      </c>
    </row>
    <row r="96" spans="2:12" x14ac:dyDescent="0.2">
      <c r="B96" t="s">
        <v>105</v>
      </c>
      <c r="C96" s="16">
        <f>IFERROR(VLOOKUP($B$96,CF[#All],MATCH(C3,CF[#Headers],0),0),0)</f>
        <v>1</v>
      </c>
      <c r="D96" s="16">
        <f>IFERROR(VLOOKUP($B$96,CF[#All],MATCH(D3,CF[#Headers],0),0),0)</f>
        <v>0</v>
      </c>
      <c r="E96" s="16">
        <f>IFERROR(VLOOKUP($B$96,CF[#All],MATCH(E3,CF[#Headers],0),0),0)</f>
        <v>0</v>
      </c>
      <c r="F96" s="16">
        <f>IFERROR(VLOOKUP($B$96,CF[#All],MATCH(F3,CF[#Headers],0),0),0)</f>
        <v>7433</v>
      </c>
      <c r="G96" s="16">
        <f>IFERROR(VLOOKUP($B$96,CF[#All],MATCH(G3,CF[#Headers],0),0),0)</f>
        <v>5</v>
      </c>
      <c r="H96" s="16">
        <f>IFERROR(VLOOKUP($B$96,CF[#All],MATCH(H3,CF[#Headers],0),0),0)</f>
        <v>0</v>
      </c>
      <c r="I96" s="16">
        <f>IFERROR(VLOOKUP($B$96,CF[#All],MATCH(I3,CF[#Headers],0),0),0)</f>
        <v>0</v>
      </c>
      <c r="J96" s="16">
        <f>IFERROR(VLOOKUP($B$96,CF[#All],MATCH(J3,CF[#Headers],0),0),0)</f>
        <v>3889</v>
      </c>
      <c r="K96" s="16">
        <f>IFERROR(VLOOKUP($B$96,CF[#All],MATCH(K3,CF[#Headers],0),0),0)</f>
        <v>2603</v>
      </c>
      <c r="L96" s="16">
        <f>IFERROR(VLOOKUP($B$96,CF[#All],MATCH(L3,CF[#Headers],0),0),0)</f>
        <v>19</v>
      </c>
    </row>
    <row r="97" spans="2:12" x14ac:dyDescent="0.2">
      <c r="B97" t="s">
        <v>106</v>
      </c>
      <c r="C97" s="16">
        <f>IFERROR(VLOOKUP($B$97,CF[#All],MATCH(C3,CF[#Headers],0),0),0)</f>
        <v>-97</v>
      </c>
      <c r="D97" s="16">
        <f>IFERROR(VLOOKUP($B$97,CF[#All],MATCH(D3,CF[#Headers],0),0),0)</f>
        <v>-658</v>
      </c>
      <c r="E97" s="16">
        <f>IFERROR(VLOOKUP($B$97,CF[#All],MATCH(E3,CF[#Headers],0),0),0)</f>
        <v>-744</v>
      </c>
      <c r="F97" s="16">
        <f>IFERROR(VLOOKUP($B$97,CF[#All],MATCH(F3,CF[#Headers],0),0),0)</f>
        <v>0</v>
      </c>
      <c r="G97" s="16">
        <f>IFERROR(VLOOKUP($B$97,CF[#All],MATCH(G3,CF[#Headers],0),0),0)</f>
        <v>0</v>
      </c>
      <c r="H97" s="16">
        <f>IFERROR(VLOOKUP($B$97,CF[#All],MATCH(H3,CF[#Headers],0),0),0)</f>
        <v>0</v>
      </c>
      <c r="I97" s="16">
        <f>IFERROR(VLOOKUP($B$97,CF[#All],MATCH(I3,CF[#Headers],0),0),0)</f>
        <v>0</v>
      </c>
      <c r="J97" s="16">
        <f>IFERROR(VLOOKUP($B$97,CF[#All],MATCH(J3,CF[#Headers],0),0),0)</f>
        <v>0</v>
      </c>
      <c r="K97" s="16">
        <f>IFERROR(VLOOKUP($B$97,CF[#All],MATCH(K3,CF[#Headers],0),0),0)</f>
        <v>0</v>
      </c>
      <c r="L97" s="16">
        <f>IFERROR(VLOOKUP($B$97,CF[#All],MATCH(L3,CF[#Headers],0),0),0)</f>
        <v>0</v>
      </c>
    </row>
    <row r="98" spans="2:12" x14ac:dyDescent="0.2">
      <c r="B98" t="s">
        <v>107</v>
      </c>
      <c r="C98" s="16">
        <f>IFERROR(VLOOKUP($B$98,CF[#All],MATCH(C3,CF[#Headers],0),0),0)</f>
        <v>27863</v>
      </c>
      <c r="D98" s="16">
        <f>IFERROR(VLOOKUP($B$98,CF[#All],MATCH(D3,CF[#Headers],0),0),0)</f>
        <v>33258</v>
      </c>
      <c r="E98" s="16">
        <f>IFERROR(VLOOKUP($B$98,CF[#All],MATCH(E3,CF[#Headers],0),0),0)</f>
        <v>36363</v>
      </c>
      <c r="F98" s="16">
        <f>IFERROR(VLOOKUP($B$98,CF[#All],MATCH(F3,CF[#Headers],0),0),0)</f>
        <v>19519</v>
      </c>
      <c r="G98" s="16">
        <f>IFERROR(VLOOKUP($B$98,CF[#All],MATCH(G3,CF[#Headers],0),0),0)</f>
        <v>33390</v>
      </c>
      <c r="H98" s="16">
        <f>IFERROR(VLOOKUP($B$98,CF[#All],MATCH(H3,CF[#Headers],0),0),0)</f>
        <v>37482</v>
      </c>
      <c r="I98" s="16">
        <f>IFERROR(VLOOKUP($B$98,CF[#All],MATCH(I3,CF[#Headers],0),0),0)</f>
        <v>51128</v>
      </c>
      <c r="J98" s="16">
        <f>IFERROR(VLOOKUP($B$98,CF[#All],MATCH(J3,CF[#Headers],0),0),0)</f>
        <v>38297</v>
      </c>
      <c r="K98" s="16">
        <f>IFERROR(VLOOKUP($B$98,CF[#All],MATCH(K3,CF[#Headers],0),0),0)</f>
        <v>46641</v>
      </c>
      <c r="L98" s="16">
        <f>IFERROR(VLOOKUP($B$98,CF[#All],MATCH(L3,CF[#Headers],0),0),0)</f>
        <v>46578</v>
      </c>
    </row>
    <row r="99" spans="2:12" x14ac:dyDescent="0.2">
      <c r="B99" t="s">
        <v>108</v>
      </c>
      <c r="C99" s="16">
        <f>IFERROR(VLOOKUP($B$99,CF[#All],MATCH(C3,CF[#Headers],0),0),0)</f>
        <v>-20395</v>
      </c>
      <c r="D99" s="16">
        <f>IFERROR(VLOOKUP($B$99,CF[#All],MATCH(D3,CF[#Headers],0),0),0)</f>
        <v>-29141</v>
      </c>
      <c r="E99" s="16">
        <f>IFERROR(VLOOKUP($B$99,CF[#All],MATCH(E3,CF[#Headers],0),0),0)</f>
        <v>-23332</v>
      </c>
      <c r="F99" s="16">
        <f>IFERROR(VLOOKUP($B$99,CF[#All],MATCH(F3,CF[#Headers],0),0),0)</f>
        <v>-24924</v>
      </c>
      <c r="G99" s="16">
        <f>IFERROR(VLOOKUP($B$99,CF[#All],MATCH(G3,CF[#Headers],0),0),0)</f>
        <v>-21732</v>
      </c>
      <c r="H99" s="16">
        <f>IFERROR(VLOOKUP($B$99,CF[#All],MATCH(H3,CF[#Headers],0),0),0)</f>
        <v>-29964</v>
      </c>
      <c r="I99" s="16">
        <f>IFERROR(VLOOKUP($B$99,CF[#All],MATCH(I3,CF[#Headers],0),0),0)</f>
        <v>-35198</v>
      </c>
      <c r="J99" s="16">
        <f>IFERROR(VLOOKUP($B$99,CF[#All],MATCH(J3,CF[#Headers],0),0),0)</f>
        <v>-29847</v>
      </c>
      <c r="K99" s="16">
        <f>IFERROR(VLOOKUP($B$99,CF[#All],MATCH(K3,CF[#Headers],0),0),0)</f>
        <v>-29709</v>
      </c>
      <c r="L99" s="16">
        <f>IFERROR(VLOOKUP($B$99,CF[#All],MATCH(L3,CF[#Headers],0),0),0)</f>
        <v>-42816</v>
      </c>
    </row>
    <row r="100" spans="2:12" x14ac:dyDescent="0.2">
      <c r="B100" t="s">
        <v>109</v>
      </c>
      <c r="C100" s="16">
        <f>IFERROR(VLOOKUP($B$100,CF[#All],MATCH(C3,CF[#Headers],0),0),0)</f>
        <v>0</v>
      </c>
      <c r="D100" s="16">
        <f>IFERROR(VLOOKUP($B$100,CF[#All],MATCH(D3,CF[#Headers],0),0),0)</f>
        <v>0</v>
      </c>
      <c r="E100" s="16">
        <f>IFERROR(VLOOKUP($B$100,CF[#All],MATCH(E3,CF[#Headers],0),0),0)</f>
        <v>0</v>
      </c>
      <c r="F100" s="16">
        <f>IFERROR(VLOOKUP($B$100,CF[#All],MATCH(F3,CF[#Headers],0),0),0)</f>
        <v>0</v>
      </c>
      <c r="G100" s="16">
        <f>IFERROR(VLOOKUP($B$100,CF[#All],MATCH(G3,CF[#Headers],0),0),0)</f>
        <v>0</v>
      </c>
      <c r="H100" s="16">
        <f>IFERROR(VLOOKUP($B$100,CF[#All],MATCH(H3,CF[#Headers],0),0),0)</f>
        <v>0</v>
      </c>
      <c r="I100" s="16">
        <f>IFERROR(VLOOKUP($B$100,CF[#All],MATCH(I3,CF[#Headers],0),0),0)</f>
        <v>0</v>
      </c>
      <c r="J100" s="16">
        <f>IFERROR(VLOOKUP($B$100,CF[#All],MATCH(J3,CF[#Headers],0),0),0)</f>
        <v>0</v>
      </c>
      <c r="K100" s="16">
        <f>IFERROR(VLOOKUP($B$100,CF[#All],MATCH(K3,CF[#Headers],0),0),0)</f>
        <v>0</v>
      </c>
      <c r="L100" s="16">
        <f>IFERROR(VLOOKUP($B$100,CF[#All],MATCH(L3,CF[#Headers],0),0),0)</f>
        <v>0</v>
      </c>
    </row>
    <row r="101" spans="2:12" x14ac:dyDescent="0.2">
      <c r="B101" t="s">
        <v>110</v>
      </c>
      <c r="C101" s="16">
        <f>IFERROR(VLOOKUP($B$101,CF[#All],MATCH(C3,CF[#Headers],0),0),0)</f>
        <v>-4666</v>
      </c>
      <c r="D101" s="16">
        <f>IFERROR(VLOOKUP($B$101,CF[#All],MATCH(D3,CF[#Headers],0),0),0)</f>
        <v>-6171</v>
      </c>
      <c r="E101" s="16">
        <f>IFERROR(VLOOKUP($B$101,CF[#All],MATCH(E3,CF[#Headers],0),0),0)</f>
        <v>-6307</v>
      </c>
      <c r="F101" s="16">
        <f>IFERROR(VLOOKUP($B$101,CF[#All],MATCH(F3,CF[#Headers],0),0),0)</f>
        <v>-5716</v>
      </c>
      <c r="G101" s="16">
        <f>IFERROR(VLOOKUP($B$101,CF[#All],MATCH(G3,CF[#Headers],0),0),0)</f>
        <v>-5336</v>
      </c>
      <c r="H101" s="16">
        <f>IFERROR(VLOOKUP($B$101,CF[#All],MATCH(H3,CF[#Headers],0),0),0)</f>
        <v>-5411</v>
      </c>
      <c r="I101" s="16">
        <f>IFERROR(VLOOKUP($B$101,CF[#All],MATCH(I3,CF[#Headers],0),0),0)</f>
        <v>-7005</v>
      </c>
      <c r="J101" s="16">
        <f>IFERROR(VLOOKUP($B$101,CF[#All],MATCH(J3,CF[#Headers],0),0),0)</f>
        <v>-7518</v>
      </c>
      <c r="K101" s="16">
        <f>IFERROR(VLOOKUP($B$101,CF[#All],MATCH(K3,CF[#Headers],0),0),0)</f>
        <v>-8123</v>
      </c>
      <c r="L101" s="16">
        <f>IFERROR(VLOOKUP($B$101,CF[#All],MATCH(L3,CF[#Headers],0),0),0)</f>
        <v>-9251</v>
      </c>
    </row>
    <row r="102" spans="2:12" x14ac:dyDescent="0.2">
      <c r="B102" t="s">
        <v>111</v>
      </c>
      <c r="C102" s="16">
        <f>IFERROR(VLOOKUP($B$102,CF[#All],MATCH(C3,CF[#Headers],0),0),0)</f>
        <v>-1551</v>
      </c>
      <c r="D102" s="16">
        <f>IFERROR(VLOOKUP($B$102,CF[#All],MATCH(D3,CF[#Headers],0),0),0)</f>
        <v>-722</v>
      </c>
      <c r="E102" s="16">
        <f>IFERROR(VLOOKUP($B$102,CF[#All],MATCH(E3,CF[#Headers],0),0),0)</f>
        <v>-720</v>
      </c>
      <c r="F102" s="16">
        <f>IFERROR(VLOOKUP($B$102,CF[#All],MATCH(F3,CF[#Headers],0),0),0)</f>
        <v>-108</v>
      </c>
      <c r="G102" s="16">
        <f>IFERROR(VLOOKUP($B$102,CF[#All],MATCH(G3,CF[#Headers],0),0),0)</f>
        <v>-121</v>
      </c>
      <c r="H102" s="16">
        <f>IFERROR(VLOOKUP($B$102,CF[#All],MATCH(H3,CF[#Headers],0),0),0)</f>
        <v>-96</v>
      </c>
      <c r="I102" s="16">
        <f>IFERROR(VLOOKUP($B$102,CF[#All],MATCH(I3,CF[#Headers],0),0),0)</f>
        <v>-95</v>
      </c>
      <c r="J102" s="16">
        <f>IFERROR(VLOOKUP($B$102,CF[#All],MATCH(J3,CF[#Headers],0),0),0)</f>
        <v>-57</v>
      </c>
      <c r="K102" s="16">
        <f>IFERROR(VLOOKUP($B$102,CF[#All],MATCH(K3,CF[#Headers],0),0),0)</f>
        <v>-30</v>
      </c>
      <c r="L102" s="16">
        <f>IFERROR(VLOOKUP($B$102,CF[#All],MATCH(L3,CF[#Headers],0),0),0)</f>
        <v>-100</v>
      </c>
    </row>
    <row r="103" spans="2:12" x14ac:dyDescent="0.2">
      <c r="B103" t="s">
        <v>112</v>
      </c>
      <c r="C103" s="16">
        <f>IFERROR(VLOOKUP($B$103,CF[#All],MATCH(C3,CF[#Headers],0),0),0)</f>
        <v>0</v>
      </c>
      <c r="D103" s="16">
        <f>IFERROR(VLOOKUP($B$103,CF[#All],MATCH(D3,CF[#Headers],0),0),0)</f>
        <v>0</v>
      </c>
      <c r="E103" s="16">
        <f>IFERROR(VLOOKUP($B$103,CF[#All],MATCH(E3,CF[#Headers],0),0),0)</f>
        <v>0</v>
      </c>
      <c r="F103" s="16">
        <f>IFERROR(VLOOKUP($B$103,CF[#All],MATCH(F3,CF[#Headers],0),0),0)</f>
        <v>0</v>
      </c>
      <c r="G103" s="16">
        <f>IFERROR(VLOOKUP($B$103,CF[#All],MATCH(G3,CF[#Headers],0),0),0)</f>
        <v>0</v>
      </c>
      <c r="H103" s="16">
        <f>IFERROR(VLOOKUP($B$103,CF[#All],MATCH(H3,CF[#Headers],0),0),0)</f>
        <v>0</v>
      </c>
      <c r="I103" s="16">
        <f>IFERROR(VLOOKUP($B$103,CF[#All],MATCH(I3,CF[#Headers],0),0),0)</f>
        <v>0</v>
      </c>
      <c r="J103" s="16">
        <f>IFERROR(VLOOKUP($B$103,CF[#All],MATCH(J3,CF[#Headers],0),0),0)</f>
        <v>-1346</v>
      </c>
      <c r="K103" s="16">
        <f>IFERROR(VLOOKUP($B$103,CF[#All],MATCH(K3,CF[#Headers],0),0),0)</f>
        <v>-1477</v>
      </c>
      <c r="L103" s="16">
        <f>IFERROR(VLOOKUP($B$103,CF[#All],MATCH(L3,CF[#Headers],0),0),0)</f>
        <v>-1559</v>
      </c>
    </row>
    <row r="104" spans="2:12" x14ac:dyDescent="0.2">
      <c r="B104" t="s">
        <v>113</v>
      </c>
      <c r="C104" s="16">
        <f>IFERROR(VLOOKUP($B$104,CF[#All],MATCH(C3,CF[#Headers],0),0),0)</f>
        <v>-2849</v>
      </c>
      <c r="D104" s="16">
        <f>IFERROR(VLOOKUP($B$104,CF[#All],MATCH(D3,CF[#Headers],0),0),0)</f>
        <v>-450</v>
      </c>
      <c r="E104" s="16">
        <f>IFERROR(VLOOKUP($B$104,CF[#All],MATCH(E3,CF[#Headers],0),0),0)</f>
        <v>-57</v>
      </c>
      <c r="F104" s="16">
        <f>IFERROR(VLOOKUP($B$104,CF[#All],MATCH(F3,CF[#Headers],0),0),0)</f>
        <v>0</v>
      </c>
      <c r="G104" s="16">
        <f>IFERROR(VLOOKUP($B$104,CF[#All],MATCH(G3,CF[#Headers],0),0),0)</f>
        <v>0</v>
      </c>
      <c r="H104" s="16">
        <f>IFERROR(VLOOKUP($B$104,CF[#All],MATCH(H3,CF[#Headers],0),0),0)</f>
        <v>0</v>
      </c>
      <c r="I104" s="16">
        <f>IFERROR(VLOOKUP($B$104,CF[#All],MATCH(I3,CF[#Headers],0),0),0)</f>
        <v>0</v>
      </c>
      <c r="J104" s="16">
        <f>IFERROR(VLOOKUP($B$104,CF[#All],MATCH(J3,CF[#Headers],0),0),0)</f>
        <v>-29</v>
      </c>
      <c r="K104" s="16">
        <f>IFERROR(VLOOKUP($B$104,CF[#All],MATCH(K3,CF[#Headers],0),0),0)</f>
        <v>0</v>
      </c>
      <c r="L104" s="16">
        <f>IFERROR(VLOOKUP($B$104,CF[#All],MATCH(L3,CF[#Headers],0),0),0)</f>
        <v>3750</v>
      </c>
    </row>
    <row r="105" spans="2:12" x14ac:dyDescent="0.2">
      <c r="B105" s="15" t="s">
        <v>123</v>
      </c>
      <c r="C105" s="28">
        <f>SUM(C96:C104)</f>
        <v>-1694</v>
      </c>
      <c r="D105" s="28">
        <f t="shared" ref="D105:L105" si="24">SUM(D96:D104)</f>
        <v>-3884</v>
      </c>
      <c r="E105" s="28">
        <f t="shared" si="24"/>
        <v>5203</v>
      </c>
      <c r="F105" s="28">
        <f t="shared" si="24"/>
        <v>-3796</v>
      </c>
      <c r="G105" s="28">
        <f t="shared" si="24"/>
        <v>6206</v>
      </c>
      <c r="H105" s="28">
        <f t="shared" si="24"/>
        <v>2011</v>
      </c>
      <c r="I105" s="28">
        <f t="shared" si="24"/>
        <v>8830</v>
      </c>
      <c r="J105" s="28">
        <f t="shared" si="24"/>
        <v>3389</v>
      </c>
      <c r="K105" s="28">
        <f t="shared" si="24"/>
        <v>9905</v>
      </c>
      <c r="L105" s="28">
        <f t="shared" si="24"/>
        <v>-3379</v>
      </c>
    </row>
    <row r="107" spans="2:12" x14ac:dyDescent="0.2">
      <c r="B107" s="15" t="s">
        <v>52</v>
      </c>
      <c r="C107" s="28">
        <f>IFERROR(C78+C93+C105,0)</f>
        <v>-2504</v>
      </c>
      <c r="D107" s="28">
        <f t="shared" ref="D107:L107" si="25">IFERROR(D78+D93+D105,0)</f>
        <v>10501</v>
      </c>
      <c r="E107" s="28">
        <f t="shared" si="25"/>
        <v>2784</v>
      </c>
      <c r="F107" s="28">
        <f t="shared" si="25"/>
        <v>-1478</v>
      </c>
      <c r="G107" s="28">
        <f t="shared" si="25"/>
        <v>-257</v>
      </c>
      <c r="H107" s="28">
        <f t="shared" si="25"/>
        <v>-4925</v>
      </c>
      <c r="I107" s="28">
        <f t="shared" si="25"/>
        <v>41</v>
      </c>
      <c r="J107" s="28">
        <f t="shared" si="25"/>
        <v>1516</v>
      </c>
      <c r="K107" s="28">
        <f t="shared" si="25"/>
        <v>13006</v>
      </c>
      <c r="L107" s="28">
        <f t="shared" si="25"/>
        <v>-4343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9 C15:L15 M21 M24 M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8B414-43EE-4FFE-B14C-A002C9EDC0A7}">
  <dimension ref="A1:L93"/>
  <sheetViews>
    <sheetView workbookViewId="0">
      <pane xSplit="1" ySplit="1" topLeftCell="B51" activePane="bottomRight" state="frozen"/>
      <selection activeCell="C4" sqref="C4"/>
      <selection pane="topRight" activeCell="C4" sqref="C4"/>
      <selection pane="bottomLeft" activeCell="C4" sqref="C4"/>
      <selection pane="bottomRight" activeCell="B65" sqref="B65"/>
    </sheetView>
  </sheetViews>
  <sheetFormatPr baseColWidth="10" defaultColWidth="10.5" defaultRowHeight="13" x14ac:dyDescent="0.15"/>
  <cols>
    <col min="1" max="1" width="26.6640625" style="2" bestFit="1" customWidth="1"/>
    <col min="2" max="11" width="11.5" style="2" bestFit="1" customWidth="1"/>
    <col min="12" max="16384" width="10.5" style="2"/>
  </cols>
  <sheetData>
    <row r="1" spans="1:11" s="1" customFormat="1" x14ac:dyDescent="0.15">
      <c r="A1" s="1" t="s">
        <v>0</v>
      </c>
      <c r="B1" s="1" t="s">
        <v>1</v>
      </c>
      <c r="E1" s="31" t="str">
        <f>IF(B2&lt;&gt;B3, "A NEW VERSION OF THE WORKSHEET IS AVAILABLE", "")</f>
        <v/>
      </c>
      <c r="F1" s="31"/>
      <c r="G1" s="31"/>
      <c r="H1" s="31"/>
      <c r="I1" s="31"/>
      <c r="J1" s="31"/>
      <c r="K1" s="31"/>
    </row>
    <row r="2" spans="1:11" x14ac:dyDescent="0.15">
      <c r="A2" s="1" t="s">
        <v>2</v>
      </c>
      <c r="B2" s="2">
        <v>2.1</v>
      </c>
      <c r="E2" s="32" t="s">
        <v>3</v>
      </c>
      <c r="F2" s="32"/>
      <c r="G2" s="32"/>
      <c r="H2" s="32"/>
      <c r="I2" s="32"/>
      <c r="J2" s="32"/>
      <c r="K2" s="32"/>
    </row>
    <row r="3" spans="1:11" x14ac:dyDescent="0.15">
      <c r="A3" s="1" t="s">
        <v>4</v>
      </c>
      <c r="B3" s="2">
        <v>2.1</v>
      </c>
    </row>
    <row r="4" spans="1:11" x14ac:dyDescent="0.15">
      <c r="A4" s="1"/>
    </row>
    <row r="5" spans="1:11" x14ac:dyDescent="0.15">
      <c r="A5" s="1" t="s">
        <v>5</v>
      </c>
    </row>
    <row r="6" spans="1:11" x14ac:dyDescent="0.15">
      <c r="A6" s="2" t="s">
        <v>6</v>
      </c>
      <c r="B6" s="2">
        <f>IF(B9&gt;0, B9/B8, 0)</f>
        <v>358.58908869987852</v>
      </c>
    </row>
    <row r="7" spans="1:11" x14ac:dyDescent="0.15">
      <c r="A7" s="2" t="s">
        <v>7</v>
      </c>
      <c r="B7" s="3">
        <v>2</v>
      </c>
    </row>
    <row r="8" spans="1:11" x14ac:dyDescent="0.15">
      <c r="A8" s="2" t="s">
        <v>8</v>
      </c>
      <c r="B8" s="3">
        <v>411.5</v>
      </c>
    </row>
    <row r="9" spans="1:11" x14ac:dyDescent="0.15">
      <c r="A9" s="2" t="s">
        <v>9</v>
      </c>
      <c r="B9" s="3">
        <v>147559.41</v>
      </c>
    </row>
    <row r="15" spans="1:11" x14ac:dyDescent="0.15">
      <c r="A15" s="1" t="s">
        <v>10</v>
      </c>
      <c r="B15" s="2">
        <f>B26+B34</f>
        <v>32432.079999999998</v>
      </c>
      <c r="K15" s="2">
        <f>K17-K18-K20-K21-K22-K23-K19</f>
        <v>29129.190000000006</v>
      </c>
    </row>
    <row r="16" spans="1:11" s="6" customFormat="1" x14ac:dyDescent="0.15">
      <c r="A16" s="4" t="s">
        <v>11</v>
      </c>
      <c r="B16" s="5" t="s">
        <v>124</v>
      </c>
      <c r="C16" s="5" t="s">
        <v>125</v>
      </c>
      <c r="D16" s="5" t="s">
        <v>126</v>
      </c>
      <c r="E16" s="5" t="s">
        <v>127</v>
      </c>
      <c r="F16" s="5" t="s">
        <v>128</v>
      </c>
      <c r="G16" s="5" t="s">
        <v>129</v>
      </c>
      <c r="H16" s="5" t="s">
        <v>130</v>
      </c>
      <c r="I16" s="5" t="s">
        <v>131</v>
      </c>
      <c r="J16" s="5" t="s">
        <v>132</v>
      </c>
      <c r="K16" s="5" t="s">
        <v>133</v>
      </c>
    </row>
    <row r="17" spans="1:11" x14ac:dyDescent="0.15">
      <c r="A17" s="2" t="s">
        <v>12</v>
      </c>
      <c r="B17" s="3">
        <v>188792.69</v>
      </c>
      <c r="C17" s="3">
        <v>232833.66</v>
      </c>
      <c r="D17" s="3">
        <v>263158.98</v>
      </c>
      <c r="E17" s="3">
        <v>273045.59999999998</v>
      </c>
      <c r="F17" s="3">
        <v>269692.51</v>
      </c>
      <c r="G17" s="3">
        <v>291550.48</v>
      </c>
      <c r="H17" s="3">
        <v>301938.40000000002</v>
      </c>
      <c r="I17" s="3">
        <v>261067.97</v>
      </c>
      <c r="J17" s="3">
        <v>249794.75</v>
      </c>
      <c r="K17" s="3">
        <v>278453.62</v>
      </c>
    </row>
    <row r="18" spans="1:11" ht="15" x14ac:dyDescent="0.2">
      <c r="A18" s="2" t="s">
        <v>13</v>
      </c>
      <c r="B18" s="7">
        <v>123117.34</v>
      </c>
      <c r="C18" s="7">
        <v>146426.99</v>
      </c>
      <c r="D18" s="7">
        <v>163250.35999999999</v>
      </c>
      <c r="E18" s="7">
        <v>166134.01</v>
      </c>
      <c r="F18" s="7">
        <v>173294.07999999999</v>
      </c>
      <c r="G18" s="7">
        <v>187896.58</v>
      </c>
      <c r="H18" s="7">
        <v>194267.91</v>
      </c>
      <c r="I18" s="7">
        <v>164899.82</v>
      </c>
      <c r="J18" s="7">
        <v>153607.35999999999</v>
      </c>
      <c r="K18" s="7">
        <v>179295.33</v>
      </c>
    </row>
    <row r="19" spans="1:11" ht="15" x14ac:dyDescent="0.2">
      <c r="A19" s="2" t="s">
        <v>14</v>
      </c>
      <c r="B19" s="7">
        <v>3029.29</v>
      </c>
      <c r="C19" s="7">
        <v>2840.58</v>
      </c>
      <c r="D19" s="7">
        <v>3330.35</v>
      </c>
      <c r="E19" s="7">
        <v>2750.99</v>
      </c>
      <c r="F19" s="7">
        <v>7399.92</v>
      </c>
      <c r="G19" s="7">
        <v>2046.58</v>
      </c>
      <c r="H19" s="7">
        <v>-2053.2800000000002</v>
      </c>
      <c r="I19" s="7">
        <v>-2231.19</v>
      </c>
      <c r="J19" s="7">
        <v>-4684.16</v>
      </c>
      <c r="K19" s="7">
        <v>-1590.49</v>
      </c>
    </row>
    <row r="20" spans="1:11" x14ac:dyDescent="0.15">
      <c r="A20" s="2" t="s">
        <v>15</v>
      </c>
      <c r="B20" s="3">
        <v>1077.77</v>
      </c>
      <c r="C20" s="3">
        <v>1128.69</v>
      </c>
      <c r="D20" s="3">
        <v>1121.75</v>
      </c>
      <c r="E20" s="3">
        <v>1143.6300000000001</v>
      </c>
      <c r="F20" s="3">
        <v>1159.82</v>
      </c>
      <c r="G20" s="3">
        <v>1308.08</v>
      </c>
      <c r="H20" s="3">
        <v>1585.93</v>
      </c>
      <c r="I20" s="3">
        <v>1264.95</v>
      </c>
      <c r="J20" s="3">
        <v>1112.8699999999999</v>
      </c>
      <c r="K20" s="3">
        <v>2178.29</v>
      </c>
    </row>
    <row r="21" spans="1:11" x14ac:dyDescent="0.15">
      <c r="A21" s="2" t="s">
        <v>16</v>
      </c>
      <c r="B21" s="3">
        <v>4440.7299999999996</v>
      </c>
      <c r="C21" s="3">
        <v>13806.04</v>
      </c>
      <c r="D21" s="3">
        <v>16173.17</v>
      </c>
      <c r="E21" s="3">
        <v>12101.53</v>
      </c>
      <c r="F21" s="3">
        <v>10067.370000000001</v>
      </c>
      <c r="G21" s="3">
        <v>10971.66</v>
      </c>
      <c r="H21" s="3">
        <v>11694.54</v>
      </c>
      <c r="I21" s="3">
        <v>11541.51</v>
      </c>
      <c r="J21" s="3">
        <v>8273.17</v>
      </c>
      <c r="K21" s="3">
        <v>9427.3799999999992</v>
      </c>
    </row>
    <row r="22" spans="1:11" x14ac:dyDescent="0.15">
      <c r="A22" s="2" t="s">
        <v>17</v>
      </c>
      <c r="B22" s="3">
        <v>16632.189999999999</v>
      </c>
      <c r="C22" s="3">
        <v>21609.919999999998</v>
      </c>
      <c r="D22" s="3">
        <v>25641.95</v>
      </c>
      <c r="E22" s="3">
        <v>28880.89</v>
      </c>
      <c r="F22" s="3">
        <v>28332.89</v>
      </c>
      <c r="G22" s="3">
        <v>30300.09</v>
      </c>
      <c r="H22" s="3">
        <v>33243.870000000003</v>
      </c>
      <c r="I22" s="3">
        <v>30438.6</v>
      </c>
      <c r="J22" s="3">
        <v>27648.48</v>
      </c>
      <c r="K22" s="3">
        <v>30808.52</v>
      </c>
    </row>
    <row r="23" spans="1:11" x14ac:dyDescent="0.15">
      <c r="A23" s="2" t="s">
        <v>18</v>
      </c>
      <c r="B23" s="3">
        <v>16632.91</v>
      </c>
      <c r="C23" s="3">
        <v>22357.79</v>
      </c>
      <c r="D23" s="3">
        <v>23603.01</v>
      </c>
      <c r="E23" s="3">
        <v>21991.9</v>
      </c>
      <c r="F23" s="3">
        <v>30039.38</v>
      </c>
      <c r="G23" s="3">
        <v>31004.58</v>
      </c>
      <c r="H23" s="3">
        <v>32719.8</v>
      </c>
      <c r="I23" s="3">
        <v>29248.32</v>
      </c>
      <c r="J23" s="3">
        <v>23015.79</v>
      </c>
      <c r="K23" s="3">
        <v>29205.4</v>
      </c>
    </row>
    <row r="24" spans="1:11" x14ac:dyDescent="0.15">
      <c r="A24" s="2" t="s">
        <v>19</v>
      </c>
      <c r="B24" s="3">
        <v>5325.06</v>
      </c>
      <c r="C24" s="3">
        <v>-4508.55</v>
      </c>
      <c r="D24" s="3">
        <v>-2539.56</v>
      </c>
      <c r="E24" s="3">
        <v>7149.38</v>
      </c>
      <c r="F24" s="3">
        <v>4610.2</v>
      </c>
      <c r="G24" s="3">
        <v>658.39</v>
      </c>
      <c r="H24" s="3">
        <v>1708.74</v>
      </c>
      <c r="I24" s="3">
        <v>3456.51</v>
      </c>
      <c r="J24" s="3">
        <v>-834.51</v>
      </c>
      <c r="K24" s="3">
        <v>1228.1199999999999</v>
      </c>
    </row>
    <row r="25" spans="1:11" x14ac:dyDescent="0.15">
      <c r="A25" s="2" t="s">
        <v>20</v>
      </c>
      <c r="B25" s="3">
        <v>212.88</v>
      </c>
      <c r="C25" s="3">
        <v>-156.79</v>
      </c>
      <c r="D25" s="3">
        <v>714.03</v>
      </c>
      <c r="E25" s="3">
        <v>-2669.62</v>
      </c>
      <c r="F25" s="3">
        <v>1869.1</v>
      </c>
      <c r="G25" s="3">
        <v>5932.73</v>
      </c>
      <c r="H25" s="3">
        <v>-26686.25</v>
      </c>
      <c r="I25" s="3">
        <v>101.71</v>
      </c>
      <c r="J25" s="3">
        <v>-11117.83</v>
      </c>
      <c r="K25" s="3">
        <v>2424.0500000000002</v>
      </c>
    </row>
    <row r="26" spans="1:11" x14ac:dyDescent="0.15">
      <c r="A26" s="2" t="s">
        <v>21</v>
      </c>
      <c r="B26" s="3">
        <v>7601.28</v>
      </c>
      <c r="C26" s="3">
        <v>11078.16</v>
      </c>
      <c r="D26" s="3">
        <v>13388.63</v>
      </c>
      <c r="E26" s="3">
        <v>16710.78</v>
      </c>
      <c r="F26" s="3">
        <v>17904.990000000002</v>
      </c>
      <c r="G26" s="3">
        <v>21553.59</v>
      </c>
      <c r="H26" s="3">
        <v>23590.63</v>
      </c>
      <c r="I26" s="3">
        <v>21425.43</v>
      </c>
      <c r="J26" s="3">
        <v>23546.71</v>
      </c>
      <c r="K26" s="3">
        <v>24835.69</v>
      </c>
    </row>
    <row r="27" spans="1:11" ht="15" x14ac:dyDescent="0.2">
      <c r="A27" s="2" t="s">
        <v>22</v>
      </c>
      <c r="B27" s="3">
        <v>3560.25</v>
      </c>
      <c r="C27" s="3">
        <v>4749.4399999999996</v>
      </c>
      <c r="D27" s="3">
        <v>4861.49</v>
      </c>
      <c r="E27" s="3">
        <v>4889.08</v>
      </c>
      <c r="F27" s="3">
        <v>4238.01</v>
      </c>
      <c r="G27" s="3">
        <v>4681.79</v>
      </c>
      <c r="H27" s="3">
        <v>5758.6</v>
      </c>
      <c r="I27" s="3">
        <v>7243.33</v>
      </c>
      <c r="J27" s="7">
        <v>8097.17</v>
      </c>
      <c r="K27" s="7">
        <v>9311.86</v>
      </c>
    </row>
    <row r="28" spans="1:11" x14ac:dyDescent="0.15">
      <c r="A28" s="2" t="s">
        <v>23</v>
      </c>
      <c r="B28" s="3">
        <v>13647.33</v>
      </c>
      <c r="C28" s="3">
        <v>18868.97</v>
      </c>
      <c r="D28" s="3">
        <v>21702.560000000001</v>
      </c>
      <c r="E28" s="3">
        <v>14125.77</v>
      </c>
      <c r="F28" s="3">
        <v>9314.7900000000009</v>
      </c>
      <c r="G28" s="3">
        <v>11155.03</v>
      </c>
      <c r="H28" s="3">
        <v>-31371.15</v>
      </c>
      <c r="I28" s="3">
        <v>-10579.98</v>
      </c>
      <c r="J28" s="3">
        <v>-10474.280000000001</v>
      </c>
      <c r="K28" s="3">
        <v>-7003.41</v>
      </c>
    </row>
    <row r="29" spans="1:11" x14ac:dyDescent="0.15">
      <c r="A29" s="2" t="s">
        <v>24</v>
      </c>
      <c r="B29" s="3">
        <v>3776.66</v>
      </c>
      <c r="C29" s="3">
        <v>4764.79</v>
      </c>
      <c r="D29" s="3">
        <v>7642.91</v>
      </c>
      <c r="E29" s="3">
        <v>3025.05</v>
      </c>
      <c r="F29" s="3">
        <v>3251.23</v>
      </c>
      <c r="G29" s="3">
        <v>4341.93</v>
      </c>
      <c r="H29" s="3">
        <v>-2437.4499999999998</v>
      </c>
      <c r="I29" s="3">
        <v>395.25</v>
      </c>
      <c r="J29" s="3">
        <v>2541.86</v>
      </c>
      <c r="K29" s="3">
        <v>4231.29</v>
      </c>
    </row>
    <row r="30" spans="1:11" x14ac:dyDescent="0.15">
      <c r="A30" s="2" t="s">
        <v>25</v>
      </c>
      <c r="B30" s="3">
        <v>9892.61</v>
      </c>
      <c r="C30" s="3">
        <v>13991.02</v>
      </c>
      <c r="D30" s="3">
        <v>13986.29</v>
      </c>
      <c r="E30" s="3">
        <v>11579.31</v>
      </c>
      <c r="F30" s="3">
        <v>7454.36</v>
      </c>
      <c r="G30" s="3">
        <v>8988.91</v>
      </c>
      <c r="H30" s="3">
        <v>-28826.23</v>
      </c>
      <c r="I30" s="3">
        <v>-12070.85</v>
      </c>
      <c r="J30" s="3">
        <v>-13451.39</v>
      </c>
      <c r="K30" s="3">
        <v>-11441.47</v>
      </c>
    </row>
    <row r="31" spans="1:11" x14ac:dyDescent="0.15">
      <c r="A31" s="2" t="s">
        <v>26</v>
      </c>
      <c r="B31" s="3">
        <v>638.07000000000005</v>
      </c>
      <c r="C31" s="3">
        <v>643.78</v>
      </c>
      <c r="D31" s="3"/>
      <c r="E31" s="3">
        <v>67.92</v>
      </c>
      <c r="F31" s="3"/>
      <c r="G31" s="3"/>
      <c r="H31" s="3"/>
      <c r="I31" s="3"/>
      <c r="J31" s="3"/>
      <c r="K31" s="3"/>
    </row>
    <row r="32" spans="1:11" x14ac:dyDescent="0.15">
      <c r="A32" s="2" t="s">
        <v>27</v>
      </c>
      <c r="B32" s="8">
        <f>B29/B28</f>
        <v>0.27673251837538915</v>
      </c>
      <c r="C32" s="8">
        <f t="shared" ref="C32:K32" si="0">C29/C28</f>
        <v>0.252519877873567</v>
      </c>
      <c r="D32" s="8">
        <f t="shared" si="0"/>
        <v>0.3521662882166896</v>
      </c>
      <c r="E32" s="8">
        <f t="shared" si="0"/>
        <v>0.21415115777759372</v>
      </c>
      <c r="F32" s="8">
        <f t="shared" si="0"/>
        <v>0.34903953819678163</v>
      </c>
      <c r="G32" s="8">
        <f t="shared" si="0"/>
        <v>0.38923517014297587</v>
      </c>
      <c r="H32" s="8">
        <f t="shared" si="0"/>
        <v>7.7697183558779317E-2</v>
      </c>
      <c r="I32" s="8">
        <f t="shared" si="0"/>
        <v>-3.735829368297483E-2</v>
      </c>
      <c r="J32" s="8">
        <f t="shared" si="0"/>
        <v>-0.24267634625005249</v>
      </c>
      <c r="K32" s="8">
        <f t="shared" si="0"/>
        <v>-0.60417568013296385</v>
      </c>
    </row>
    <row r="34" spans="1:11" x14ac:dyDescent="0.15">
      <c r="A34" s="2" t="s">
        <v>28</v>
      </c>
      <c r="B34" s="2">
        <f>+B30+B29+B27+B26</f>
        <v>24830.799999999999</v>
      </c>
      <c r="C34" s="2">
        <f t="shared" ref="C34:K34" si="1">+C30+C29+C27+C26</f>
        <v>34583.410000000003</v>
      </c>
      <c r="D34" s="2">
        <f t="shared" si="1"/>
        <v>39879.32</v>
      </c>
      <c r="E34" s="2">
        <f t="shared" si="1"/>
        <v>36204.22</v>
      </c>
      <c r="F34" s="2">
        <f t="shared" si="1"/>
        <v>32848.590000000004</v>
      </c>
      <c r="G34" s="2">
        <f t="shared" si="1"/>
        <v>39566.22</v>
      </c>
      <c r="H34" s="2">
        <f t="shared" si="1"/>
        <v>-1914.4500000000007</v>
      </c>
      <c r="I34" s="2">
        <f t="shared" si="1"/>
        <v>16993.16</v>
      </c>
      <c r="J34" s="2">
        <f t="shared" si="1"/>
        <v>20734.349999999999</v>
      </c>
      <c r="K34" s="2">
        <f t="shared" si="1"/>
        <v>26937.37</v>
      </c>
    </row>
    <row r="35" spans="1:11" x14ac:dyDescent="0.15">
      <c r="B35" s="2">
        <f>SUM(B17:B34)</f>
        <v>423208.13673251838</v>
      </c>
      <c r="C35" s="2">
        <f>SUM(C17:C34)</f>
        <v>525018.15251987788</v>
      </c>
      <c r="D35" s="2">
        <f>SUM(D17:D34)</f>
        <v>595915.59216628817</v>
      </c>
      <c r="E35" s="2">
        <f>SUM(E17:E34)</f>
        <v>597130.65415115794</v>
      </c>
      <c r="F35" s="2">
        <f>SUM(F17:F34)</f>
        <v>601477.58903953806</v>
      </c>
      <c r="G35" s="2">
        <f>SUM(G17:G34)</f>
        <v>651957.02923517011</v>
      </c>
      <c r="H35" s="2">
        <f>SUM(H17:H34)</f>
        <v>513219.68769718363</v>
      </c>
      <c r="I35" s="2">
        <f>SUM(I17:I34)</f>
        <v>523194.50264170644</v>
      </c>
      <c r="J35" s="2">
        <f>SUM(J17:J34)</f>
        <v>477810.09732365358</v>
      </c>
      <c r="K35" s="2">
        <f>SUM(K17:K34)</f>
        <v>578300.94582431985</v>
      </c>
    </row>
    <row r="40" spans="1:11" x14ac:dyDescent="0.15">
      <c r="A40" s="1" t="s">
        <v>29</v>
      </c>
    </row>
    <row r="41" spans="1:11" s="6" customFormat="1" x14ac:dyDescent="0.15">
      <c r="A41" s="4" t="s">
        <v>11</v>
      </c>
      <c r="B41" s="5">
        <v>44012</v>
      </c>
      <c r="C41" s="5">
        <v>44104</v>
      </c>
      <c r="D41" s="5">
        <v>44196</v>
      </c>
      <c r="E41" s="5">
        <v>44286</v>
      </c>
      <c r="F41" s="5">
        <v>44377</v>
      </c>
      <c r="G41" s="5">
        <v>44469</v>
      </c>
      <c r="H41" s="5">
        <v>44561</v>
      </c>
      <c r="I41" s="5">
        <v>44651</v>
      </c>
      <c r="J41" s="5">
        <v>44742</v>
      </c>
      <c r="K41" s="5">
        <v>44834</v>
      </c>
    </row>
    <row r="42" spans="1:11" x14ac:dyDescent="0.15">
      <c r="A42" s="2" t="s">
        <v>12</v>
      </c>
      <c r="B42" s="3">
        <v>31983.06</v>
      </c>
      <c r="C42" s="3">
        <v>53530</v>
      </c>
      <c r="D42" s="3">
        <v>75653.789999999994</v>
      </c>
      <c r="E42" s="3">
        <v>88627.9</v>
      </c>
      <c r="F42" s="3">
        <v>66406.45</v>
      </c>
      <c r="G42" s="3">
        <v>61378.82</v>
      </c>
      <c r="H42" s="3">
        <v>72229.289999999994</v>
      </c>
      <c r="I42" s="3">
        <v>78439.06</v>
      </c>
      <c r="J42" s="3">
        <v>71934.66</v>
      </c>
      <c r="K42" s="3">
        <v>79611.37</v>
      </c>
    </row>
    <row r="43" spans="1:11" x14ac:dyDescent="0.15">
      <c r="A43" s="2" t="s">
        <v>30</v>
      </c>
      <c r="B43" s="3">
        <v>31300.36</v>
      </c>
      <c r="C43" s="3">
        <v>47431.7</v>
      </c>
      <c r="D43" s="3">
        <v>63521.09</v>
      </c>
      <c r="E43" s="3">
        <v>75254.17</v>
      </c>
      <c r="F43" s="3">
        <v>61163.78</v>
      </c>
      <c r="G43" s="3">
        <v>57262.21</v>
      </c>
      <c r="H43" s="3">
        <v>65151.27</v>
      </c>
      <c r="I43" s="3">
        <v>70156.27</v>
      </c>
      <c r="J43" s="3">
        <v>69521.929999999993</v>
      </c>
      <c r="K43" s="3">
        <v>74039.06</v>
      </c>
    </row>
    <row r="44" spans="1:11" x14ac:dyDescent="0.15">
      <c r="A44" s="2" t="s">
        <v>20</v>
      </c>
      <c r="B44" s="3">
        <v>609.75</v>
      </c>
      <c r="C44" s="3">
        <v>638.1</v>
      </c>
      <c r="D44" s="3">
        <v>289.37</v>
      </c>
      <c r="E44" s="3">
        <v>-12655.05</v>
      </c>
      <c r="F44" s="3">
        <v>584.12</v>
      </c>
      <c r="G44" s="3">
        <v>862.46</v>
      </c>
      <c r="H44" s="3">
        <v>788.73</v>
      </c>
      <c r="I44" s="3">
        <v>188.74</v>
      </c>
      <c r="J44" s="3">
        <v>2380.98</v>
      </c>
      <c r="K44" s="3">
        <v>1351.14</v>
      </c>
    </row>
    <row r="45" spans="1:11" x14ac:dyDescent="0.15">
      <c r="A45" s="2" t="s">
        <v>21</v>
      </c>
      <c r="B45" s="3">
        <v>5599.37</v>
      </c>
      <c r="C45" s="3">
        <v>5601.47</v>
      </c>
      <c r="D45" s="3">
        <v>6128.75</v>
      </c>
      <c r="E45" s="3">
        <v>6217.12</v>
      </c>
      <c r="F45" s="3">
        <v>6202.13</v>
      </c>
      <c r="G45" s="3">
        <v>6123.32</v>
      </c>
      <c r="H45" s="3">
        <v>6078.13</v>
      </c>
      <c r="I45" s="3">
        <v>6432.11</v>
      </c>
      <c r="J45" s="3">
        <v>5841.04</v>
      </c>
      <c r="K45" s="3">
        <v>5897.34</v>
      </c>
    </row>
    <row r="46" spans="1:11" ht="15" x14ac:dyDescent="0.2">
      <c r="A46" s="2" t="s">
        <v>22</v>
      </c>
      <c r="B46" s="7">
        <v>1876.81</v>
      </c>
      <c r="C46" s="7">
        <v>1949.6</v>
      </c>
      <c r="D46" s="7">
        <v>2125.9299999999998</v>
      </c>
      <c r="E46" s="7">
        <v>2144.83</v>
      </c>
      <c r="F46" s="7">
        <v>2203.3000000000002</v>
      </c>
      <c r="G46" s="7">
        <v>2327.3000000000002</v>
      </c>
      <c r="H46" s="7">
        <v>2400.7399999999998</v>
      </c>
      <c r="I46" s="7">
        <v>2380.52</v>
      </c>
      <c r="J46" s="7">
        <v>2420.7199999999998</v>
      </c>
      <c r="K46" s="7">
        <v>2487.2600000000002</v>
      </c>
    </row>
    <row r="47" spans="1:11" x14ac:dyDescent="0.15">
      <c r="A47" s="2" t="s">
        <v>23</v>
      </c>
      <c r="B47" s="3">
        <v>-6183.73</v>
      </c>
      <c r="C47" s="3">
        <v>-814.67</v>
      </c>
      <c r="D47" s="3">
        <v>4167.3900000000003</v>
      </c>
      <c r="E47" s="3">
        <v>-7643.27</v>
      </c>
      <c r="F47" s="3">
        <v>-2578.64</v>
      </c>
      <c r="G47" s="3">
        <v>-3471.55</v>
      </c>
      <c r="H47" s="3">
        <v>-612.12</v>
      </c>
      <c r="I47" s="3">
        <v>-341.1</v>
      </c>
      <c r="J47" s="3">
        <v>-3468.05</v>
      </c>
      <c r="K47" s="3">
        <v>-1461.15</v>
      </c>
    </row>
    <row r="48" spans="1:11" x14ac:dyDescent="0.15">
      <c r="A48" s="2" t="s">
        <v>24</v>
      </c>
      <c r="B48" s="3">
        <v>2200.4899999999998</v>
      </c>
      <c r="C48" s="3">
        <v>-471.39</v>
      </c>
      <c r="D48" s="3">
        <v>945.18</v>
      </c>
      <c r="E48" s="3">
        <v>-132.41999999999999</v>
      </c>
      <c r="F48" s="3">
        <v>1741.96</v>
      </c>
      <c r="G48" s="3">
        <v>1005.06</v>
      </c>
      <c r="H48" s="3">
        <v>726.05</v>
      </c>
      <c r="I48" s="3">
        <v>758.22</v>
      </c>
      <c r="J48" s="3">
        <v>1518.96</v>
      </c>
      <c r="K48" s="3">
        <v>-457.08</v>
      </c>
    </row>
    <row r="49" spans="1:11" x14ac:dyDescent="0.15">
      <c r="A49" s="2" t="s">
        <v>25</v>
      </c>
      <c r="B49" s="3">
        <v>-8437.99</v>
      </c>
      <c r="C49" s="3">
        <v>-314.45</v>
      </c>
      <c r="D49" s="3">
        <v>2906.45</v>
      </c>
      <c r="E49" s="3">
        <v>-7605.4</v>
      </c>
      <c r="F49" s="3">
        <v>-4450.92</v>
      </c>
      <c r="G49" s="3">
        <v>-4441.57</v>
      </c>
      <c r="H49" s="3">
        <v>-1516.14</v>
      </c>
      <c r="I49" s="3">
        <v>-1032.8399999999999</v>
      </c>
      <c r="J49" s="3">
        <v>-5006.6000000000004</v>
      </c>
      <c r="K49" s="3">
        <v>-944.61</v>
      </c>
    </row>
    <row r="50" spans="1:11" x14ac:dyDescent="0.15">
      <c r="A50" s="2" t="s">
        <v>31</v>
      </c>
      <c r="B50" s="3">
        <v>682.7</v>
      </c>
      <c r="C50" s="3">
        <v>6098.3</v>
      </c>
      <c r="D50" s="3">
        <v>12132.7</v>
      </c>
      <c r="E50" s="3">
        <v>13373.73</v>
      </c>
      <c r="F50" s="3">
        <v>5242.67</v>
      </c>
      <c r="G50" s="3">
        <v>4116.6099999999997</v>
      </c>
      <c r="H50" s="3">
        <v>7078.02</v>
      </c>
      <c r="I50" s="3">
        <v>8282.7900000000009</v>
      </c>
      <c r="J50" s="3">
        <v>2412.73</v>
      </c>
      <c r="K50" s="3">
        <v>5572.31</v>
      </c>
    </row>
    <row r="51" spans="1:11" x14ac:dyDescent="0.15">
      <c r="A51" s="2" t="s">
        <v>28</v>
      </c>
      <c r="B51" s="2">
        <f>B49+B48+B46+B45</f>
        <v>1238.6799999999994</v>
      </c>
      <c r="C51" s="2">
        <f t="shared" ref="C51:K51" si="2">C49+C48+C46+C45</f>
        <v>6765.2300000000005</v>
      </c>
      <c r="D51" s="2">
        <f t="shared" si="2"/>
        <v>12106.31</v>
      </c>
      <c r="E51" s="2">
        <f t="shared" si="2"/>
        <v>624.13000000000011</v>
      </c>
      <c r="F51" s="2">
        <f t="shared" si="2"/>
        <v>5696.47</v>
      </c>
      <c r="G51" s="2">
        <f t="shared" si="2"/>
        <v>5014.1100000000006</v>
      </c>
      <c r="H51" s="2">
        <f t="shared" si="2"/>
        <v>7688.78</v>
      </c>
      <c r="I51" s="2">
        <f t="shared" si="2"/>
        <v>8538.01</v>
      </c>
      <c r="J51" s="2">
        <f t="shared" si="2"/>
        <v>4774.119999999999</v>
      </c>
      <c r="K51" s="2">
        <f t="shared" si="2"/>
        <v>6982.91</v>
      </c>
    </row>
    <row r="55" spans="1:11" x14ac:dyDescent="0.15">
      <c r="A55" s="1" t="s">
        <v>32</v>
      </c>
    </row>
    <row r="56" spans="1:11" s="6" customFormat="1" x14ac:dyDescent="0.15">
      <c r="A56" s="4" t="s">
        <v>11</v>
      </c>
      <c r="B56" s="5" t="s">
        <v>124</v>
      </c>
      <c r="C56" s="5" t="s">
        <v>125</v>
      </c>
      <c r="D56" s="5" t="s">
        <v>126</v>
      </c>
      <c r="E56" s="5" t="s">
        <v>127</v>
      </c>
      <c r="F56" s="5" t="s">
        <v>128</v>
      </c>
      <c r="G56" s="5" t="s">
        <v>129</v>
      </c>
      <c r="H56" s="5" t="s">
        <v>130</v>
      </c>
      <c r="I56" s="5" t="s">
        <v>131</v>
      </c>
      <c r="J56" s="5" t="s">
        <v>132</v>
      </c>
      <c r="K56" s="5" t="s">
        <v>133</v>
      </c>
    </row>
    <row r="57" spans="1:11" x14ac:dyDescent="0.15">
      <c r="A57" s="2" t="s">
        <v>33</v>
      </c>
      <c r="B57" s="3">
        <v>638.07000000000005</v>
      </c>
      <c r="C57" s="3">
        <v>643.78</v>
      </c>
      <c r="D57" s="3">
        <v>643.78</v>
      </c>
      <c r="E57" s="3">
        <v>679.18</v>
      </c>
      <c r="F57" s="3">
        <v>679.22</v>
      </c>
      <c r="G57" s="3">
        <v>679.22</v>
      </c>
      <c r="H57" s="3">
        <v>679.22</v>
      </c>
      <c r="I57" s="3">
        <v>719.54</v>
      </c>
      <c r="J57" s="3">
        <v>765.81</v>
      </c>
      <c r="K57" s="3">
        <v>765.88</v>
      </c>
    </row>
    <row r="58" spans="1:11" x14ac:dyDescent="0.15">
      <c r="A58" s="2" t="s">
        <v>34</v>
      </c>
      <c r="B58" s="3">
        <v>36999.230000000003</v>
      </c>
      <c r="C58" s="3">
        <v>64959.67</v>
      </c>
      <c r="D58" s="3">
        <v>55618.14</v>
      </c>
      <c r="E58" s="3">
        <v>78273.23</v>
      </c>
      <c r="F58" s="3">
        <v>57382.67</v>
      </c>
      <c r="G58" s="3">
        <v>94748.69</v>
      </c>
      <c r="H58" s="3">
        <v>59500.34</v>
      </c>
      <c r="I58" s="3">
        <v>61491.49</v>
      </c>
      <c r="J58" s="3">
        <v>54480.91</v>
      </c>
      <c r="K58" s="3">
        <v>43795.360000000001</v>
      </c>
    </row>
    <row r="59" spans="1:11" ht="15" x14ac:dyDescent="0.2">
      <c r="A59" s="2" t="s">
        <v>35</v>
      </c>
      <c r="B59" s="7">
        <v>53715.71</v>
      </c>
      <c r="C59" s="7">
        <v>60642.28</v>
      </c>
      <c r="D59" s="7">
        <v>73610.39</v>
      </c>
      <c r="E59" s="7">
        <v>69359.960000000006</v>
      </c>
      <c r="F59" s="7">
        <v>78603.98</v>
      </c>
      <c r="G59" s="7">
        <v>88950.47</v>
      </c>
      <c r="H59" s="7">
        <v>106175.34</v>
      </c>
      <c r="I59" s="7">
        <v>124787.64</v>
      </c>
      <c r="J59" s="7">
        <v>142130.57</v>
      </c>
      <c r="K59" s="7">
        <v>146449.03</v>
      </c>
    </row>
    <row r="60" spans="1:11" x14ac:dyDescent="0.15">
      <c r="A60" s="2" t="s">
        <v>36</v>
      </c>
      <c r="B60" s="3">
        <v>76977.02</v>
      </c>
      <c r="C60" s="3">
        <v>92180.26</v>
      </c>
      <c r="D60" s="3">
        <v>107442.48</v>
      </c>
      <c r="E60" s="3">
        <v>114871.75</v>
      </c>
      <c r="F60" s="3">
        <v>135914.49</v>
      </c>
      <c r="G60" s="3">
        <v>142813.43</v>
      </c>
      <c r="H60" s="3">
        <v>139348.59</v>
      </c>
      <c r="I60" s="3">
        <v>133180.72</v>
      </c>
      <c r="J60" s="3">
        <v>144192.62</v>
      </c>
      <c r="K60" s="3">
        <v>138051.22</v>
      </c>
    </row>
    <row r="61" spans="1:11" s="1" customFormat="1" x14ac:dyDescent="0.15">
      <c r="A61" s="1" t="s">
        <v>37</v>
      </c>
      <c r="B61" s="3">
        <v>168330.03</v>
      </c>
      <c r="C61" s="3">
        <v>218425.99</v>
      </c>
      <c r="D61" s="3">
        <v>237314.79</v>
      </c>
      <c r="E61" s="3">
        <v>263184.12</v>
      </c>
      <c r="F61" s="3">
        <v>272580.36</v>
      </c>
      <c r="G61" s="3">
        <v>327191.81</v>
      </c>
      <c r="H61" s="3">
        <v>305703.49</v>
      </c>
      <c r="I61" s="3">
        <v>320179.39</v>
      </c>
      <c r="J61" s="3">
        <v>341569.91</v>
      </c>
      <c r="K61" s="3">
        <v>329061.49</v>
      </c>
    </row>
    <row r="62" spans="1:11" x14ac:dyDescent="0.15">
      <c r="A62" s="2" t="s">
        <v>38</v>
      </c>
      <c r="B62" s="3">
        <v>55511.73</v>
      </c>
      <c r="C62" s="3">
        <v>69091.67</v>
      </c>
      <c r="D62" s="3">
        <v>88479.49</v>
      </c>
      <c r="E62" s="3">
        <v>107231.76</v>
      </c>
      <c r="F62" s="3">
        <v>95944.08</v>
      </c>
      <c r="G62" s="3">
        <v>121413.86</v>
      </c>
      <c r="H62" s="3">
        <v>111234.47</v>
      </c>
      <c r="I62" s="3">
        <v>127107.14</v>
      </c>
      <c r="J62" s="3">
        <v>138707.60999999999</v>
      </c>
      <c r="K62" s="3">
        <v>138855.45000000001</v>
      </c>
    </row>
    <row r="63" spans="1:11" x14ac:dyDescent="0.15">
      <c r="A63" s="2" t="s">
        <v>39</v>
      </c>
      <c r="B63" s="3">
        <v>18453.55</v>
      </c>
      <c r="C63" s="3">
        <v>33262.559999999998</v>
      </c>
      <c r="D63" s="3">
        <v>28640.09</v>
      </c>
      <c r="E63" s="3">
        <v>25918.94</v>
      </c>
      <c r="F63" s="3">
        <v>33698.839999999997</v>
      </c>
      <c r="G63" s="3">
        <v>40033.5</v>
      </c>
      <c r="H63" s="3">
        <v>31883.84</v>
      </c>
      <c r="I63" s="3">
        <v>35622.29</v>
      </c>
      <c r="J63" s="3">
        <v>20963.93</v>
      </c>
      <c r="K63" s="3">
        <v>10251.09</v>
      </c>
    </row>
    <row r="64" spans="1:11" ht="15" x14ac:dyDescent="0.2">
      <c r="A64" s="2" t="s">
        <v>40</v>
      </c>
      <c r="B64" s="3">
        <v>8764.73</v>
      </c>
      <c r="C64" s="7">
        <v>10686.67</v>
      </c>
      <c r="D64" s="3">
        <v>15336.74</v>
      </c>
      <c r="E64" s="3">
        <v>23767.02</v>
      </c>
      <c r="F64" s="3">
        <v>20337.919999999998</v>
      </c>
      <c r="G64" s="3">
        <v>20812.75</v>
      </c>
      <c r="H64" s="3">
        <v>15770.72</v>
      </c>
      <c r="I64" s="3">
        <v>16308.48</v>
      </c>
      <c r="J64" s="3">
        <v>24620.28</v>
      </c>
      <c r="K64" s="3">
        <v>29379.53</v>
      </c>
    </row>
    <row r="65" spans="1:11" x14ac:dyDescent="0.15">
      <c r="A65" s="2" t="s">
        <v>41</v>
      </c>
      <c r="B65" s="3">
        <v>85600.02</v>
      </c>
      <c r="C65" s="3">
        <v>105385.09</v>
      </c>
      <c r="D65" s="3">
        <v>104858.47</v>
      </c>
      <c r="E65" s="3">
        <v>106266.4</v>
      </c>
      <c r="F65" s="3">
        <v>122599.52</v>
      </c>
      <c r="G65" s="3">
        <v>144931.70000000001</v>
      </c>
      <c r="H65" s="3">
        <v>146814.46</v>
      </c>
      <c r="I65" s="3">
        <v>141141.48000000001</v>
      </c>
      <c r="J65" s="3">
        <v>157278.09</v>
      </c>
      <c r="K65" s="3">
        <v>150575.42000000001</v>
      </c>
    </row>
    <row r="66" spans="1:11" s="1" customFormat="1" x14ac:dyDescent="0.15">
      <c r="A66" s="1" t="s">
        <v>37</v>
      </c>
      <c r="B66" s="3">
        <v>168330.03</v>
      </c>
      <c r="C66" s="3">
        <v>218425.99</v>
      </c>
      <c r="D66" s="3">
        <v>237314.79</v>
      </c>
      <c r="E66" s="3">
        <v>263184.12</v>
      </c>
      <c r="F66" s="3">
        <v>272580.36</v>
      </c>
      <c r="G66" s="3">
        <v>327191.81</v>
      </c>
      <c r="H66" s="3">
        <v>305703.49</v>
      </c>
      <c r="I66" s="3">
        <v>320179.39</v>
      </c>
      <c r="J66" s="3">
        <v>341569.91</v>
      </c>
      <c r="K66" s="3">
        <v>329061.49</v>
      </c>
    </row>
    <row r="67" spans="1:11" x14ac:dyDescent="0.15">
      <c r="A67" s="2" t="s">
        <v>42</v>
      </c>
      <c r="B67" s="3">
        <v>10959.6</v>
      </c>
      <c r="C67" s="3">
        <v>10574.23</v>
      </c>
      <c r="D67" s="3">
        <v>12579.2</v>
      </c>
      <c r="E67" s="3">
        <v>13570.91</v>
      </c>
      <c r="F67" s="3">
        <v>14075.55</v>
      </c>
      <c r="G67" s="3">
        <v>19893.3</v>
      </c>
      <c r="H67" s="3">
        <v>18996.169999999998</v>
      </c>
      <c r="I67" s="3">
        <v>11172.69</v>
      </c>
      <c r="J67" s="3">
        <v>12679.08</v>
      </c>
      <c r="K67" s="3">
        <v>12442.12</v>
      </c>
    </row>
    <row r="68" spans="1:11" ht="15" x14ac:dyDescent="0.2">
      <c r="A68" s="2" t="s">
        <v>43</v>
      </c>
      <c r="B68" s="7">
        <v>21036.82</v>
      </c>
      <c r="C68" s="7">
        <v>27270.89</v>
      </c>
      <c r="D68" s="7">
        <v>29272.34</v>
      </c>
      <c r="E68" s="7">
        <v>32655.73</v>
      </c>
      <c r="F68" s="7">
        <v>35085.31</v>
      </c>
      <c r="G68" s="7">
        <v>42137.63</v>
      </c>
      <c r="H68" s="7">
        <v>39013.730000000003</v>
      </c>
      <c r="I68" s="7">
        <v>37456.879999999997</v>
      </c>
      <c r="J68" s="7">
        <v>36088.589999999997</v>
      </c>
      <c r="K68" s="7">
        <v>35240.339999999997</v>
      </c>
    </row>
    <row r="69" spans="1:11" x14ac:dyDescent="0.15">
      <c r="A69" s="2" t="s">
        <v>44</v>
      </c>
      <c r="B69" s="3">
        <v>21114.82</v>
      </c>
      <c r="C69" s="3">
        <v>29711.79</v>
      </c>
      <c r="D69" s="3">
        <v>32115.759999999998</v>
      </c>
      <c r="E69" s="3">
        <v>30460.400000000001</v>
      </c>
      <c r="F69" s="3">
        <v>36077.879999999997</v>
      </c>
      <c r="G69" s="3">
        <v>34613.910000000003</v>
      </c>
      <c r="H69" s="3">
        <v>32648.82</v>
      </c>
      <c r="I69" s="3">
        <v>33726.97</v>
      </c>
      <c r="J69" s="3">
        <v>46792.46</v>
      </c>
      <c r="K69" s="3">
        <v>40669.19</v>
      </c>
    </row>
    <row r="70" spans="1:11" x14ac:dyDescent="0.15">
      <c r="A70" s="2" t="s">
        <v>45</v>
      </c>
      <c r="B70" s="3">
        <v>3190115771</v>
      </c>
      <c r="C70" s="3">
        <v>3218930000</v>
      </c>
      <c r="D70" s="3">
        <v>3218930067</v>
      </c>
      <c r="E70" s="3">
        <v>3395930306</v>
      </c>
      <c r="F70" s="3">
        <v>3396100719</v>
      </c>
      <c r="G70" s="3">
        <v>3396100719</v>
      </c>
      <c r="H70" s="3">
        <v>3396100719</v>
      </c>
      <c r="I70" s="3">
        <v>3597726185</v>
      </c>
      <c r="J70" s="3">
        <v>3829060661</v>
      </c>
      <c r="K70" s="3">
        <v>3829414903</v>
      </c>
    </row>
    <row r="71" spans="1:11" ht="14" x14ac:dyDescent="0.15">
      <c r="A71" s="2" t="s">
        <v>46</v>
      </c>
      <c r="B71" s="9"/>
      <c r="C71" s="9"/>
      <c r="G71" s="9"/>
      <c r="H71" s="9"/>
    </row>
    <row r="72" spans="1:11" x14ac:dyDescent="0.15">
      <c r="A72" s="2" t="s">
        <v>47</v>
      </c>
      <c r="B72" s="3">
        <v>2</v>
      </c>
      <c r="C72" s="3">
        <v>2</v>
      </c>
      <c r="D72" s="3">
        <v>2</v>
      </c>
      <c r="E72" s="3">
        <v>2</v>
      </c>
      <c r="F72" s="3">
        <v>2</v>
      </c>
      <c r="G72" s="3">
        <v>2</v>
      </c>
      <c r="H72" s="3">
        <v>2</v>
      </c>
      <c r="I72" s="3">
        <v>2</v>
      </c>
      <c r="J72" s="3">
        <v>2</v>
      </c>
      <c r="K72" s="3">
        <v>2</v>
      </c>
    </row>
    <row r="73" spans="1:11" x14ac:dyDescent="0.15">
      <c r="H73" s="2">
        <f>H62-G62+H45</f>
        <v>-4101.2599999999993</v>
      </c>
      <c r="I73" s="2">
        <f t="shared" ref="I73:K73" si="3">I62-H62+I45</f>
        <v>22304.78</v>
      </c>
      <c r="J73" s="2">
        <f t="shared" si="3"/>
        <v>17441.509999999987</v>
      </c>
      <c r="K73" s="2">
        <f t="shared" si="3"/>
        <v>6045.1800000000258</v>
      </c>
    </row>
    <row r="80" spans="1:11" x14ac:dyDescent="0.15">
      <c r="A80" s="1" t="s">
        <v>48</v>
      </c>
    </row>
    <row r="81" spans="1:12" s="6" customFormat="1" x14ac:dyDescent="0.15">
      <c r="A81" s="4" t="s">
        <v>11</v>
      </c>
      <c r="B81" s="5">
        <v>41364</v>
      </c>
      <c r="C81" s="5">
        <v>41729</v>
      </c>
      <c r="D81" s="5">
        <v>42094</v>
      </c>
      <c r="E81" s="5">
        <v>42460</v>
      </c>
      <c r="F81" s="5">
        <v>42825</v>
      </c>
      <c r="G81" s="5">
        <v>43190</v>
      </c>
      <c r="H81" s="5">
        <v>43555</v>
      </c>
      <c r="I81" s="5">
        <v>43921</v>
      </c>
      <c r="J81" s="5">
        <v>44286</v>
      </c>
      <c r="K81" s="5">
        <v>44651</v>
      </c>
      <c r="L81" s="5"/>
    </row>
    <row r="82" spans="1:12" s="1" customFormat="1" x14ac:dyDescent="0.15">
      <c r="A82" s="2" t="s">
        <v>49</v>
      </c>
      <c r="B82" s="3">
        <v>22162.61</v>
      </c>
      <c r="C82" s="3">
        <v>36151.160000000003</v>
      </c>
      <c r="D82" s="3">
        <v>35531.26</v>
      </c>
      <c r="E82" s="3">
        <v>37899.54</v>
      </c>
      <c r="F82" s="3">
        <v>30199.25</v>
      </c>
      <c r="G82" s="3">
        <v>23857.42</v>
      </c>
      <c r="H82" s="3">
        <v>18890.75</v>
      </c>
      <c r="I82" s="3">
        <v>26632.94</v>
      </c>
      <c r="J82" s="3">
        <v>29000.51</v>
      </c>
      <c r="K82" s="3">
        <v>14282.83</v>
      </c>
    </row>
    <row r="83" spans="1:12" x14ac:dyDescent="0.15">
      <c r="A83" s="2" t="s">
        <v>50</v>
      </c>
      <c r="B83" s="3">
        <v>-22969.45</v>
      </c>
      <c r="C83" s="3">
        <v>-27990.91</v>
      </c>
      <c r="D83" s="3">
        <v>-36232.35</v>
      </c>
      <c r="E83" s="3">
        <v>-36693.9</v>
      </c>
      <c r="F83" s="3">
        <v>-39571.4</v>
      </c>
      <c r="G83" s="3">
        <v>-25139.14</v>
      </c>
      <c r="H83" s="3">
        <v>-20878.07</v>
      </c>
      <c r="I83" s="3">
        <v>-33114.550000000003</v>
      </c>
      <c r="J83" s="3">
        <v>-25672.5</v>
      </c>
      <c r="K83" s="3">
        <v>-4443.66</v>
      </c>
    </row>
    <row r="84" spans="1:12" x14ac:dyDescent="0.15">
      <c r="A84" s="2" t="s">
        <v>51</v>
      </c>
      <c r="B84" s="3">
        <v>-1692.08</v>
      </c>
      <c r="C84" s="3">
        <v>-3883.24</v>
      </c>
      <c r="D84" s="3">
        <v>5201.4399999999996</v>
      </c>
      <c r="E84" s="3">
        <v>-3795.12</v>
      </c>
      <c r="F84" s="3">
        <v>6205.3</v>
      </c>
      <c r="G84" s="3">
        <v>2011.71</v>
      </c>
      <c r="H84" s="3">
        <v>8830.3700000000008</v>
      </c>
      <c r="I84" s="3">
        <v>3389.61</v>
      </c>
      <c r="J84" s="3">
        <v>9904.2000000000007</v>
      </c>
      <c r="K84" s="3">
        <v>-3380.17</v>
      </c>
    </row>
    <row r="85" spans="1:12" s="1" customFormat="1" x14ac:dyDescent="0.15">
      <c r="A85" s="2" t="s">
        <v>52</v>
      </c>
      <c r="B85" s="3">
        <v>-2498.92</v>
      </c>
      <c r="C85" s="3">
        <v>4277.01</v>
      </c>
      <c r="D85" s="3">
        <v>4500.3500000000004</v>
      </c>
      <c r="E85" s="3">
        <v>-2589.48</v>
      </c>
      <c r="F85" s="3">
        <v>-3166.85</v>
      </c>
      <c r="G85" s="3">
        <v>729.99</v>
      </c>
      <c r="H85" s="3">
        <v>6843.05</v>
      </c>
      <c r="I85" s="3">
        <v>-3092</v>
      </c>
      <c r="J85" s="3">
        <v>13232.21</v>
      </c>
      <c r="K85" s="3">
        <v>6459</v>
      </c>
    </row>
    <row r="90" spans="1:12" s="1" customFormat="1" x14ac:dyDescent="0.15">
      <c r="A90" s="1" t="s">
        <v>53</v>
      </c>
      <c r="B90" s="3">
        <v>266.3</v>
      </c>
      <c r="C90" s="3">
        <v>394.42</v>
      </c>
      <c r="D90" s="3">
        <v>544.37</v>
      </c>
      <c r="E90" s="3">
        <v>386.6</v>
      </c>
      <c r="F90" s="3">
        <v>465.85</v>
      </c>
      <c r="G90" s="3">
        <v>326.85000000000002</v>
      </c>
      <c r="H90" s="3">
        <v>174.25</v>
      </c>
      <c r="I90" s="3">
        <v>71.05</v>
      </c>
      <c r="J90" s="3">
        <v>301.8</v>
      </c>
      <c r="K90" s="3">
        <v>433.75</v>
      </c>
    </row>
    <row r="92" spans="1:12" s="1" customFormat="1" x14ac:dyDescent="0.15">
      <c r="A92" s="1" t="s">
        <v>54</v>
      </c>
    </row>
    <row r="93" spans="1:12" x14ac:dyDescent="0.15">
      <c r="A93" s="2" t="s">
        <v>55</v>
      </c>
      <c r="B93" s="10">
        <v>285.72000000000003</v>
      </c>
      <c r="C93" s="10">
        <v>288.74</v>
      </c>
      <c r="D93" s="10">
        <v>288.74</v>
      </c>
      <c r="E93" s="10">
        <v>288.72000000000003</v>
      </c>
      <c r="F93" s="10">
        <v>288.73</v>
      </c>
      <c r="G93" s="10">
        <v>288.73</v>
      </c>
      <c r="H93" s="10">
        <v>288.73</v>
      </c>
      <c r="I93" s="10">
        <v>308.89999999999998</v>
      </c>
      <c r="J93" s="10">
        <v>332.03</v>
      </c>
      <c r="K93" s="10">
        <v>332.07</v>
      </c>
    </row>
  </sheetData>
  <mergeCells count="2">
    <mergeCell ref="E1:K1"/>
    <mergeCell ref="E2:K2"/>
  </mergeCells>
  <conditionalFormatting sqref="E1:K1">
    <cfRule type="cellIs" dxfId="33" priority="1" operator="notEqual">
      <formula>""</formula>
    </cfRule>
  </conditionalFormatting>
  <hyperlinks>
    <hyperlink ref="E1:K1" r:id="rId1" display="https://www.screener.in/excel/" xr:uid="{53704CA6-975E-49B1-B117-50092339EC09}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331A-BDD7-4BA4-B330-A42F092009EB}">
  <dimension ref="B2:N35"/>
  <sheetViews>
    <sheetView workbookViewId="0">
      <selection activeCell="B2" sqref="B2:N35"/>
    </sheetView>
  </sheetViews>
  <sheetFormatPr baseColWidth="10" defaultColWidth="8.83203125" defaultRowHeight="15" x14ac:dyDescent="0.2"/>
  <cols>
    <col min="2" max="2" width="28" bestFit="1" customWidth="1"/>
    <col min="3" max="14" width="9.1640625" customWidth="1"/>
  </cols>
  <sheetData>
    <row r="2" spans="2:14" x14ac:dyDescent="0.2">
      <c r="B2" t="s">
        <v>134</v>
      </c>
      <c r="C2" s="11" t="s">
        <v>135</v>
      </c>
      <c r="D2" s="11" t="s">
        <v>136</v>
      </c>
      <c r="E2" s="11" t="s">
        <v>124</v>
      </c>
      <c r="F2" s="11" t="s">
        <v>125</v>
      </c>
      <c r="G2" s="11" t="s">
        <v>126</v>
      </c>
      <c r="H2" s="11" t="s">
        <v>127</v>
      </c>
      <c r="I2" s="11" t="s">
        <v>128</v>
      </c>
      <c r="J2" s="11" t="s">
        <v>129</v>
      </c>
      <c r="K2" s="11" t="s">
        <v>130</v>
      </c>
      <c r="L2" s="11" t="s">
        <v>131</v>
      </c>
      <c r="M2" s="11" t="s">
        <v>132</v>
      </c>
      <c r="N2" s="11" t="s">
        <v>133</v>
      </c>
    </row>
    <row r="3" spans="2:14" x14ac:dyDescent="0.2">
      <c r="B3" t="s">
        <v>114</v>
      </c>
      <c r="C3" s="29">
        <v>11240</v>
      </c>
      <c r="D3" s="29">
        <v>18384</v>
      </c>
      <c r="E3" s="29">
        <v>22163</v>
      </c>
      <c r="F3" s="29">
        <v>36151</v>
      </c>
      <c r="G3" s="29">
        <v>35531</v>
      </c>
      <c r="H3" s="29">
        <v>37900</v>
      </c>
      <c r="I3" s="29">
        <v>30199</v>
      </c>
      <c r="J3" s="29">
        <v>23857</v>
      </c>
      <c r="K3" s="29">
        <v>18891</v>
      </c>
      <c r="L3" s="29">
        <v>26633</v>
      </c>
      <c r="M3" s="29">
        <v>29001</v>
      </c>
      <c r="N3" s="29">
        <v>14283</v>
      </c>
    </row>
    <row r="4" spans="2:14" x14ac:dyDescent="0.2">
      <c r="B4" t="s">
        <v>87</v>
      </c>
      <c r="C4" s="29">
        <v>16680</v>
      </c>
      <c r="D4" s="29">
        <v>22432</v>
      </c>
      <c r="E4" s="29">
        <v>24406</v>
      </c>
      <c r="F4" s="29">
        <v>36303</v>
      </c>
      <c r="G4" s="29">
        <v>43397</v>
      </c>
      <c r="H4" s="29">
        <v>38626</v>
      </c>
      <c r="I4" s="29">
        <v>28840</v>
      </c>
      <c r="J4" s="29">
        <v>33312</v>
      </c>
      <c r="K4" s="29">
        <v>28771</v>
      </c>
      <c r="L4" s="29">
        <v>23352</v>
      </c>
      <c r="M4" s="29">
        <v>31198</v>
      </c>
      <c r="N4" s="29">
        <v>26666</v>
      </c>
    </row>
    <row r="5" spans="2:14" x14ac:dyDescent="0.2">
      <c r="B5" t="s">
        <v>42</v>
      </c>
      <c r="C5" s="29">
        <v>-1422</v>
      </c>
      <c r="D5" s="29">
        <v>-6659</v>
      </c>
      <c r="E5" s="29">
        <v>-5177</v>
      </c>
      <c r="F5">
        <v>445</v>
      </c>
      <c r="G5" s="29">
        <v>-3179</v>
      </c>
      <c r="H5" s="29">
        <v>-2223</v>
      </c>
      <c r="I5" s="29">
        <v>-4152</v>
      </c>
      <c r="J5" s="29">
        <v>-10688</v>
      </c>
      <c r="K5" s="29">
        <v>-9109</v>
      </c>
      <c r="L5" s="29">
        <v>9950</v>
      </c>
      <c r="M5" s="29">
        <v>-5505</v>
      </c>
      <c r="N5">
        <v>337</v>
      </c>
    </row>
    <row r="6" spans="2:14" x14ac:dyDescent="0.2">
      <c r="B6" t="s">
        <v>43</v>
      </c>
      <c r="C6" s="29">
        <v>-2411</v>
      </c>
      <c r="D6" s="29">
        <v>-2719</v>
      </c>
      <c r="E6" s="29">
        <v>-2656</v>
      </c>
      <c r="F6" s="29">
        <v>-2853</v>
      </c>
      <c r="G6" s="29">
        <v>-3692</v>
      </c>
      <c r="H6" s="29">
        <v>-5743</v>
      </c>
      <c r="I6" s="29">
        <v>-6621</v>
      </c>
      <c r="J6" s="29">
        <v>-3560</v>
      </c>
      <c r="K6" s="29">
        <v>2069</v>
      </c>
      <c r="L6" s="29">
        <v>2326</v>
      </c>
      <c r="M6" s="29">
        <v>3814</v>
      </c>
      <c r="N6">
        <v>597</v>
      </c>
    </row>
    <row r="7" spans="2:14" x14ac:dyDescent="0.2">
      <c r="B7" t="s">
        <v>88</v>
      </c>
      <c r="C7">
        <v>344</v>
      </c>
      <c r="D7" s="29">
        <v>5867</v>
      </c>
      <c r="E7" s="29">
        <v>8132</v>
      </c>
      <c r="F7" s="29">
        <v>4694</v>
      </c>
      <c r="G7" s="29">
        <v>3598</v>
      </c>
      <c r="H7" s="29">
        <v>3947</v>
      </c>
      <c r="I7" s="29">
        <v>9301</v>
      </c>
      <c r="J7" s="29">
        <v>7320</v>
      </c>
      <c r="K7" s="29">
        <v>-4692</v>
      </c>
      <c r="L7" s="29">
        <v>-8085</v>
      </c>
      <c r="M7" s="29">
        <v>5748</v>
      </c>
      <c r="N7" s="29">
        <v>-7012</v>
      </c>
    </row>
    <row r="8" spans="2:14" x14ac:dyDescent="0.2"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-520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2">
      <c r="B9" t="s">
        <v>90</v>
      </c>
      <c r="C9">
        <v>-559</v>
      </c>
      <c r="D9" s="29">
        <v>1231</v>
      </c>
      <c r="E9">
        <v>-303</v>
      </c>
      <c r="F9" s="29">
        <v>1870</v>
      </c>
      <c r="G9">
        <v>-398</v>
      </c>
      <c r="H9" s="29">
        <v>5852</v>
      </c>
      <c r="I9" s="29">
        <v>4727</v>
      </c>
      <c r="J9">
        <v>494</v>
      </c>
      <c r="K9" s="29">
        <v>4512</v>
      </c>
      <c r="L9">
        <v>875</v>
      </c>
      <c r="M9" s="29">
        <v>-4150</v>
      </c>
      <c r="N9" s="29">
        <v>-4396</v>
      </c>
    </row>
    <row r="10" spans="2:14" x14ac:dyDescent="0.2">
      <c r="B10" t="s">
        <v>91</v>
      </c>
      <c r="C10" s="29">
        <v>-4048</v>
      </c>
      <c r="D10" s="29">
        <v>-2280</v>
      </c>
      <c r="E10">
        <v>-3</v>
      </c>
      <c r="F10" s="29">
        <v>4157</v>
      </c>
      <c r="G10" s="29">
        <v>-3672</v>
      </c>
      <c r="H10" s="29">
        <v>1313</v>
      </c>
      <c r="I10" s="29">
        <v>3254</v>
      </c>
      <c r="J10" s="29">
        <v>-6434</v>
      </c>
      <c r="K10" s="29">
        <v>-7221</v>
      </c>
      <c r="L10" s="29">
        <v>5065</v>
      </c>
      <c r="M10">
        <v>-93</v>
      </c>
      <c r="N10" s="29">
        <v>-10474</v>
      </c>
    </row>
    <row r="11" spans="2:14" x14ac:dyDescent="0.2">
      <c r="B11" t="s">
        <v>92</v>
      </c>
      <c r="C11" s="29">
        <v>-1391</v>
      </c>
      <c r="D11" s="29">
        <v>-1768</v>
      </c>
      <c r="E11" s="29">
        <v>-2240</v>
      </c>
      <c r="F11" s="29">
        <v>-4308</v>
      </c>
      <c r="G11" s="29">
        <v>-4194</v>
      </c>
      <c r="H11" s="29">
        <v>-2040</v>
      </c>
      <c r="I11" s="29">
        <v>-1895</v>
      </c>
      <c r="J11" s="29">
        <v>-3021</v>
      </c>
      <c r="K11" s="29">
        <v>-2659</v>
      </c>
      <c r="L11" s="29">
        <v>-1785</v>
      </c>
      <c r="M11" s="29">
        <v>-2105</v>
      </c>
      <c r="N11" s="29">
        <v>-1910</v>
      </c>
    </row>
    <row r="12" spans="2:14" x14ac:dyDescent="0.2">
      <c r="B12" t="s">
        <v>115</v>
      </c>
      <c r="C12" s="29">
        <v>-7023</v>
      </c>
      <c r="D12" s="29">
        <v>-19464</v>
      </c>
      <c r="E12" s="29">
        <v>-22969</v>
      </c>
      <c r="F12" s="29">
        <v>-27991</v>
      </c>
      <c r="G12" s="29">
        <v>-36232</v>
      </c>
      <c r="H12" s="29">
        <v>-36694</v>
      </c>
      <c r="I12" s="29">
        <v>-39571</v>
      </c>
      <c r="J12" s="29">
        <v>-25139</v>
      </c>
      <c r="K12" s="29">
        <v>-20878</v>
      </c>
      <c r="L12" s="29">
        <v>-33115</v>
      </c>
      <c r="M12" s="29">
        <v>-25672</v>
      </c>
      <c r="N12" s="29">
        <v>-4444</v>
      </c>
    </row>
    <row r="13" spans="2:14" x14ac:dyDescent="0.2">
      <c r="B13" t="s">
        <v>93</v>
      </c>
      <c r="C13" s="29">
        <v>-8124</v>
      </c>
      <c r="D13" s="29">
        <v>-13876</v>
      </c>
      <c r="E13" s="29">
        <v>-18863</v>
      </c>
      <c r="F13" s="29">
        <v>-26975</v>
      </c>
      <c r="G13" s="29">
        <v>-31962</v>
      </c>
      <c r="H13" s="29">
        <v>-31503</v>
      </c>
      <c r="I13" s="29">
        <v>-16072</v>
      </c>
      <c r="J13" s="29">
        <v>-35079</v>
      </c>
      <c r="K13" s="29">
        <v>-35304</v>
      </c>
      <c r="L13" s="29">
        <v>-29702</v>
      </c>
      <c r="M13" s="29">
        <v>-20205</v>
      </c>
      <c r="N13" s="29">
        <v>-15168</v>
      </c>
    </row>
    <row r="14" spans="2:14" x14ac:dyDescent="0.2">
      <c r="B14" t="s">
        <v>94</v>
      </c>
      <c r="C14">
        <v>11</v>
      </c>
      <c r="D14">
        <v>93</v>
      </c>
      <c r="E14">
        <v>37</v>
      </c>
      <c r="F14">
        <v>50</v>
      </c>
      <c r="G14">
        <v>74</v>
      </c>
      <c r="H14">
        <v>59</v>
      </c>
      <c r="I14">
        <v>53</v>
      </c>
      <c r="J14">
        <v>30</v>
      </c>
      <c r="K14">
        <v>67</v>
      </c>
      <c r="L14">
        <v>171</v>
      </c>
      <c r="M14">
        <v>351</v>
      </c>
      <c r="N14">
        <v>230</v>
      </c>
    </row>
    <row r="15" spans="2:14" x14ac:dyDescent="0.2">
      <c r="B15" t="s">
        <v>95</v>
      </c>
      <c r="C15">
        <v>-147</v>
      </c>
      <c r="D15" s="29">
        <v>-5857</v>
      </c>
      <c r="E15">
        <v>73</v>
      </c>
      <c r="F15">
        <v>-429</v>
      </c>
      <c r="G15" s="29">
        <v>-5461</v>
      </c>
      <c r="H15" s="29">
        <v>-4728</v>
      </c>
      <c r="I15">
        <v>-6</v>
      </c>
      <c r="J15">
        <v>-329</v>
      </c>
      <c r="K15">
        <v>-130</v>
      </c>
      <c r="L15" s="29">
        <v>-1439</v>
      </c>
      <c r="M15" s="29">
        <v>-7530</v>
      </c>
      <c r="N15" s="29">
        <v>-3008</v>
      </c>
    </row>
    <row r="16" spans="2:14" x14ac:dyDescent="0.2">
      <c r="B16" t="s">
        <v>96</v>
      </c>
      <c r="C16">
        <v>7</v>
      </c>
      <c r="D16">
        <v>84</v>
      </c>
      <c r="E16">
        <v>34</v>
      </c>
      <c r="F16">
        <v>4</v>
      </c>
      <c r="G16">
        <v>42</v>
      </c>
      <c r="H16">
        <v>89</v>
      </c>
      <c r="I16" s="29">
        <v>1965</v>
      </c>
      <c r="J16" s="29">
        <v>2381</v>
      </c>
      <c r="K16" s="29">
        <v>5644</v>
      </c>
      <c r="L16">
        <v>21</v>
      </c>
      <c r="M16">
        <v>226</v>
      </c>
      <c r="N16">
        <v>104</v>
      </c>
    </row>
    <row r="17" spans="2:14" x14ac:dyDescent="0.2">
      <c r="B17" t="s">
        <v>97</v>
      </c>
      <c r="C17">
        <v>314</v>
      </c>
      <c r="D17">
        <v>467</v>
      </c>
      <c r="E17">
        <v>713</v>
      </c>
      <c r="F17">
        <v>653</v>
      </c>
      <c r="G17">
        <v>698</v>
      </c>
      <c r="H17">
        <v>731</v>
      </c>
      <c r="I17">
        <v>638</v>
      </c>
      <c r="J17">
        <v>690</v>
      </c>
      <c r="K17">
        <v>761</v>
      </c>
      <c r="L17" s="29">
        <v>1104</v>
      </c>
      <c r="M17">
        <v>428</v>
      </c>
      <c r="N17">
        <v>653</v>
      </c>
    </row>
    <row r="18" spans="2:14" x14ac:dyDescent="0.2">
      <c r="B18" t="s">
        <v>98</v>
      </c>
      <c r="C18">
        <v>98</v>
      </c>
      <c r="D18">
        <v>70</v>
      </c>
      <c r="E18">
        <v>95</v>
      </c>
      <c r="F18">
        <v>40</v>
      </c>
      <c r="G18">
        <v>80</v>
      </c>
      <c r="H18">
        <v>58</v>
      </c>
      <c r="I18">
        <v>620</v>
      </c>
      <c r="J18" s="29">
        <v>1797</v>
      </c>
      <c r="K18">
        <v>232</v>
      </c>
      <c r="L18">
        <v>21</v>
      </c>
      <c r="M18">
        <v>18</v>
      </c>
      <c r="N18">
        <v>32</v>
      </c>
    </row>
    <row r="19" spans="2:14" x14ac:dyDescent="0.2">
      <c r="B19" t="s">
        <v>99</v>
      </c>
      <c r="C19">
        <v>-70</v>
      </c>
      <c r="D19">
        <v>-304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2:14" x14ac:dyDescent="0.2">
      <c r="B20" t="s">
        <v>100</v>
      </c>
      <c r="C20">
        <v>-4</v>
      </c>
      <c r="D20">
        <v>-9</v>
      </c>
      <c r="E20">
        <v>0</v>
      </c>
      <c r="F20">
        <v>0</v>
      </c>
      <c r="G20">
        <v>-160</v>
      </c>
      <c r="H20">
        <v>0</v>
      </c>
      <c r="I20">
        <v>-107</v>
      </c>
      <c r="J20">
        <v>-4</v>
      </c>
      <c r="K20">
        <v>-9</v>
      </c>
      <c r="L20">
        <v>-606</v>
      </c>
      <c r="M20">
        <v>-10</v>
      </c>
      <c r="N20">
        <v>0</v>
      </c>
    </row>
    <row r="21" spans="2:14" x14ac:dyDescent="0.2">
      <c r="B21" t="s">
        <v>101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14</v>
      </c>
      <c r="K21">
        <v>533</v>
      </c>
      <c r="L21">
        <v>0</v>
      </c>
      <c r="M21">
        <v>0</v>
      </c>
      <c r="N21">
        <v>0</v>
      </c>
    </row>
    <row r="22" spans="2:14" x14ac:dyDescent="0.2">
      <c r="B22" t="s">
        <v>102</v>
      </c>
      <c r="C22">
        <v>2</v>
      </c>
      <c r="D22">
        <v>0</v>
      </c>
      <c r="E22">
        <v>0</v>
      </c>
      <c r="F22">
        <v>-185</v>
      </c>
      <c r="G22">
        <v>0</v>
      </c>
      <c r="H22">
        <v>-111</v>
      </c>
      <c r="I22">
        <v>0</v>
      </c>
      <c r="J22">
        <v>0</v>
      </c>
      <c r="K22">
        <v>-8</v>
      </c>
      <c r="L22">
        <v>-27</v>
      </c>
      <c r="M22">
        <v>0</v>
      </c>
      <c r="N22">
        <v>-98</v>
      </c>
    </row>
    <row r="23" spans="2:14" x14ac:dyDescent="0.2">
      <c r="B23" t="s">
        <v>103</v>
      </c>
      <c r="C23">
        <v>5</v>
      </c>
      <c r="D23">
        <v>-3</v>
      </c>
      <c r="E23">
        <v>45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2">
      <c r="B24" t="s">
        <v>104</v>
      </c>
      <c r="C24">
        <v>884</v>
      </c>
      <c r="D24">
        <v>-129</v>
      </c>
      <c r="E24" s="29">
        <v>-5103</v>
      </c>
      <c r="F24" s="29">
        <v>-1149</v>
      </c>
      <c r="G24">
        <v>456</v>
      </c>
      <c r="H24" s="29">
        <v>-1289</v>
      </c>
      <c r="I24" s="29">
        <v>-26663</v>
      </c>
      <c r="J24" s="29">
        <v>5360</v>
      </c>
      <c r="K24" s="29">
        <v>7335</v>
      </c>
      <c r="L24" s="29">
        <v>-2659</v>
      </c>
      <c r="M24" s="29">
        <v>1051</v>
      </c>
      <c r="N24" s="29">
        <v>12813</v>
      </c>
    </row>
    <row r="25" spans="2:14" x14ac:dyDescent="0.2">
      <c r="B25" t="s">
        <v>116</v>
      </c>
      <c r="C25" s="29">
        <v>-1401</v>
      </c>
      <c r="D25" s="29">
        <v>6567</v>
      </c>
      <c r="E25" s="29">
        <v>-1692</v>
      </c>
      <c r="F25" s="29">
        <v>-3883</v>
      </c>
      <c r="G25" s="29">
        <v>5201</v>
      </c>
      <c r="H25" s="29">
        <v>-3795</v>
      </c>
      <c r="I25" s="29">
        <v>6205</v>
      </c>
      <c r="J25" s="29">
        <v>2012</v>
      </c>
      <c r="K25" s="29">
        <v>8830</v>
      </c>
      <c r="L25" s="29">
        <v>3390</v>
      </c>
      <c r="M25" s="29">
        <v>9904</v>
      </c>
      <c r="N25" s="29">
        <v>-3380</v>
      </c>
    </row>
    <row r="26" spans="2:14" x14ac:dyDescent="0.2">
      <c r="B26" t="s">
        <v>105</v>
      </c>
      <c r="C26" s="29">
        <v>3258</v>
      </c>
      <c r="D26">
        <v>139</v>
      </c>
      <c r="E26">
        <v>1</v>
      </c>
      <c r="F26">
        <v>0</v>
      </c>
      <c r="G26">
        <v>0</v>
      </c>
      <c r="H26" s="29">
        <v>7433</v>
      </c>
      <c r="I26">
        <v>5</v>
      </c>
      <c r="J26">
        <v>0</v>
      </c>
      <c r="K26">
        <v>0</v>
      </c>
      <c r="L26" s="29">
        <v>3889</v>
      </c>
      <c r="M26" s="29">
        <v>2603</v>
      </c>
      <c r="N26">
        <v>19</v>
      </c>
    </row>
    <row r="27" spans="2:14" x14ac:dyDescent="0.2">
      <c r="B27" t="s">
        <v>106</v>
      </c>
      <c r="C27">
        <v>0</v>
      </c>
      <c r="D27">
        <v>0</v>
      </c>
      <c r="E27">
        <v>-97</v>
      </c>
      <c r="F27">
        <v>-658</v>
      </c>
      <c r="G27">
        <v>-744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2">
      <c r="B28" t="s">
        <v>107</v>
      </c>
      <c r="C28" s="29">
        <v>15530</v>
      </c>
      <c r="D28" s="29">
        <v>27462</v>
      </c>
      <c r="E28" s="29">
        <v>27863</v>
      </c>
      <c r="F28" s="29">
        <v>33258</v>
      </c>
      <c r="G28" s="29">
        <v>36363</v>
      </c>
      <c r="H28" s="29">
        <v>19519</v>
      </c>
      <c r="I28" s="29">
        <v>33390</v>
      </c>
      <c r="J28" s="29">
        <v>37482</v>
      </c>
      <c r="K28" s="29">
        <v>51128</v>
      </c>
      <c r="L28" s="29">
        <v>38297</v>
      </c>
      <c r="M28" s="29">
        <v>46641</v>
      </c>
      <c r="N28" s="29">
        <v>46578</v>
      </c>
    </row>
    <row r="29" spans="2:14" x14ac:dyDescent="0.2">
      <c r="B29" t="s">
        <v>108</v>
      </c>
      <c r="C29" s="29">
        <v>-16641</v>
      </c>
      <c r="D29" s="29">
        <v>-15010</v>
      </c>
      <c r="E29" s="29">
        <v>-20395</v>
      </c>
      <c r="F29" s="29">
        <v>-29141</v>
      </c>
      <c r="G29" s="29">
        <v>-23332</v>
      </c>
      <c r="H29" s="29">
        <v>-24924</v>
      </c>
      <c r="I29" s="29">
        <v>-21732</v>
      </c>
      <c r="J29" s="29">
        <v>-29964</v>
      </c>
      <c r="K29" s="29">
        <v>-35198</v>
      </c>
      <c r="L29" s="29">
        <v>-29847</v>
      </c>
      <c r="M29" s="29">
        <v>-29709</v>
      </c>
      <c r="N29" s="29">
        <v>-42816</v>
      </c>
    </row>
    <row r="30" spans="2:14" x14ac:dyDescent="0.2">
      <c r="B30" t="s">
        <v>109</v>
      </c>
      <c r="C30">
        <v>339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2">
      <c r="B31" t="s">
        <v>110</v>
      </c>
      <c r="C31" s="29">
        <v>-2469</v>
      </c>
      <c r="D31" s="29">
        <v>-3374</v>
      </c>
      <c r="E31" s="29">
        <v>-4666</v>
      </c>
      <c r="F31" s="29">
        <v>-6171</v>
      </c>
      <c r="G31" s="29">
        <v>-6307</v>
      </c>
      <c r="H31" s="29">
        <v>-5716</v>
      </c>
      <c r="I31" s="29">
        <v>-5336</v>
      </c>
      <c r="J31" s="29">
        <v>-5411</v>
      </c>
      <c r="K31" s="29">
        <v>-7005</v>
      </c>
      <c r="L31" s="29">
        <v>-7518</v>
      </c>
      <c r="M31" s="29">
        <v>-8123</v>
      </c>
      <c r="N31" s="29">
        <v>-9251</v>
      </c>
    </row>
    <row r="32" spans="2:14" x14ac:dyDescent="0.2">
      <c r="B32" t="s">
        <v>111</v>
      </c>
      <c r="C32" s="29">
        <v>-1020</v>
      </c>
      <c r="D32" s="29">
        <v>-1503</v>
      </c>
      <c r="E32" s="29">
        <v>-1551</v>
      </c>
      <c r="F32">
        <v>-722</v>
      </c>
      <c r="G32">
        <v>-720</v>
      </c>
      <c r="H32">
        <v>-108</v>
      </c>
      <c r="I32">
        <v>-121</v>
      </c>
      <c r="J32">
        <v>-96</v>
      </c>
      <c r="K32">
        <v>-95</v>
      </c>
      <c r="L32">
        <v>-57</v>
      </c>
      <c r="M32">
        <v>-30</v>
      </c>
      <c r="N32">
        <v>-100</v>
      </c>
    </row>
    <row r="33" spans="2:14" x14ac:dyDescent="0.2">
      <c r="B33" t="s">
        <v>112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9">
        <v>-1346</v>
      </c>
      <c r="M33" s="29">
        <v>-1477</v>
      </c>
      <c r="N33" s="29">
        <v>-1559</v>
      </c>
    </row>
    <row r="34" spans="2:14" x14ac:dyDescent="0.2">
      <c r="B34" t="s">
        <v>113</v>
      </c>
      <c r="C34">
        <v>-399</v>
      </c>
      <c r="D34" s="29">
        <v>-1147</v>
      </c>
      <c r="E34" s="29">
        <v>-2849</v>
      </c>
      <c r="F34">
        <v>-450</v>
      </c>
      <c r="G34">
        <v>-57</v>
      </c>
      <c r="H34">
        <v>0</v>
      </c>
      <c r="I34">
        <v>0</v>
      </c>
      <c r="J34">
        <v>0</v>
      </c>
      <c r="K34">
        <v>0</v>
      </c>
      <c r="L34">
        <v>-29</v>
      </c>
      <c r="M34">
        <v>0</v>
      </c>
      <c r="N34" s="29">
        <v>3750</v>
      </c>
    </row>
    <row r="35" spans="2:14" x14ac:dyDescent="0.2">
      <c r="B35" t="s">
        <v>52</v>
      </c>
      <c r="C35" s="29">
        <v>2815</v>
      </c>
      <c r="D35" s="29">
        <v>5488</v>
      </c>
      <c r="E35" s="29">
        <v>-2499</v>
      </c>
      <c r="F35" s="29">
        <v>4277</v>
      </c>
      <c r="G35" s="29">
        <v>4500</v>
      </c>
      <c r="H35" s="29">
        <v>-2589</v>
      </c>
      <c r="I35" s="29">
        <v>-3167</v>
      </c>
      <c r="J35">
        <v>730</v>
      </c>
      <c r="K35" s="29">
        <v>6843</v>
      </c>
      <c r="L35" s="29">
        <v>-3092</v>
      </c>
      <c r="M35" s="29">
        <v>13232</v>
      </c>
      <c r="N35" s="29">
        <v>6459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HistoricalFS</vt:lpstr>
      <vt:lpstr>Data Sheet</vt:lpstr>
      <vt:lpstr>Cash Flow Data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Valuation School</dc:creator>
  <cp:lastModifiedBy>Fenil Niteshbhai Savani</cp:lastModifiedBy>
  <dcterms:created xsi:type="dcterms:W3CDTF">2023-01-14T08:22:33Z</dcterms:created>
  <dcterms:modified xsi:type="dcterms:W3CDTF">2024-03-26T18:56:03Z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{9CFBFC8B-C35F-4354-95CF-4607CE1DA376}</vt:lpwstr>
  </property>
</Properties>
</file>