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3AB34F96-F57F-4E38-AD8B-FB6723986FC9}" xr6:coauthVersionLast="46" xr6:coauthVersionMax="47" xr10:uidLastSave="{00000000-0000-0000-0000-000000000000}"/>
  <bookViews>
    <workbookView xWindow="-120" yWindow="-120" windowWidth="29040" windowHeight="15840" tabRatio="780" activeTab="2" xr2:uid="{16EA9A20-0D63-4694-8194-00B2147553CC}"/>
  </bookViews>
  <sheets>
    <sheet name="AgendaToDo" sheetId="8" r:id="rId1"/>
    <sheet name="OverallResourcesGrassHub" sheetId="19" r:id="rId2"/>
    <sheet name="SwampHubProduction" sheetId="24" r:id="rId3"/>
    <sheet name="SwampNuclearFacility" sheetId="23" r:id="rId4"/>
    <sheet name="GrasslandRegionalProduction" sheetId="6" r:id="rId5"/>
    <sheet name="SWNitrogenFacility" sheetId="14" r:id="rId6"/>
    <sheet name="QuickwireCoast" sheetId="18" r:id="rId7"/>
    <sheet name="GrassValleyCircuitBoard" sheetId="20" r:id="rId8"/>
    <sheet name="CoastAlumIntSite" sheetId="22" r:id="rId9"/>
    <sheet name="ComputersSiteGrass" sheetId="21" r:id="rId10"/>
    <sheet name="SteelLakeSite" sheetId="17" r:id="rId11"/>
    <sheet name="OffshoreMegaRefinery" sheetId="16" r:id="rId12"/>
    <sheet name="SilicaCaveSite" sheetId="13" r:id="rId13"/>
    <sheet name="LakeCraterMotors" sheetId="25" r:id="rId14"/>
    <sheet name="Diagrams" sheetId="2" r:id="rId15"/>
    <sheet name="MinerOutputValues" sheetId="5" r:id="rId16"/>
    <sheet name="GrasslandTrainHubStations" sheetId="9" r:id="rId17"/>
    <sheet name="TierLocationOrganization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3" l="1"/>
  <c r="F26" i="23"/>
  <c r="E88" i="23"/>
  <c r="E87" i="23"/>
  <c r="E86" i="23"/>
  <c r="E85" i="23"/>
  <c r="E84" i="23"/>
  <c r="E83" i="23"/>
  <c r="E82" i="23"/>
  <c r="C25" i="25"/>
  <c r="J62" i="6"/>
  <c r="J104" i="6"/>
  <c r="J63" i="6"/>
  <c r="S58" i="6"/>
  <c r="O58" i="6"/>
  <c r="N58" i="6"/>
  <c r="N57" i="6"/>
  <c r="S57" i="6"/>
  <c r="S56" i="6"/>
  <c r="N56" i="6"/>
  <c r="S49" i="6"/>
  <c r="N49" i="6"/>
  <c r="Y25" i="6"/>
  <c r="J146" i="6" s="1"/>
  <c r="D23" i="19" s="1"/>
  <c r="N41" i="19" s="1"/>
  <c r="U25" i="6"/>
  <c r="N29" i="19"/>
  <c r="Q5" i="19"/>
  <c r="N38" i="19"/>
  <c r="J57" i="19"/>
  <c r="N37" i="19"/>
  <c r="J56" i="19"/>
  <c r="N36" i="19"/>
  <c r="J55" i="19"/>
  <c r="J51" i="19"/>
  <c r="J50" i="19"/>
  <c r="J49" i="19"/>
  <c r="J48" i="19"/>
  <c r="J47" i="19"/>
  <c r="L58" i="14"/>
  <c r="V35" i="14"/>
  <c r="M35" i="14"/>
  <c r="W34" i="14"/>
  <c r="U39" i="14" s="1"/>
  <c r="V34" i="14"/>
  <c r="S34" i="14"/>
  <c r="P34" i="14"/>
  <c r="J39" i="19"/>
  <c r="M34" i="14"/>
  <c r="J38" i="19"/>
  <c r="J37" i="19"/>
  <c r="J36" i="19"/>
  <c r="J35" i="19"/>
  <c r="J24" i="25"/>
  <c r="H39" i="25"/>
  <c r="H40" i="25"/>
  <c r="K39" i="25"/>
  <c r="Q36" i="25"/>
  <c r="M36" i="25"/>
  <c r="L36" i="25"/>
  <c r="Q35" i="25"/>
  <c r="M35" i="25"/>
  <c r="L35" i="25"/>
  <c r="Q34" i="25"/>
  <c r="M34" i="25"/>
  <c r="L34" i="25"/>
  <c r="K45" i="25"/>
  <c r="K44" i="25"/>
  <c r="K43" i="25"/>
  <c r="H29" i="25"/>
  <c r="H28" i="25"/>
  <c r="H27" i="25"/>
  <c r="N24" i="25"/>
  <c r="H30" i="25" s="1"/>
  <c r="N22" i="25"/>
  <c r="J22" i="25"/>
  <c r="N23" i="25"/>
  <c r="J23" i="25"/>
  <c r="N21" i="25"/>
  <c r="J21" i="25"/>
  <c r="N20" i="25"/>
  <c r="J20" i="25"/>
  <c r="K42" i="25"/>
  <c r="H15" i="25"/>
  <c r="H14" i="25"/>
  <c r="M11" i="25"/>
  <c r="L11" i="25"/>
  <c r="K40" i="25"/>
  <c r="Q11" i="25"/>
  <c r="H7" i="25"/>
  <c r="E20" i="25"/>
  <c r="D7" i="25" s="1"/>
  <c r="E19" i="25"/>
  <c r="E18" i="25"/>
  <c r="E17" i="25"/>
  <c r="E14" i="25"/>
  <c r="E11" i="25"/>
  <c r="E12" i="25"/>
  <c r="E13" i="25"/>
  <c r="Q4" i="25"/>
  <c r="M4" i="25"/>
  <c r="L4" i="25"/>
  <c r="T29" i="14"/>
  <c r="L31" i="14" s="1"/>
  <c r="P35" i="14" s="1"/>
  <c r="V39" i="14" l="1"/>
  <c r="L57" i="14" s="1"/>
  <c r="X39" i="14"/>
  <c r="L55" i="14" s="1"/>
  <c r="Y39" i="14"/>
  <c r="L56" i="14" s="1"/>
  <c r="Z39" i="14"/>
  <c r="L60" i="14" s="1"/>
  <c r="W39" i="14"/>
  <c r="L54" i="14" s="1"/>
  <c r="C7" i="25"/>
  <c r="P29" i="14"/>
  <c r="Q29" i="14"/>
  <c r="U4" i="14"/>
  <c r="L8" i="14" s="1"/>
  <c r="L22" i="14" s="1"/>
  <c r="Q4" i="14"/>
  <c r="P4" i="14"/>
  <c r="P12" i="14"/>
  <c r="I7" i="14"/>
  <c r="S13" i="14" s="1"/>
  <c r="I4" i="14"/>
  <c r="M11" i="14" s="1"/>
  <c r="I11" i="14"/>
  <c r="J33" i="19" s="1"/>
  <c r="F15" i="14"/>
  <c r="F14" i="14"/>
  <c r="F13" i="14"/>
  <c r="F12" i="14"/>
  <c r="F11" i="14"/>
  <c r="F10" i="14"/>
  <c r="F9" i="14"/>
  <c r="D60" i="23"/>
  <c r="D65" i="23"/>
  <c r="D59" i="23"/>
  <c r="D58" i="23"/>
  <c r="D64" i="23"/>
  <c r="D55" i="23"/>
  <c r="D57" i="23"/>
  <c r="D56" i="23"/>
  <c r="D47" i="23"/>
  <c r="D54" i="23"/>
  <c r="D63" i="23"/>
  <c r="D62" i="23"/>
  <c r="D53" i="23"/>
  <c r="D52" i="23"/>
  <c r="D51" i="23"/>
  <c r="D50" i="23"/>
  <c r="D49" i="23"/>
  <c r="D48" i="23"/>
  <c r="D61" i="23"/>
  <c r="D46" i="23"/>
  <c r="G53" i="23"/>
  <c r="G52" i="23"/>
  <c r="G51" i="23"/>
  <c r="G50" i="23"/>
  <c r="J21" i="23"/>
  <c r="J22" i="23"/>
  <c r="J23" i="23"/>
  <c r="J24" i="23"/>
  <c r="J20" i="23"/>
  <c r="J31" i="23"/>
  <c r="J30" i="23"/>
  <c r="J29" i="23"/>
  <c r="J28" i="23"/>
  <c r="J27" i="23"/>
  <c r="G47" i="23"/>
  <c r="G46" i="23"/>
  <c r="G45" i="23"/>
  <c r="G44" i="23"/>
  <c r="J43" i="23"/>
  <c r="J42" i="23"/>
  <c r="J41" i="23"/>
  <c r="J40" i="23"/>
  <c r="G41" i="23"/>
  <c r="G40" i="23"/>
  <c r="J34" i="23"/>
  <c r="J35" i="23"/>
  <c r="J36" i="23"/>
  <c r="G37" i="23"/>
  <c r="G36" i="23"/>
  <c r="G35" i="23"/>
  <c r="G34" i="23"/>
  <c r="D31" i="24"/>
  <c r="D64" i="24"/>
  <c r="J7" i="24" s="1"/>
  <c r="D63" i="24"/>
  <c r="D62" i="24"/>
  <c r="D61" i="24"/>
  <c r="D60" i="24"/>
  <c r="D59" i="24"/>
  <c r="I7" i="24"/>
  <c r="D56" i="24"/>
  <c r="D51" i="24"/>
  <c r="D55" i="24"/>
  <c r="D54" i="24"/>
  <c r="D53" i="24"/>
  <c r="D52" i="24"/>
  <c r="D50" i="24"/>
  <c r="H7" i="24"/>
  <c r="D46" i="24"/>
  <c r="D47" i="24" s="1"/>
  <c r="D45" i="24"/>
  <c r="G7" i="24"/>
  <c r="D41" i="24"/>
  <c r="D42" i="24" s="1"/>
  <c r="D40" i="24"/>
  <c r="D39" i="24"/>
  <c r="D35" i="24"/>
  <c r="D34" i="24"/>
  <c r="D26" i="24"/>
  <c r="D27" i="24"/>
  <c r="D28" i="24"/>
  <c r="D29" i="24"/>
  <c r="D30" i="24"/>
  <c r="D22" i="24"/>
  <c r="D21" i="24"/>
  <c r="D20" i="24"/>
  <c r="D16" i="24"/>
  <c r="D15" i="24"/>
  <c r="D14" i="24"/>
  <c r="D13" i="24"/>
  <c r="D12" i="24"/>
  <c r="D11" i="24"/>
  <c r="O109" i="23"/>
  <c r="R109" i="23"/>
  <c r="M116" i="23" s="1"/>
  <c r="N109" i="23"/>
  <c r="M109" i="23"/>
  <c r="L109" i="23"/>
  <c r="V97" i="23"/>
  <c r="M105" i="23" s="1"/>
  <c r="R97" i="23"/>
  <c r="Q97" i="23"/>
  <c r="R84" i="23"/>
  <c r="Q84" i="23"/>
  <c r="V84" i="23"/>
  <c r="M93" i="23" s="1"/>
  <c r="O69" i="23"/>
  <c r="V69" i="23"/>
  <c r="S69" i="23"/>
  <c r="M80" i="23" s="1"/>
  <c r="N69" i="23"/>
  <c r="M69" i="23"/>
  <c r="L69" i="23"/>
  <c r="Y40" i="23"/>
  <c r="M46" i="23" s="1"/>
  <c r="U40" i="23"/>
  <c r="T40" i="23"/>
  <c r="S40" i="23"/>
  <c r="AB30" i="23"/>
  <c r="Y30" i="23"/>
  <c r="M36" i="23" s="1"/>
  <c r="U30" i="23"/>
  <c r="T30" i="23"/>
  <c r="S30" i="23"/>
  <c r="M23" i="23"/>
  <c r="M22" i="23"/>
  <c r="M49" i="23" s="1"/>
  <c r="M75" i="23" s="1"/>
  <c r="M89" i="23" s="1"/>
  <c r="M102" i="23" s="1"/>
  <c r="M21" i="23"/>
  <c r="M50" i="23" s="1"/>
  <c r="S7" i="23"/>
  <c r="O7" i="23"/>
  <c r="S6" i="23"/>
  <c r="O6" i="23"/>
  <c r="F31" i="23"/>
  <c r="F32" i="23" s="1"/>
  <c r="G8" i="23" s="1"/>
  <c r="X16" i="23"/>
  <c r="M24" i="23" s="1"/>
  <c r="M52" i="23" s="1"/>
  <c r="U16" i="23"/>
  <c r="T16" i="23"/>
  <c r="S16" i="23"/>
  <c r="R12" i="23"/>
  <c r="Q12" i="23"/>
  <c r="V12" i="23"/>
  <c r="M25" i="23" s="1"/>
  <c r="F27" i="23"/>
  <c r="F8" i="23" s="1"/>
  <c r="F22" i="23"/>
  <c r="F21" i="23"/>
  <c r="F20" i="23"/>
  <c r="F19" i="23"/>
  <c r="F18" i="23"/>
  <c r="F17" i="23"/>
  <c r="F16" i="23"/>
  <c r="F12" i="23"/>
  <c r="F13" i="23" s="1"/>
  <c r="R11" i="23"/>
  <c r="M19" i="23" s="1"/>
  <c r="Q11" i="23"/>
  <c r="M20" i="23" s="1"/>
  <c r="M51" i="23" s="1"/>
  <c r="M77" i="23" s="1"/>
  <c r="M90" i="23" s="1"/>
  <c r="M103" i="23" s="1"/>
  <c r="V11" i="23"/>
  <c r="M26" i="23" s="1"/>
  <c r="G32" i="19"/>
  <c r="N19" i="19" s="1"/>
  <c r="G31" i="19"/>
  <c r="G30" i="19"/>
  <c r="G29" i="19"/>
  <c r="G28" i="19"/>
  <c r="G25" i="19"/>
  <c r="J19" i="22"/>
  <c r="J18" i="22"/>
  <c r="G19" i="22"/>
  <c r="L15" i="22"/>
  <c r="P15" i="22"/>
  <c r="G20" i="22" s="1"/>
  <c r="G24" i="19" s="1"/>
  <c r="K15" i="22"/>
  <c r="J11" i="22"/>
  <c r="M6" i="22"/>
  <c r="G11" i="22" s="1"/>
  <c r="I6" i="22"/>
  <c r="J10" i="22" s="1"/>
  <c r="M5" i="22"/>
  <c r="G10" i="22" s="1"/>
  <c r="G18" i="22" s="1"/>
  <c r="G23" i="19" s="1"/>
  <c r="I5" i="22"/>
  <c r="G21" i="19"/>
  <c r="G22" i="19"/>
  <c r="N7" i="19" s="1"/>
  <c r="J9" i="19"/>
  <c r="I23" i="21"/>
  <c r="L26" i="21"/>
  <c r="L25" i="21"/>
  <c r="L24" i="21"/>
  <c r="L23" i="21"/>
  <c r="L9" i="21"/>
  <c r="L12" i="21"/>
  <c r="L11" i="21"/>
  <c r="W20" i="21"/>
  <c r="I25" i="21" s="1"/>
  <c r="J11" i="19" s="1"/>
  <c r="U20" i="21"/>
  <c r="T20" i="21"/>
  <c r="I24" i="21" s="1"/>
  <c r="J10" i="19" s="1"/>
  <c r="S20" i="21"/>
  <c r="L27" i="21" s="1"/>
  <c r="W6" i="21"/>
  <c r="I10" i="21" s="1"/>
  <c r="U6" i="21"/>
  <c r="T6" i="21"/>
  <c r="S6" i="21"/>
  <c r="W5" i="21"/>
  <c r="I9" i="21" s="1"/>
  <c r="U5" i="21"/>
  <c r="T5" i="21"/>
  <c r="S5" i="21"/>
  <c r="L10" i="21" s="1"/>
  <c r="J8" i="19"/>
  <c r="J7" i="19"/>
  <c r="J6" i="19"/>
  <c r="J5" i="19"/>
  <c r="J4" i="19"/>
  <c r="J22" i="19"/>
  <c r="L34" i="20"/>
  <c r="T28" i="20"/>
  <c r="Q28" i="20"/>
  <c r="P28" i="20"/>
  <c r="J25" i="19"/>
  <c r="J24" i="19"/>
  <c r="N6" i="19" s="1"/>
  <c r="J23" i="19"/>
  <c r="J21" i="19"/>
  <c r="J20" i="19"/>
  <c r="J19" i="19"/>
  <c r="L32" i="20"/>
  <c r="O11" i="20"/>
  <c r="L11" i="20"/>
  <c r="T6" i="20"/>
  <c r="R6" i="20"/>
  <c r="T27" i="20"/>
  <c r="L33" i="20" s="1"/>
  <c r="Q27" i="20"/>
  <c r="P27" i="20"/>
  <c r="L20" i="20"/>
  <c r="L23" i="20" s="1"/>
  <c r="Q16" i="20"/>
  <c r="P16" i="20"/>
  <c r="U16" i="20"/>
  <c r="L19" i="20" s="1"/>
  <c r="F35" i="20"/>
  <c r="F34" i="20"/>
  <c r="F33" i="20"/>
  <c r="F32" i="20"/>
  <c r="F31" i="20"/>
  <c r="F30" i="20"/>
  <c r="F29" i="20"/>
  <c r="Q15" i="20"/>
  <c r="U15" i="20"/>
  <c r="P15" i="20"/>
  <c r="F28" i="20"/>
  <c r="L10" i="20"/>
  <c r="T5" i="20"/>
  <c r="L9" i="20" s="1"/>
  <c r="S5" i="20"/>
  <c r="R5" i="20"/>
  <c r="F18" i="20"/>
  <c r="F19" i="20" s="1"/>
  <c r="E8" i="20" s="1"/>
  <c r="F22" i="20"/>
  <c r="F36" i="20" s="1"/>
  <c r="F23" i="20"/>
  <c r="F24" i="20"/>
  <c r="F25" i="20"/>
  <c r="F26" i="20"/>
  <c r="F27" i="20"/>
  <c r="F12" i="20"/>
  <c r="F13" i="20"/>
  <c r="F15" i="20" s="1"/>
  <c r="D8" i="20" s="1"/>
  <c r="O9" i="20" s="1"/>
  <c r="F14" i="20"/>
  <c r="N13" i="19"/>
  <c r="G14" i="19"/>
  <c r="J30" i="18"/>
  <c r="J14" i="19" s="1"/>
  <c r="J31" i="18"/>
  <c r="J32" i="18"/>
  <c r="J16" i="19"/>
  <c r="J15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F28" i="18"/>
  <c r="F29" i="18" s="1"/>
  <c r="F24" i="18"/>
  <c r="F19" i="18"/>
  <c r="F15" i="18"/>
  <c r="F14" i="18"/>
  <c r="F13" i="18"/>
  <c r="N9" i="19"/>
  <c r="G18" i="19"/>
  <c r="G17" i="19"/>
  <c r="G10" i="19"/>
  <c r="G11" i="19"/>
  <c r="G12" i="19"/>
  <c r="G13" i="19"/>
  <c r="G5" i="19"/>
  <c r="G6" i="19"/>
  <c r="G4" i="19"/>
  <c r="N91" i="6"/>
  <c r="X124" i="6"/>
  <c r="J139" i="6" s="1"/>
  <c r="D10" i="19" s="1"/>
  <c r="V124" i="6"/>
  <c r="U124" i="6"/>
  <c r="T124" i="6"/>
  <c r="X123" i="6"/>
  <c r="J138" i="6" s="1"/>
  <c r="D9" i="19" s="1"/>
  <c r="N28" i="19" s="1"/>
  <c r="V123" i="6"/>
  <c r="U123" i="6"/>
  <c r="J143" i="6" s="1"/>
  <c r="D14" i="19" s="1"/>
  <c r="T123" i="6"/>
  <c r="X122" i="6"/>
  <c r="J137" i="6" s="1"/>
  <c r="D8" i="19" s="1"/>
  <c r="I10" i="14" s="1"/>
  <c r="P11" i="14" s="1"/>
  <c r="W122" i="6"/>
  <c r="V122" i="6"/>
  <c r="U122" i="6"/>
  <c r="T122" i="6"/>
  <c r="O97" i="6"/>
  <c r="O98" i="6"/>
  <c r="O99" i="6"/>
  <c r="O100" i="6"/>
  <c r="O101" i="6"/>
  <c r="O96" i="6"/>
  <c r="R101" i="6"/>
  <c r="J118" i="6" s="1"/>
  <c r="J135" i="6" s="1"/>
  <c r="D6" i="19" s="1"/>
  <c r="N101" i="6"/>
  <c r="R100" i="6"/>
  <c r="N100" i="6"/>
  <c r="R99" i="6"/>
  <c r="N99" i="6"/>
  <c r="R98" i="6"/>
  <c r="J115" i="6" s="1"/>
  <c r="N98" i="6"/>
  <c r="R97" i="6"/>
  <c r="J114" i="6" s="1"/>
  <c r="N97" i="6"/>
  <c r="R96" i="6"/>
  <c r="J113" i="6" s="1"/>
  <c r="N96" i="6"/>
  <c r="O74" i="6"/>
  <c r="O73" i="6"/>
  <c r="N72" i="6"/>
  <c r="N73" i="6"/>
  <c r="N74" i="6"/>
  <c r="N71" i="6"/>
  <c r="N70" i="6"/>
  <c r="N68" i="6"/>
  <c r="O69" i="6"/>
  <c r="R68" i="6"/>
  <c r="R67" i="6"/>
  <c r="N67" i="6"/>
  <c r="N69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2" i="6"/>
  <c r="E101" i="6"/>
  <c r="E100" i="6"/>
  <c r="E103" i="6"/>
  <c r="E99" i="6"/>
  <c r="E98" i="6"/>
  <c r="E97" i="6"/>
  <c r="E96" i="6"/>
  <c r="P34" i="6"/>
  <c r="L34" i="6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81" i="6" s="1"/>
  <c r="N18" i="6"/>
  <c r="S17" i="6"/>
  <c r="J29" i="6" s="1"/>
  <c r="M83" i="6" s="1"/>
  <c r="J111" i="6" s="1"/>
  <c r="J142" i="6" s="1"/>
  <c r="D13" i="19" s="1"/>
  <c r="I5" i="14" s="1"/>
  <c r="M13" i="14" s="1"/>
  <c r="N17" i="6"/>
  <c r="S16" i="6"/>
  <c r="J28" i="6" s="1"/>
  <c r="M82" i="6" s="1"/>
  <c r="K86" i="6" s="1"/>
  <c r="N16" i="6"/>
  <c r="S15" i="6"/>
  <c r="N15" i="6"/>
  <c r="P19" i="23" l="1"/>
  <c r="H12" i="24" s="1"/>
  <c r="J130" i="6"/>
  <c r="D17" i="19" s="1"/>
  <c r="N10" i="19" s="1"/>
  <c r="N12" i="19"/>
  <c r="M43" i="23"/>
  <c r="M44" i="23"/>
  <c r="S35" i="14"/>
  <c r="W35" i="14" s="1"/>
  <c r="U40" i="14" s="1"/>
  <c r="P13" i="14"/>
  <c r="J34" i="19"/>
  <c r="J28" i="19"/>
  <c r="J29" i="19"/>
  <c r="J30" i="19"/>
  <c r="J31" i="19"/>
  <c r="J32" i="19"/>
  <c r="O7" i="14"/>
  <c r="J45" i="19" s="1"/>
  <c r="N32" i="19" s="1"/>
  <c r="M12" i="14"/>
  <c r="T13" i="14"/>
  <c r="U19" i="14" s="1"/>
  <c r="F16" i="14"/>
  <c r="D5" i="14" s="1"/>
  <c r="L7" i="14" s="1"/>
  <c r="M92" i="23"/>
  <c r="M115" i="23"/>
  <c r="F23" i="23"/>
  <c r="E8" i="23" s="1"/>
  <c r="P20" i="23" s="1"/>
  <c r="H11" i="24" s="1"/>
  <c r="D36" i="24"/>
  <c r="F7" i="24" s="1"/>
  <c r="D23" i="24"/>
  <c r="D7" i="24" s="1"/>
  <c r="E7" i="24"/>
  <c r="D17" i="24"/>
  <c r="C7" i="24" s="1"/>
  <c r="P21" i="23"/>
  <c r="M76" i="23"/>
  <c r="M45" i="23"/>
  <c r="M72" i="23" s="1"/>
  <c r="M87" i="23" s="1"/>
  <c r="M100" i="23" s="1"/>
  <c r="M112" i="23" s="1"/>
  <c r="M113" i="23"/>
  <c r="M114" i="23"/>
  <c r="M104" i="23"/>
  <c r="M79" i="23"/>
  <c r="M91" i="23" s="1"/>
  <c r="M78" i="23"/>
  <c r="M34" i="23"/>
  <c r="M47" i="23" s="1"/>
  <c r="M73" i="23" s="1"/>
  <c r="M88" i="23" s="1"/>
  <c r="M101" i="23" s="1"/>
  <c r="M35" i="23"/>
  <c r="M48" i="23" s="1"/>
  <c r="M74" i="23" s="1"/>
  <c r="P22" i="23"/>
  <c r="O19" i="20"/>
  <c r="L31" i="20"/>
  <c r="N23" i="20"/>
  <c r="O23" i="20" s="1"/>
  <c r="F8" i="20"/>
  <c r="O10" i="20" s="1"/>
  <c r="O20" i="20" s="1"/>
  <c r="F20" i="18"/>
  <c r="F16" i="18"/>
  <c r="J128" i="6"/>
  <c r="D18" i="19" s="1"/>
  <c r="N11" i="19" s="1"/>
  <c r="M80" i="6"/>
  <c r="J24" i="6"/>
  <c r="J136" i="6"/>
  <c r="D7" i="19" s="1"/>
  <c r="N25" i="19" s="1"/>
  <c r="J117" i="6"/>
  <c r="D19" i="19" s="1"/>
  <c r="N14" i="19" s="1"/>
  <c r="J112" i="6"/>
  <c r="J141" i="6" s="1"/>
  <c r="D12" i="19" s="1"/>
  <c r="N20" i="19" s="1"/>
  <c r="J116" i="6"/>
  <c r="D20" i="19" s="1"/>
  <c r="N31" i="19" s="1"/>
  <c r="M79" i="6"/>
  <c r="M78" i="6"/>
  <c r="J140" i="6" s="1"/>
  <c r="J110" i="6"/>
  <c r="J144" i="6" s="1"/>
  <c r="D15" i="19" s="1"/>
  <c r="N16" i="19" s="1"/>
  <c r="E104" i="6"/>
  <c r="O31" i="6" s="1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Y41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J45" i="16" s="1"/>
  <c r="J61" i="16" s="1"/>
  <c r="G9" i="19" s="1"/>
  <c r="N8" i="19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70" i="6"/>
  <c r="J78" i="6" s="1"/>
  <c r="R69" i="6"/>
  <c r="K88" i="6" s="1"/>
  <c r="R71" i="6"/>
  <c r="J79" i="6" s="1"/>
  <c r="J106" i="6" s="1"/>
  <c r="J133" i="6" s="1"/>
  <c r="D4" i="19" s="1"/>
  <c r="N17" i="19" s="1"/>
  <c r="R72" i="6"/>
  <c r="J80" i="6" s="1"/>
  <c r="N86" i="6" s="1"/>
  <c r="O86" i="6" s="1"/>
  <c r="R73" i="6"/>
  <c r="R74" i="6"/>
  <c r="J82" i="6" s="1"/>
  <c r="J108" i="6" s="1"/>
  <c r="J129" i="6" s="1"/>
  <c r="D21" i="19" s="1"/>
  <c r="N22" i="19" s="1"/>
  <c r="M26" i="16" l="1"/>
  <c r="M32" i="16"/>
  <c r="M48" i="16" s="1"/>
  <c r="M77" i="6"/>
  <c r="J52" i="6"/>
  <c r="M105" i="6"/>
  <c r="J145" i="6"/>
  <c r="D28" i="19" s="1"/>
  <c r="D32" i="18" s="1"/>
  <c r="J12" i="18" s="1"/>
  <c r="M24" i="18" s="1"/>
  <c r="K89" i="6"/>
  <c r="K90" i="6"/>
  <c r="D11" i="19"/>
  <c r="D27" i="19"/>
  <c r="D33" i="18" s="1"/>
  <c r="J13" i="18" s="1"/>
  <c r="M25" i="18" s="1"/>
  <c r="J105" i="6"/>
  <c r="J127" i="6" s="1"/>
  <c r="N87" i="6"/>
  <c r="N88" i="6"/>
  <c r="O88" i="6" s="1"/>
  <c r="N89" i="6"/>
  <c r="O89" i="6" s="1"/>
  <c r="N90" i="6"/>
  <c r="Z40" i="14"/>
  <c r="L59" i="14" s="1"/>
  <c r="V40" i="14"/>
  <c r="W40" i="14"/>
  <c r="L47" i="14" s="1"/>
  <c r="X40" i="14"/>
  <c r="L43" i="14" s="1"/>
  <c r="Y40" i="14"/>
  <c r="S12" i="14"/>
  <c r="T12" i="14" s="1"/>
  <c r="W17" i="14" s="1"/>
  <c r="L23" i="14" s="1"/>
  <c r="L44" i="14" s="1"/>
  <c r="J53" i="19" s="1"/>
  <c r="N35" i="19" s="1"/>
  <c r="S11" i="14"/>
  <c r="T11" i="14" s="1"/>
  <c r="U18" i="14" s="1"/>
  <c r="W18" i="14" s="1"/>
  <c r="L24" i="14" s="1"/>
  <c r="L45" i="14" s="1"/>
  <c r="J54" i="19" s="1"/>
  <c r="N34" i="19" s="1"/>
  <c r="T19" i="14"/>
  <c r="L53" i="14" s="1"/>
  <c r="J46" i="19" s="1"/>
  <c r="N30" i="19" s="1"/>
  <c r="I11" i="21" s="1"/>
  <c r="S19" i="14"/>
  <c r="R19" i="14"/>
  <c r="L51" i="14" s="1"/>
  <c r="J41" i="19" s="1"/>
  <c r="N5" i="19" s="1"/>
  <c r="W19" i="14"/>
  <c r="L25" i="14" s="1"/>
  <c r="L46" i="14" s="1"/>
  <c r="J52" i="19" s="1"/>
  <c r="N33" i="19" s="1"/>
  <c r="S17" i="14"/>
  <c r="R17" i="14"/>
  <c r="T17" i="14"/>
  <c r="M104" i="6"/>
  <c r="J81" i="6"/>
  <c r="J107" i="6" s="1"/>
  <c r="J134" i="6" s="1"/>
  <c r="D5" i="19" s="1"/>
  <c r="N21" i="19" s="1"/>
  <c r="J109" i="6"/>
  <c r="D22" i="19" s="1"/>
  <c r="N23" i="19" s="1"/>
  <c r="J77" i="6"/>
  <c r="J132" i="6" s="1"/>
  <c r="D16" i="19" s="1"/>
  <c r="N24" i="19" s="1"/>
  <c r="E87" i="6"/>
  <c r="J9" i="6" s="1"/>
  <c r="J49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E82" i="6"/>
  <c r="E72" i="6"/>
  <c r="F9" i="6" s="1"/>
  <c r="E46" i="6"/>
  <c r="D9" i="6" s="1"/>
  <c r="M24" i="6" s="1"/>
  <c r="E77" i="6"/>
  <c r="G9" i="6" s="1"/>
  <c r="E55" i="6"/>
  <c r="E9" i="6" s="1"/>
  <c r="M45" i="16" l="1"/>
  <c r="M41" i="6"/>
  <c r="M52" i="6" s="1"/>
  <c r="L48" i="14"/>
  <c r="J40" i="19" s="1"/>
  <c r="N18" i="19" s="1"/>
  <c r="I9" i="6"/>
  <c r="L52" i="14"/>
  <c r="J44" i="19" s="1"/>
  <c r="N26" i="19" s="1"/>
  <c r="O23" i="14"/>
  <c r="S18" i="14"/>
  <c r="L50" i="14" s="1"/>
  <c r="J42" i="19" s="1"/>
  <c r="N27" i="19" s="1"/>
  <c r="T18" i="14"/>
  <c r="L49" i="14" s="1"/>
  <c r="J43" i="19" s="1"/>
  <c r="N15" i="19" s="1"/>
  <c r="R18" i="14"/>
  <c r="O22" i="14" s="1"/>
  <c r="D16" i="6"/>
  <c r="M25" i="6"/>
  <c r="D17" i="6"/>
  <c r="M26" i="6"/>
  <c r="D15" i="6"/>
  <c r="K87" i="6" s="1"/>
  <c r="O87" i="6" s="1"/>
  <c r="M27" i="6"/>
  <c r="H9" i="6"/>
  <c r="M29" i="6" s="1"/>
  <c r="M14" i="16"/>
  <c r="M30" i="16"/>
  <c r="L38" i="17"/>
  <c r="D18" i="6"/>
  <c r="D19" i="6" s="1"/>
  <c r="D20" i="6" l="1"/>
  <c r="M28" i="6"/>
  <c r="D8" i="23"/>
  <c r="P23" i="23" s="1"/>
  <c r="M33" i="23" s="1"/>
  <c r="K41" i="25"/>
</calcChain>
</file>

<file path=xl/sharedStrings.xml><?xml version="1.0" encoding="utf-8"?>
<sst xmlns="http://schemas.openxmlformats.org/spreadsheetml/2006/main" count="2797" uniqueCount="623">
  <si>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</si>
  <si>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</si>
  <si>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</si>
  <si>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</si>
  <si>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</si>
  <si>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</si>
  <si>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</si>
  <si>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</si>
  <si>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</si>
  <si>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</si>
  <si>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</si>
  <si>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</si>
  <si>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</si>
  <si>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</si>
  <si>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</si>
  <si>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</si>
  <si>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</si>
  <si>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</si>
  <si>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</si>
  <si>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</si>
  <si>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</si>
  <si>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</si>
  <si>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</si>
  <si>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</si>
  <si>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</si>
  <si>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</si>
  <si>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</si>
  <si>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</si>
  <si>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</si>
  <si>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</si>
  <si>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</si>
  <si>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</si>
  <si>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</si>
  <si>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</si>
  <si>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</si>
  <si>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</si>
  <si>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</si>
  <si>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</si>
  <si>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</si>
  <si>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</si>
  <si>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</si>
  <si>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</si>
  <si>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</si>
  <si>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</si>
  <si>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</si>
  <si>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</si>
  <si>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</si>
  <si>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</si>
  <si>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</si>
  <si>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</si>
  <si>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</si>
  <si>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</si>
  <si>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</si>
  <si>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</si>
  <si>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</si>
  <si>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</si>
  <si>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</si>
  <si>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</si>
  <si>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</si>
  <si>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</si>
  <si>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</si>
  <si>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</si>
  <si>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</si>
  <si>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</si>
  <si>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</si>
  <si>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</si>
  <si>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</si>
  <si>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</si>
  <si>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</si>
  <si>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</si>
  <si>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</si>
  <si>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</si>
  <si>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</si>
  <si>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</si>
  <si>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</si>
  <si>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</si>
  <si>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</si>
  <si>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</si>
  <si>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</si>
  <si>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</si>
  <si>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</si>
  <si>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</si>
  <si>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</si>
  <si>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</si>
  <si>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</si>
  <si>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</si>
  <si>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</si>
  <si>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</si>
  <si>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</si>
  <si>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</si>
  <si>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</si>
  <si>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</si>
  <si>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</si>
  <si>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</si>
  <si>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</si>
  <si>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</si>
  <si>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</si>
  <si>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</si>
  <si>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</si>
  <si>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</si>
  <si>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</si>
  <si>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</si>
  <si>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</si>
  <si>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</si>
  <si>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</si>
  <si>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</si>
  <si>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</si>
  <si>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</si>
  <si>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Smelting Output Potential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</si>
  <si>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</si>
  <si>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</si>
  <si>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</si>
  <si>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</si>
  <si>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</si>
  <si>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</si>
  <si>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</si>
  <si>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</si>
  <si>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</si>
  <si>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</si>
  <si>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</si>
  <si>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</si>
  <si>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</si>
  <si>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</si>
  <si>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</si>
  <si>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</si>
  <si>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</si>
  <si>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</si>
  <si>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</si>
  <si>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</si>
  <si>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</si>
  <si>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</si>
  <si>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</si>
  <si>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</si>
  <si>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</si>
  <si>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</si>
  <si>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</si>
  <si>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</si>
  <si>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</si>
  <si>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</si>
  <si>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</si>
  <si>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</si>
  <si>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</si>
  <si>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</si>
  <si>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</si>
  <si>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</si>
  <si>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</si>
  <si>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</si>
  <si>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</si>
  <si>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</si>
  <si>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</si>
  <si>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</si>
  <si>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</si>
  <si>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</si>
  <si>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</si>
  <si>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</si>
  <si>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</si>
  <si>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</si>
  <si>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</si>
  <si>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</si>
  <si>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</si>
  <si>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</si>
  <si>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</si>
  <si>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</si>
  <si>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</si>
  <si>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</si>
  <si>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</si>
  <si>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</si>
  <si>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</si>
  <si>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</si>
  <si>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</si>
  <si>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</si>
  <si>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</si>
  <si>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</si>
  <si>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</si>
  <si>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</si>
  <si>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</si>
  <si>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</si>
  <si>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</si>
  <si>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</si>
  <si>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</si>
  <si>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</si>
  <si>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</si>
  <si>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</si>
  <si>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</si>
  <si>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</si>
  <si>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</si>
  <si>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</si>
  <si>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</si>
  <si>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</si>
  <si>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</si>
  <si>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</si>
  <si>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</si>
  <si>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</si>
  <si>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</si>
  <si>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</si>
  <si>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</si>
  <si>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</si>
  <si>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</si>
  <si>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</si>
  <si>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</si>
  <si>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</si>
  <si>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</si>
  <si>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</si>
  <si>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</si>
  <si>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</si>
  <si>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</si>
  <si>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</si>
  <si>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</si>
  <si>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</si>
  <si>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</si>
  <si>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</si>
  <si>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</si>
  <si>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</si>
  <si>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</si>
  <si>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</si>
  <si>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</si>
  <si>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</si>
  <si>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</si>
  <si>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</si>
  <si>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</si>
  <si>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</si>
  <si>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</si>
  <si>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</si>
  <si>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</si>
  <si>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</si>
  <si>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</si>
  <si>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</si>
  <si>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</si>
  <si>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</si>
  <si>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</si>
  <si>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</si>
  <si>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</si>
  <si>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</si>
  <si>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</si>
  <si>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</si>
  <si>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</si>
  <si>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</si>
  <si>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</si>
  <si>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</si>
  <si>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</si>
  <si>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</si>
  <si>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</si>
  <si>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</si>
  <si>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</si>
  <si>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Heat Sink Casing %</t>
  </si>
  <si>
    <t>Heat Sink Rubber %</t>
  </si>
  <si>
    <t>Alclad Sheets Alum Ingot</t>
  </si>
  <si>
    <t>Alclade Sheets Copper Ingot</t>
  </si>
  <si>
    <t>Spare for Belt Materials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</si>
  <si>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</si>
  <si>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</si>
  <si>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</si>
  <si>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</si>
  <si>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</si>
  <si>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</si>
  <si>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</si>
  <si>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</si>
  <si>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</si>
  <si>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</si>
  <si>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</si>
  <si>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</si>
  <si>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</si>
  <si>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</si>
  <si>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</si>
  <si>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</si>
  <si>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</si>
  <si>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</si>
  <si>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</si>
  <si>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</si>
  <si>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</si>
  <si>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</si>
  <si>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</si>
  <si>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</si>
  <si>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</si>
  <si>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</si>
  <si>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</si>
  <si>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</si>
  <si>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</si>
  <si>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</si>
  <si>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</si>
  <si>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</si>
  <si>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</si>
  <si>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</si>
  <si>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</si>
  <si>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</si>
  <si>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</si>
  <si>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</si>
  <si>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</si>
  <si>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</si>
  <si>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</si>
  <si>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</si>
  <si>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</si>
  <si>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</si>
  <si>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</si>
  <si>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</si>
  <si>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</si>
  <si>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</si>
  <si>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</si>
  <si>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</si>
  <si>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</si>
  <si>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</si>
  <si>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</si>
  <si>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</si>
  <si>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</si>
  <si>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</si>
  <si>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</si>
  <si>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</si>
  <si>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</si>
  <si>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</si>
  <si>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</si>
  <si>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</si>
  <si>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</si>
  <si>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</si>
  <si>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</si>
  <si>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</si>
  <si>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</si>
  <si>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</si>
  <si>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</si>
  <si>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</si>
  <si>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</si>
  <si>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</si>
  <si>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</si>
  <si>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</si>
  <si>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</si>
  <si>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</si>
  <si>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</si>
  <si>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</si>
  <si>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</si>
  <si>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</si>
  <si>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</si>
  <si>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</si>
  <si>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</si>
  <si>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</si>
  <si>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</si>
  <si>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</si>
  <si>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</si>
  <si>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</si>
  <si>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</si>
  <si>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</si>
  <si>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</si>
  <si>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</si>
  <si>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</si>
  <si>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</si>
  <si>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</si>
  <si>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</si>
  <si>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</si>
  <si>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</si>
  <si>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</si>
  <si>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</si>
  <si>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</si>
  <si>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</si>
  <si>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</si>
  <si>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</si>
  <si>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</si>
  <si>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</si>
  <si>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</si>
  <si>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</si>
  <si>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</si>
  <si>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</si>
  <si>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</si>
  <si>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</si>
  <si>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</si>
  <si>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</si>
  <si>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</si>
  <si>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</si>
  <si>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</si>
  <si>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</si>
  <si>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</si>
  <si>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</si>
  <si>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</si>
  <si>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</si>
  <si>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</si>
  <si>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</si>
  <si>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</si>
  <si>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</si>
  <si>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</si>
  <si>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</si>
  <si>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</si>
  <si>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</si>
  <si>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</si>
  <si>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</si>
  <si>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</si>
  <si>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</si>
  <si>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</si>
  <si>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</si>
  <si>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</si>
  <si>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</si>
  <si>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</si>
  <si>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</si>
  <si>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</si>
  <si>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</si>
  <si>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</si>
  <si>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</si>
  <si>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</si>
  <si>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</si>
  <si>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</si>
  <si>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</si>
  <si>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</si>
  <si>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</si>
  <si>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</si>
  <si>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</si>
  <si>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</si>
  <si>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</si>
  <si>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</si>
  <si>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</si>
  <si>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</si>
  <si>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</si>
  <si>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</si>
  <si>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</si>
  <si>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</si>
  <si>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</si>
  <si>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</si>
  <si>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</si>
  <si>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</si>
  <si>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</si>
  <si>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</si>
  <si>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</si>
  <si>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</si>
  <si>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</si>
  <si>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</si>
  <si>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</si>
  <si>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</si>
  <si>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</si>
  <si>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</si>
  <si>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</si>
  <si>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</si>
  <si>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</si>
  <si>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</si>
  <si>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</si>
  <si>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</si>
  <si>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</si>
  <si>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</si>
  <si>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Grass Smelt Hub Out B</t>
  </si>
  <si>
    <t>Grass T0 Out A</t>
  </si>
  <si>
    <t>Shipped In</t>
  </si>
  <si>
    <t>Pure Copper Ingot</t>
  </si>
  <si>
    <t>Steamed Copper Sheets</t>
  </si>
  <si>
    <t xml:space="preserve">Copper Sheeets </t>
  </si>
  <si>
    <t>Circuit Boards Silica</t>
  </si>
  <si>
    <t>Total Available Post Processing</t>
  </si>
  <si>
    <t>2 Train Cars</t>
  </si>
  <si>
    <t>GrassValleyCircuitBoard</t>
  </si>
  <si>
    <t xml:space="preserve">Silica </t>
  </si>
  <si>
    <t>Grass Valley IN</t>
  </si>
  <si>
    <t>ComputersSiteGrass</t>
  </si>
  <si>
    <t>Electromagnetic Rods</t>
  </si>
  <si>
    <t>T3 Available Post Processing</t>
  </si>
  <si>
    <t>HS Avilable Systemwide</t>
  </si>
  <si>
    <t>T4 Processing</t>
  </si>
  <si>
    <t>Total Processed</t>
  </si>
  <si>
    <t>ElectromagneticRods</t>
  </si>
  <si>
    <t>GrassComputerSite IN</t>
  </si>
  <si>
    <t xml:space="preserve">Level 1 </t>
  </si>
  <si>
    <t>Level 2</t>
  </si>
  <si>
    <t>Make in Hub Sorting Layer for Storage</t>
  </si>
  <si>
    <t>CoastAluminiumIntSite</t>
  </si>
  <si>
    <t>Empty Fluid Tanks</t>
  </si>
  <si>
    <t>CoastAlumIntSite IN</t>
  </si>
  <si>
    <t>Radio Control Units</t>
  </si>
  <si>
    <t>Packaged Nitrogen</t>
  </si>
  <si>
    <t>Cooling System</t>
  </si>
  <si>
    <t>Uranium</t>
  </si>
  <si>
    <t>Heat Sinks</t>
  </si>
  <si>
    <t>SwampNuclearFacility</t>
  </si>
  <si>
    <t>Nitrogen</t>
  </si>
  <si>
    <t>Nitric Acid</t>
  </si>
  <si>
    <t>Materials Available Post Processing</t>
  </si>
  <si>
    <t>Send to Swamp Hub</t>
  </si>
  <si>
    <t>Uranium Ore</t>
  </si>
  <si>
    <t>Uranium Fuel Rods</t>
  </si>
  <si>
    <t>Encased Uranium Cells</t>
  </si>
  <si>
    <t>Output1 Type</t>
  </si>
  <si>
    <t>Uranium Cells</t>
  </si>
  <si>
    <t>Uranium Cell Processing</t>
  </si>
  <si>
    <t>Uranium Rod Processing</t>
  </si>
  <si>
    <t>Output2 Type</t>
  </si>
  <si>
    <t>Uranium Waste</t>
  </si>
  <si>
    <t>Waste Generated by Plants</t>
  </si>
  <si>
    <t>Load Balance to Blenders</t>
  </si>
  <si>
    <t>Non-Fissle Uranium Processing</t>
  </si>
  <si>
    <t>Non-Fissle Uranium</t>
  </si>
  <si>
    <t>Output 1 Per</t>
  </si>
  <si>
    <t>Output 2 Per</t>
  </si>
  <si>
    <t>Send 18 Water to power plant, underclocking to compensate 18 extra coming</t>
  </si>
  <si>
    <t>Set Valve Incoming to 6 Sulfuric Each leading back to main line</t>
  </si>
  <si>
    <t>90 M limit mainline coming in , 32m Valves IN to blenders</t>
  </si>
  <si>
    <t>Fuel Rods Used by Plants</t>
  </si>
  <si>
    <t xml:space="preserve">Non-Fissle Uranium </t>
  </si>
  <si>
    <t>Plutonium Pellet Processing</t>
  </si>
  <si>
    <t>Plutonium Pellet</t>
  </si>
  <si>
    <t>Plutonium Pellets</t>
  </si>
  <si>
    <t>Encased Plutonium Cells</t>
  </si>
  <si>
    <t>Encased Plutonium Cells Processing</t>
  </si>
  <si>
    <t>Plutonium Fuel Rod Processing</t>
  </si>
  <si>
    <t>Plutonium Encased Cells</t>
  </si>
  <si>
    <t>Heat Sink</t>
  </si>
  <si>
    <t>Plutonium Fuel Rods</t>
  </si>
  <si>
    <t>These Get Sinked, Waste is Gone</t>
  </si>
  <si>
    <t>3@ 80% Per Module</t>
  </si>
  <si>
    <t>s</t>
  </si>
  <si>
    <t>qe</t>
  </si>
  <si>
    <t>From Nuclear Site</t>
  </si>
  <si>
    <t>Total</t>
  </si>
  <si>
    <t>Raw Material Input Potential</t>
  </si>
  <si>
    <t>Build 3 for Future</t>
  </si>
  <si>
    <t>Constructors</t>
  </si>
  <si>
    <t>Assemblers</t>
  </si>
  <si>
    <t>Refineries</t>
  </si>
  <si>
    <t>Blenders</t>
  </si>
  <si>
    <t>Manufacturers</t>
  </si>
  <si>
    <t>Nuclear Plants</t>
  </si>
  <si>
    <t>Particle Accelerator</t>
  </si>
  <si>
    <t>Mk.3 Miner</t>
  </si>
  <si>
    <t>Pressure Well</t>
  </si>
  <si>
    <t>Pressure Pumps</t>
  </si>
  <si>
    <t>Buildings Needed</t>
  </si>
  <si>
    <t>Motor</t>
  </si>
  <si>
    <t>Heavy Frame</t>
  </si>
  <si>
    <t>Radio Units</t>
  </si>
  <si>
    <t>Accelerator</t>
  </si>
  <si>
    <t>Electro Rods</t>
  </si>
  <si>
    <t>Super Computer</t>
  </si>
  <si>
    <t>Fused Frame</t>
  </si>
  <si>
    <t>Mk3 Miners</t>
  </si>
  <si>
    <t>Portable Miner</t>
  </si>
  <si>
    <t>Supercomputer</t>
  </si>
  <si>
    <t>Turbo Motors</t>
  </si>
  <si>
    <t>Shopping List</t>
  </si>
  <si>
    <t>Super Computers</t>
  </si>
  <si>
    <t>Grass Hub Available Resources</t>
  </si>
  <si>
    <t>Pressure Conversion Cube</t>
  </si>
  <si>
    <t>Turbo Motor / Supercomputer Dropoff</t>
  </si>
  <si>
    <t>Empty Cannisters</t>
  </si>
  <si>
    <t>SWNitrogen Facility</t>
  </si>
  <si>
    <t>Radio Connection Unit</t>
  </si>
  <si>
    <t>Input C</t>
  </si>
  <si>
    <t>Fused Frame Casing %</t>
  </si>
  <si>
    <t>Fused Frame Heavy Frame %</t>
  </si>
  <si>
    <t>Machines Supported By All 3</t>
  </si>
  <si>
    <t>Cooling System Sink %</t>
  </si>
  <si>
    <t>Cooling System Motor %</t>
  </si>
  <si>
    <t>Fused Frame Nitrogen Gas %</t>
  </si>
  <si>
    <t>Cooling System Nitrogen Gas %</t>
  </si>
  <si>
    <t>Machines Supported By Input C</t>
  </si>
  <si>
    <t>Radio Unit High Speed %</t>
  </si>
  <si>
    <t>Radio Unit Sink %</t>
  </si>
  <si>
    <t>Radio Unit Crystal %</t>
  </si>
  <si>
    <t>Total Available Post T3 Processing</t>
  </si>
  <si>
    <t xml:space="preserve">Batteries </t>
  </si>
  <si>
    <t>High Speed Connector</t>
  </si>
  <si>
    <t>Droned In</t>
  </si>
  <si>
    <t>Island Computers OUT</t>
  </si>
  <si>
    <t>Grass Valley OUT</t>
  </si>
  <si>
    <t>Drone Ports</t>
  </si>
  <si>
    <t>Supply IN from Oil Site</t>
  </si>
  <si>
    <t>Dual Provider / Requestor</t>
  </si>
  <si>
    <t>Pressure Cubes</t>
  </si>
  <si>
    <t>Requestor</t>
  </si>
  <si>
    <t xml:space="preserve">Shortfall </t>
  </si>
  <si>
    <t>Pure Iron Ingot</t>
  </si>
  <si>
    <t xml:space="preserve">Steel Ingot Available </t>
  </si>
  <si>
    <t>Steel Rod</t>
  </si>
  <si>
    <t>Steel Screw</t>
  </si>
  <si>
    <t>Screw</t>
  </si>
  <si>
    <t>Rods</t>
  </si>
  <si>
    <t xml:space="preserve">HighSpeedConnectors </t>
  </si>
  <si>
    <t>Swamp Nucelar Site Out</t>
  </si>
  <si>
    <t>&lt;-- Last to add to supplies lines</t>
  </si>
  <si>
    <t>w</t>
  </si>
  <si>
    <t>Supercomputers</t>
  </si>
  <si>
    <t>Send to Neighbor Turbo Motors</t>
  </si>
  <si>
    <t>T5 Processing</t>
  </si>
  <si>
    <t>Input D</t>
  </si>
  <si>
    <t>Machines Supported By Input D</t>
  </si>
  <si>
    <t>Supercomputers Computers %</t>
  </si>
  <si>
    <t>Supercomputers Batteries</t>
  </si>
  <si>
    <t>Drones Fed</t>
  </si>
  <si>
    <t>Supercomputers ElectroRods %</t>
  </si>
  <si>
    <t>Supercomputers Wire %</t>
  </si>
  <si>
    <t>Machines Supported by all 4</t>
  </si>
  <si>
    <t>Electromagntic Rods</t>
  </si>
  <si>
    <t>Turbo Motors, Motors</t>
  </si>
  <si>
    <t>Turbo Motors , Cubes</t>
  </si>
  <si>
    <t>Turbo Motors Nitrogen Gas Packaged %</t>
  </si>
  <si>
    <t>Turbo Motors Stators</t>
  </si>
  <si>
    <t>Roof of SC / Turbo</t>
  </si>
  <si>
    <t>Provider</t>
  </si>
  <si>
    <t>C</t>
  </si>
  <si>
    <t>Leftover Heat Sinks</t>
  </si>
  <si>
    <t>Leftover Quartz Crystal</t>
  </si>
  <si>
    <t>Leftover Heavy Frames</t>
  </si>
  <si>
    <t>Leftover Aluminium Casing</t>
  </si>
  <si>
    <t>Leftover Motors</t>
  </si>
  <si>
    <t>Leftoever Empty Cannisters</t>
  </si>
  <si>
    <t>Leftover Highspeed Connectors</t>
  </si>
  <si>
    <t>Leftoever Computers</t>
  </si>
  <si>
    <t>Leftoever Electromagnetic Rods</t>
  </si>
  <si>
    <t>Leftoever Stators</t>
  </si>
  <si>
    <t>Leftoever Wire</t>
  </si>
  <si>
    <t>Leftoever Batteries</t>
  </si>
  <si>
    <t>Battery Drone Usage</t>
  </si>
  <si>
    <t>Line</t>
  </si>
  <si>
    <t>Smelter Incoming Lines (Left to Right)</t>
  </si>
  <si>
    <t>Station 6</t>
  </si>
  <si>
    <t>Used</t>
  </si>
  <si>
    <t>3@780/m</t>
  </si>
  <si>
    <t>Black Powder Out Station</t>
  </si>
  <si>
    <t>Copper Powder Output</t>
  </si>
  <si>
    <t>Copper Powder</t>
  </si>
  <si>
    <t>Iron Surplus Processing</t>
  </si>
  <si>
    <t>Iron Surplus T1 Processing</t>
  </si>
  <si>
    <t>Reinforced Plate</t>
  </si>
  <si>
    <t>Ship to Crater Lake Site</t>
  </si>
  <si>
    <t>Sent to Iron Subsmelt</t>
  </si>
  <si>
    <t>Shipped In From Grass Smelt</t>
  </si>
  <si>
    <t>GrassLandRegionalToQuickwireCoast</t>
  </si>
  <si>
    <t xml:space="preserve">1. Swamp Hub Expansion, Max Nuclear Capacity </t>
  </si>
  <si>
    <t>2. Crater Lake Motors</t>
  </si>
  <si>
    <t>3. Red Forest Casing &amp; Heat Sinks</t>
  </si>
  <si>
    <t xml:space="preserve">Each Module Requires: </t>
  </si>
  <si>
    <t>Item</t>
  </si>
  <si>
    <t>Possible Modules</t>
  </si>
  <si>
    <t>To Support Max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</si>
</sst>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EEE"/>
      </left>
      <right/>
      <top/>
      <bottom/>
      <diagonal/>
    </border>
  </borders>
  <cellStyleXfs count="6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6" fillId="5" borderId="8" xfId="4" applyFont="1" applyBorder="1"/>
    <xf numFmtId="0" fontId="18" fillId="0" borderId="0" xfId="5"/>
    <xf numFmtId="0" fontId="3" fillId="20" borderId="8" xfId="4" applyFill="1" applyBorder="1"/>
    <xf numFmtId="0" fontId="19" fillId="19" borderId="0" xfId="0" applyFont="1" applyFill="1" applyAlignment="1">
      <alignment horizontal="center" vertical="center"/>
    </xf>
    <xf numFmtId="0" fontId="5" fillId="12" borderId="8" xfId="3" applyFill="1" applyBorder="1"/>
    <xf numFmtId="0" fontId="19" fillId="19" borderId="0" xfId="0" applyFont="1" applyFill="1" applyAlignment="1">
      <alignment horizontal="center" vertical="center"/>
    </xf>
    <xf numFmtId="0" fontId="5" fillId="21" borderId="8" xfId="3" applyFill="1" applyBorder="1"/>
    <xf numFmtId="0" fontId="5" fillId="10" borderId="8" xfId="3" applyFill="1" applyBorder="1"/>
    <xf numFmtId="0" fontId="16" fillId="9" borderId="0" xfId="0" applyFont="1" applyFill="1"/>
    <xf numFmtId="0" fontId="3" fillId="9" borderId="8" xfId="4" applyFill="1" applyBorder="1"/>
    <xf numFmtId="0" fontId="18" fillId="5" borderId="8" xfId="5" applyFill="1" applyBorder="1" applyAlignment="1">
      <alignment horizontal="right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11" fillId="5" borderId="13" xfId="4" applyFont="1" applyBorder="1" applyAlignment="1">
      <alignment horizontal="center"/>
    </xf>
    <xf numFmtId="0" fontId="11" fillId="5" borderId="0" xfId="4" applyFont="1" applyBorder="1" applyAlignment="1">
      <alignment horizontal="center"/>
    </xf>
    <xf numFmtId="0" fontId="16" fillId="5" borderId="13" xfId="4" applyFont="1" applyBorder="1" applyAlignment="1">
      <alignment horizontal="center"/>
    </xf>
    <xf numFmtId="0" fontId="16" fillId="5" borderId="0" xfId="4" applyFont="1" applyBorder="1" applyAlignment="1">
      <alignment horizontal="center"/>
    </xf>
    <xf numFmtId="0" fontId="16" fillId="5" borderId="8" xfId="4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19" fillId="19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8" fillId="19" borderId="21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horizontal="center" vertical="center" wrapText="1"/>
    </xf>
  </cellXfs>
  <cellStyles count="6">
    <cellStyle name="40% - Accent3" xfId="4" builtinId="39"/>
    <cellStyle name="Accent1" xfId="2" builtinId="29"/>
    <cellStyle name="Accent2" xfId="3" builtinId="33"/>
    <cellStyle name="Heading 1" xfId="1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292720</xdr:colOff>
      <xdr:row>0</xdr:row>
      <xdr:rowOff>0</xdr:rowOff>
    </xdr:from>
    <xdr:to>
      <xdr:col>13</xdr:col>
      <xdr:colOff>225462</xdr:colOff>
      <xdr:row>17</xdr:row>
      <xdr:rowOff>19117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061" y="0"/>
          <a:ext cx="6126316" cy="3313373"/>
        </a:xfrm>
        <a:prstGeom prst="rect">
          <a:avLst/>
        </a:prstGeom>
      </xdr:spPr>
    </xdr:pic>
    <xdr:clientData/>
  </xdr:twoCellAnchor>
  <xdr:twoCellAnchor editAs="oneCell">
    <xdr:from>
      <xdr:col>13</xdr:col>
      <xdr:colOff>218233</xdr:colOff>
      <xdr:row>0</xdr:row>
      <xdr:rowOff>0</xdr:rowOff>
    </xdr:from>
    <xdr:to>
      <xdr:col>20</xdr:col>
      <xdr:colOff>490086</xdr:colOff>
      <xdr:row>17</xdr:row>
      <xdr:rowOff>41556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148" y="0"/>
          <a:ext cx="4532548" cy="3335812"/>
        </a:xfrm>
        <a:prstGeom prst="rect">
          <a:avLst/>
        </a:prstGeom>
      </xdr:spPr>
    </xdr:pic>
    <xdr:clientData/>
  </xdr:twoCellAnchor>
  <xdr:twoCellAnchor editAs="oneCell">
    <xdr:from>
      <xdr:col>2</xdr:col>
      <xdr:colOff>320454</xdr:colOff>
      <xdr:row>17</xdr:row>
      <xdr:rowOff>14376</xdr:rowOff>
    </xdr:from>
    <xdr:to>
      <xdr:col>13</xdr:col>
      <xdr:colOff>216413</xdr:colOff>
      <xdr:row>36</xdr:row>
      <xdr:rowOff>162168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7795" y="3308632"/>
          <a:ext cx="6089533" cy="370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200371</xdr:colOff>
      <xdr:row>17</xdr:row>
      <xdr:rowOff>11034</xdr:rowOff>
    </xdr:from>
    <xdr:to>
      <xdr:col>24</xdr:col>
      <xdr:colOff>579263</xdr:colOff>
      <xdr:row>36</xdr:row>
      <xdr:rowOff>145218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11286" y="3305290"/>
          <a:ext cx="7074270" cy="3688635"/>
        </a:xfrm>
        <a:prstGeom prst="rect">
          <a:avLst/>
        </a:prstGeom>
      </xdr:spPr>
    </xdr:pic>
    <xdr:clientData/>
  </xdr:twoCellAnchor>
  <xdr:twoCellAnchor editAs="oneCell">
    <xdr:from>
      <xdr:col>2</xdr:col>
      <xdr:colOff>306659</xdr:colOff>
      <xdr:row>36</xdr:row>
      <xdr:rowOff>143312</xdr:rowOff>
    </xdr:from>
    <xdr:to>
      <xdr:col>13</xdr:col>
      <xdr:colOff>240612</xdr:colOff>
      <xdr:row>45</xdr:row>
      <xdr:rowOff>50400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6992019"/>
          <a:ext cx="6127527" cy="1584418"/>
        </a:xfrm>
        <a:prstGeom prst="rect">
          <a:avLst/>
        </a:prstGeom>
      </xdr:spPr>
    </xdr:pic>
    <xdr:clientData/>
  </xdr:twoCellAnchor>
  <xdr:twoCellAnchor editAs="oneCell">
    <xdr:from>
      <xdr:col>13</xdr:col>
      <xdr:colOff>226217</xdr:colOff>
      <xdr:row>37</xdr:row>
      <xdr:rowOff>75648</xdr:rowOff>
    </xdr:from>
    <xdr:to>
      <xdr:col>18</xdr:col>
      <xdr:colOff>161542</xdr:colOff>
      <xdr:row>45</xdr:row>
      <xdr:rowOff>179367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132" y="7114855"/>
          <a:ext cx="2978678" cy="1590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3@%2080%25%20Per%20Modul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780/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1@160/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C11" sqref="C11"/>
    </sheetView>
  </sheetViews>
  <sheetFormatPr defaultRowHeight="18.75"/>
  <cols>
    <col min="1" max="2" width="9.140625" style="20"/>
    <col min="3" max="3" width="76.28515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>
      <c r="E1"/>
      <c r="F1"/>
      <c r="G1"/>
      <c r="H1"/>
      <c r="I1"/>
      <c r="J1"/>
      <c r="K1"/>
      <c r="L1"/>
      <c r="M1"/>
    </row>
    <row r="2" spans="3:20">
      <c r="C2" s="38" t="s">
        <v>616</v>
      </c>
      <c r="D2"/>
      <c r="E2"/>
      <c r="F2"/>
      <c r="G2"/>
      <c r="H2"/>
      <c r="I2"/>
      <c r="J2"/>
      <c r="K2"/>
      <c r="L2"/>
      <c r="M2"/>
      <c r="N2"/>
      <c r="O2"/>
      <c r="P2"/>
    </row>
    <row r="3" spans="3:20">
      <c r="C3" s="38" t="s">
        <v>617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38" t="s">
        <v>618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A354-3659-449F-9332-8CAEAEEF44E7}">
  <sheetPr>
    <tabColor theme="9" tint="-0.249977111117893"/>
  </sheetPr>
  <dimension ref="C3:W27"/>
  <sheetViews>
    <sheetView workbookViewId="0">
      <selection activeCell="H18" sqref="H18:W20"/>
    </sheetView>
  </sheetViews>
  <sheetFormatPr defaultRowHeight="15"/>
  <cols>
    <col min="3" max="3" width="13.28515625" bestFit="1" customWidth="1"/>
    <col min="5" max="7" width="1.42578125" customWidth="1"/>
    <col min="8" max="8" width="22.7109375" bestFit="1" customWidth="1"/>
    <col min="9" max="9" width="6.140625" bestFit="1" customWidth="1"/>
    <col min="10" max="10" width="38.85546875" bestFit="1" customWidth="1"/>
    <col min="11" max="11" width="13.28515625" bestFit="1" customWidth="1"/>
    <col min="12" max="12" width="11.85546875" bestFit="1" customWidth="1"/>
    <col min="13" max="13" width="7.140625" bestFit="1" customWidth="1"/>
    <col min="14" max="14" width="13.28515625" bestFit="1" customWidth="1"/>
    <col min="15" max="15" width="7.140625" bestFit="1" customWidth="1"/>
    <col min="16" max="16" width="11.85546875" bestFit="1" customWidth="1"/>
    <col min="17" max="17" width="10.28515625" bestFit="1" customWidth="1"/>
    <col min="18" max="18" width="15.5703125" bestFit="1" customWidth="1"/>
    <col min="19" max="22" width="12.85546875" bestFit="1" customWidth="1"/>
    <col min="23" max="23" width="7.28515625" bestFit="1" customWidth="1"/>
  </cols>
  <sheetData>
    <row r="3" spans="3:23">
      <c r="C3" s="68" t="s">
        <v>434</v>
      </c>
      <c r="D3" s="69"/>
      <c r="H3" s="73" t="s">
        <v>326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4" spans="3:23">
      <c r="C4" s="14" t="s">
        <v>59</v>
      </c>
      <c r="D4" s="14" t="s">
        <v>66</v>
      </c>
      <c r="H4" s="14" t="s">
        <v>59</v>
      </c>
      <c r="I4" s="16" t="s">
        <v>103</v>
      </c>
      <c r="J4" s="16" t="s">
        <v>145</v>
      </c>
      <c r="K4" s="16" t="s">
        <v>104</v>
      </c>
      <c r="L4" s="16" t="s">
        <v>147</v>
      </c>
      <c r="M4" s="16" t="s">
        <v>328</v>
      </c>
      <c r="N4" s="16" t="s">
        <v>329</v>
      </c>
      <c r="O4" s="16" t="s">
        <v>330</v>
      </c>
      <c r="P4" s="16" t="s">
        <v>331</v>
      </c>
      <c r="Q4" s="16" t="s">
        <v>106</v>
      </c>
      <c r="R4" s="16" t="s">
        <v>303</v>
      </c>
      <c r="S4" s="16" t="s">
        <v>304</v>
      </c>
      <c r="T4" s="31" t="s">
        <v>305</v>
      </c>
      <c r="U4" s="16" t="s">
        <v>332</v>
      </c>
      <c r="V4" s="31" t="s">
        <v>333</v>
      </c>
      <c r="W4" s="31" t="s">
        <v>302</v>
      </c>
    </row>
    <row r="5" spans="3:23">
      <c r="C5" s="15" t="s">
        <v>138</v>
      </c>
      <c r="D5" s="15">
        <v>324.79000000000002</v>
      </c>
      <c r="H5" s="15" t="s">
        <v>76</v>
      </c>
      <c r="I5" s="15">
        <v>105</v>
      </c>
      <c r="J5" s="15" t="s">
        <v>121</v>
      </c>
      <c r="K5" s="15">
        <v>45</v>
      </c>
      <c r="L5" s="15" t="s">
        <v>14</v>
      </c>
      <c r="M5" s="15">
        <v>26.25</v>
      </c>
      <c r="N5" s="15" t="s">
        <v>138</v>
      </c>
      <c r="O5" s="15"/>
      <c r="P5" s="15"/>
      <c r="Q5" s="15">
        <v>3.75</v>
      </c>
      <c r="R5" s="15">
        <v>9.7100000000000009</v>
      </c>
      <c r="S5" s="15">
        <f>SUM(I5*R5)</f>
        <v>1019.5500000000001</v>
      </c>
      <c r="T5" s="15">
        <f>K5*R5</f>
        <v>436.95000000000005</v>
      </c>
      <c r="U5" s="15">
        <f>SUM(M5*R5)</f>
        <v>254.88750000000002</v>
      </c>
      <c r="V5" s="15"/>
      <c r="W5" s="15">
        <f>Q5*R5</f>
        <v>36.412500000000001</v>
      </c>
    </row>
    <row r="6" spans="3:23">
      <c r="C6" s="15" t="s">
        <v>18</v>
      </c>
      <c r="D6" s="15">
        <v>873.75</v>
      </c>
      <c r="H6" s="15" t="s">
        <v>411</v>
      </c>
      <c r="I6" s="15">
        <v>90</v>
      </c>
      <c r="J6" s="15" t="s">
        <v>121</v>
      </c>
      <c r="K6" s="15">
        <v>37.5</v>
      </c>
      <c r="L6" s="15" t="s">
        <v>18</v>
      </c>
      <c r="M6" s="15">
        <v>3</v>
      </c>
      <c r="N6" s="15" t="s">
        <v>138</v>
      </c>
      <c r="O6" s="15"/>
      <c r="P6" s="15"/>
      <c r="Q6" s="15">
        <v>3</v>
      </c>
      <c r="R6" s="15">
        <v>23.3</v>
      </c>
      <c r="S6" s="15">
        <f>SUM(I6*R6)</f>
        <v>2097</v>
      </c>
      <c r="T6" s="15">
        <f>K6*R6</f>
        <v>873.75</v>
      </c>
      <c r="U6" s="15">
        <f>SUM(M6*R6)</f>
        <v>69.900000000000006</v>
      </c>
      <c r="V6" s="15"/>
      <c r="W6" s="15">
        <f>Q6*R6</f>
        <v>69.900000000000006</v>
      </c>
    </row>
    <row r="7" spans="3:23">
      <c r="C7" s="15" t="s">
        <v>121</v>
      </c>
      <c r="D7" s="15">
        <v>3117</v>
      </c>
    </row>
    <row r="8" spans="3:23">
      <c r="C8" s="15" t="s">
        <v>20</v>
      </c>
      <c r="D8" s="15">
        <v>78.239999999999995</v>
      </c>
      <c r="H8" s="68" t="s">
        <v>446</v>
      </c>
      <c r="I8" s="69"/>
      <c r="K8" s="68" t="s">
        <v>335</v>
      </c>
      <c r="L8" s="69"/>
    </row>
    <row r="9" spans="3:23">
      <c r="C9" s="15" t="s">
        <v>14</v>
      </c>
      <c r="D9" s="15">
        <v>437</v>
      </c>
      <c r="H9" s="14" t="s">
        <v>76</v>
      </c>
      <c r="I9" s="15">
        <f>W5</f>
        <v>36.412500000000001</v>
      </c>
      <c r="K9" s="14" t="s">
        <v>138</v>
      </c>
      <c r="L9" s="15">
        <f>SUM(D5-(U5+U6))</f>
        <v>2.4999999999977263E-3</v>
      </c>
    </row>
    <row r="10" spans="3:23">
      <c r="H10" s="14" t="s">
        <v>411</v>
      </c>
      <c r="I10" s="15">
        <f>W6</f>
        <v>69.900000000000006</v>
      </c>
      <c r="K10" s="14" t="s">
        <v>121</v>
      </c>
      <c r="L10" s="15">
        <f>SUM(D7-(S5+S6))</f>
        <v>0.4499999999998181</v>
      </c>
    </row>
    <row r="11" spans="3:23">
      <c r="H11" s="14" t="s">
        <v>447</v>
      </c>
      <c r="I11" s="15">
        <f>I10+OverallResourcesGrassHub!N30</f>
        <v>115.17000000000002</v>
      </c>
      <c r="K11" s="14" t="s">
        <v>18</v>
      </c>
      <c r="L11" s="15">
        <f>D6-T6</f>
        <v>0</v>
      </c>
    </row>
    <row r="12" spans="3:23">
      <c r="K12" s="14" t="s">
        <v>14</v>
      </c>
      <c r="L12" s="15">
        <f>D9-T5</f>
        <v>4.9999999999954525E-2</v>
      </c>
    </row>
    <row r="18" spans="8:23">
      <c r="H18" s="73" t="s">
        <v>448</v>
      </c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</row>
    <row r="19" spans="8:23">
      <c r="H19" s="14" t="s">
        <v>59</v>
      </c>
      <c r="I19" s="16" t="s">
        <v>103</v>
      </c>
      <c r="J19" s="16" t="s">
        <v>145</v>
      </c>
      <c r="K19" s="16" t="s">
        <v>104</v>
      </c>
      <c r="L19" s="16" t="s">
        <v>147</v>
      </c>
      <c r="M19" s="16" t="s">
        <v>328</v>
      </c>
      <c r="N19" s="16" t="s">
        <v>329</v>
      </c>
      <c r="O19" s="16" t="s">
        <v>330</v>
      </c>
      <c r="P19" s="16" t="s">
        <v>331</v>
      </c>
      <c r="Q19" s="16" t="s">
        <v>106</v>
      </c>
      <c r="R19" s="16" t="s">
        <v>303</v>
      </c>
      <c r="S19" s="16" t="s">
        <v>304</v>
      </c>
      <c r="T19" s="31" t="s">
        <v>305</v>
      </c>
      <c r="U19" s="16" t="s">
        <v>332</v>
      </c>
      <c r="V19" s="31" t="s">
        <v>333</v>
      </c>
      <c r="W19" s="31" t="s">
        <v>302</v>
      </c>
    </row>
    <row r="20" spans="8:23">
      <c r="H20" s="15" t="s">
        <v>20</v>
      </c>
      <c r="I20" s="15">
        <v>8</v>
      </c>
      <c r="J20" s="15" t="s">
        <v>411</v>
      </c>
      <c r="K20" s="15">
        <v>4</v>
      </c>
      <c r="L20" s="15"/>
      <c r="M20" s="15"/>
      <c r="N20" s="15"/>
      <c r="O20" s="15"/>
      <c r="P20" s="15"/>
      <c r="Q20" s="15">
        <v>8</v>
      </c>
      <c r="R20" s="15">
        <v>9.7799999999999994</v>
      </c>
      <c r="S20" s="15">
        <f>SUM(I20*R20)</f>
        <v>78.239999999999995</v>
      </c>
      <c r="T20" s="15">
        <f>K20*R20</f>
        <v>39.119999999999997</v>
      </c>
      <c r="U20" s="15">
        <f>SUM(M20*R20)</f>
        <v>0</v>
      </c>
      <c r="V20" s="15"/>
      <c r="W20" s="15">
        <f>Q20*R20</f>
        <v>78.239999999999995</v>
      </c>
    </row>
    <row r="22" spans="8:23">
      <c r="H22" s="68" t="s">
        <v>449</v>
      </c>
      <c r="I22" s="69"/>
      <c r="K22" s="68" t="s">
        <v>335</v>
      </c>
      <c r="L22" s="69"/>
    </row>
    <row r="23" spans="8:23">
      <c r="H23" s="14" t="s">
        <v>76</v>
      </c>
      <c r="I23" s="15">
        <f>I9</f>
        <v>36.412500000000001</v>
      </c>
      <c r="J23" t="s">
        <v>500</v>
      </c>
      <c r="K23" s="14" t="s">
        <v>138</v>
      </c>
      <c r="L23" s="15">
        <f>L9</f>
        <v>2.4999999999977263E-3</v>
      </c>
    </row>
    <row r="24" spans="8:23">
      <c r="H24" s="14" t="s">
        <v>411</v>
      </c>
      <c r="I24" s="15">
        <f>I10-T20</f>
        <v>30.780000000000008</v>
      </c>
      <c r="K24" s="14" t="s">
        <v>121</v>
      </c>
      <c r="L24" s="15">
        <f>L10</f>
        <v>0.4499999999998181</v>
      </c>
    </row>
    <row r="25" spans="8:23">
      <c r="H25" s="14" t="s">
        <v>445</v>
      </c>
      <c r="I25" s="15">
        <f>W20</f>
        <v>78.239999999999995</v>
      </c>
      <c r="K25" s="14" t="s">
        <v>18</v>
      </c>
      <c r="L25" s="15">
        <f>L11</f>
        <v>0</v>
      </c>
    </row>
    <row r="26" spans="8:23">
      <c r="K26" s="14" t="s">
        <v>14</v>
      </c>
      <c r="L26" s="15">
        <f>L12</f>
        <v>4.9999999999954525E-2</v>
      </c>
    </row>
    <row r="27" spans="8:23">
      <c r="K27" s="14" t="s">
        <v>179</v>
      </c>
      <c r="L27" s="15">
        <f>D8-S20</f>
        <v>0</v>
      </c>
    </row>
  </sheetData>
  <mergeCells count="7">
    <mergeCell ref="K22:L22"/>
    <mergeCell ref="H22:I22"/>
    <mergeCell ref="C3:D3"/>
    <mergeCell ref="H3:W3"/>
    <mergeCell ref="H8:I8"/>
    <mergeCell ref="K8:L8"/>
    <mergeCell ref="H18:W18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sheetPr>
    <tabColor theme="9" tint="-0.249977111117893"/>
  </sheetPr>
  <dimension ref="B2:Q60"/>
  <sheetViews>
    <sheetView topLeftCell="A25" workbookViewId="0">
      <selection activeCell="B46" sqref="B46:C49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68" t="s">
        <v>159</v>
      </c>
      <c r="C2" s="69"/>
      <c r="D2" s="69"/>
      <c r="E2" s="69"/>
      <c r="F2" s="69"/>
      <c r="H2" s="73" t="s">
        <v>294</v>
      </c>
      <c r="I2" s="74"/>
      <c r="J2" s="74"/>
      <c r="K2" s="74"/>
      <c r="L2" s="74"/>
      <c r="M2" s="74"/>
      <c r="N2" s="74"/>
      <c r="O2" s="74"/>
      <c r="P2" s="74"/>
      <c r="Q2" s="74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145</v>
      </c>
      <c r="K3" s="16" t="s">
        <v>104</v>
      </c>
      <c r="L3" s="16" t="s">
        <v>147</v>
      </c>
      <c r="M3" s="16" t="s">
        <v>106</v>
      </c>
      <c r="N3" s="16" t="s">
        <v>303</v>
      </c>
      <c r="O3" s="16" t="s">
        <v>304</v>
      </c>
      <c r="P3" s="31" t="s">
        <v>305</v>
      </c>
      <c r="Q3" s="31" t="s">
        <v>302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295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296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297</v>
      </c>
      <c r="I6" s="15">
        <v>15</v>
      </c>
      <c r="J6" s="15" t="s">
        <v>4</v>
      </c>
      <c r="K6" s="15">
        <v>9999</v>
      </c>
      <c r="L6" s="15" t="s">
        <v>300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298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68" t="s">
        <v>109</v>
      </c>
      <c r="C8" s="69"/>
      <c r="D8" s="69"/>
      <c r="E8" s="69"/>
      <c r="H8" s="15" t="s">
        <v>299</v>
      </c>
      <c r="I8" s="15">
        <v>40</v>
      </c>
      <c r="J8" s="15" t="s">
        <v>146</v>
      </c>
      <c r="K8" s="15">
        <v>40</v>
      </c>
      <c r="L8" s="15" t="s">
        <v>301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70" t="s">
        <v>23</v>
      </c>
      <c r="C9" s="71"/>
      <c r="D9" s="71"/>
      <c r="E9" s="72"/>
    </row>
    <row r="10" spans="2:17">
      <c r="B10" s="15" t="s">
        <v>110</v>
      </c>
      <c r="C10" s="15" t="s">
        <v>111</v>
      </c>
      <c r="D10" s="15" t="s">
        <v>293</v>
      </c>
      <c r="E10" s="15" t="s">
        <v>112</v>
      </c>
      <c r="H10" s="68" t="s">
        <v>307</v>
      </c>
      <c r="I10" s="69"/>
      <c r="K10" s="68" t="s">
        <v>312</v>
      </c>
      <c r="L10" s="69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306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308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309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310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311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73" t="s">
        <v>313</v>
      </c>
      <c r="I17" s="74"/>
      <c r="J17" s="74"/>
      <c r="K17" s="74"/>
      <c r="L17" s="74"/>
      <c r="M17" s="74"/>
      <c r="N17" s="74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145</v>
      </c>
      <c r="K18" s="16" t="s">
        <v>106</v>
      </c>
      <c r="L18" s="16" t="s">
        <v>303</v>
      </c>
      <c r="M18" s="16" t="s">
        <v>304</v>
      </c>
      <c r="N18" s="31" t="s">
        <v>302</v>
      </c>
    </row>
    <row r="19" spans="2:17">
      <c r="B19" s="70" t="s">
        <v>24</v>
      </c>
      <c r="C19" s="71"/>
      <c r="D19" s="71"/>
      <c r="E19" s="72"/>
      <c r="H19" s="15" t="s">
        <v>314</v>
      </c>
      <c r="I19" s="15">
        <v>30</v>
      </c>
      <c r="J19" s="15" t="s">
        <v>146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110</v>
      </c>
      <c r="C20" s="15" t="s">
        <v>111</v>
      </c>
      <c r="D20" s="15" t="s">
        <v>293</v>
      </c>
      <c r="E20" s="15" t="s">
        <v>112</v>
      </c>
      <c r="H20" s="15" t="s">
        <v>315</v>
      </c>
      <c r="I20" s="15">
        <v>12.5</v>
      </c>
      <c r="J20" s="15" t="s">
        <v>146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120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70" t="s">
        <v>8</v>
      </c>
      <c r="C24" s="71"/>
      <c r="D24" s="71"/>
      <c r="E24" s="72"/>
      <c r="H24" s="68" t="s">
        <v>316</v>
      </c>
      <c r="I24" s="69"/>
      <c r="K24" s="68" t="s">
        <v>317</v>
      </c>
      <c r="L24" s="69"/>
    </row>
    <row r="25" spans="2:17">
      <c r="B25" s="15" t="s">
        <v>110</v>
      </c>
      <c r="C25" s="15" t="s">
        <v>111</v>
      </c>
      <c r="D25" s="15" t="s">
        <v>293</v>
      </c>
      <c r="E25" s="15" t="s">
        <v>112</v>
      </c>
      <c r="H25" s="14" t="s">
        <v>314</v>
      </c>
      <c r="I25" s="15">
        <f>N19</f>
        <v>902.4</v>
      </c>
      <c r="K25" s="14" t="s">
        <v>146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120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70" t="s">
        <v>7</v>
      </c>
      <c r="C30" s="71"/>
      <c r="D30" s="71"/>
      <c r="E30" s="72"/>
      <c r="H30" s="73" t="s">
        <v>318</v>
      </c>
      <c r="I30" s="74"/>
      <c r="J30" s="74"/>
      <c r="K30" s="74"/>
      <c r="L30" s="74"/>
      <c r="M30" s="74"/>
      <c r="N30" s="74"/>
    </row>
    <row r="31" spans="2:17">
      <c r="B31" s="15" t="s">
        <v>110</v>
      </c>
      <c r="C31" s="15" t="s">
        <v>111</v>
      </c>
      <c r="D31" s="15" t="s">
        <v>293</v>
      </c>
      <c r="E31" s="15" t="s">
        <v>112</v>
      </c>
      <c r="H31" s="14" t="s">
        <v>59</v>
      </c>
      <c r="I31" s="16" t="s">
        <v>103</v>
      </c>
      <c r="J31" s="16" t="s">
        <v>145</v>
      </c>
      <c r="K31" s="16" t="s">
        <v>104</v>
      </c>
      <c r="L31" s="16" t="s">
        <v>147</v>
      </c>
      <c r="M31" s="16" t="s">
        <v>106</v>
      </c>
      <c r="N31" s="16" t="s">
        <v>303</v>
      </c>
      <c r="O31" s="16" t="s">
        <v>304</v>
      </c>
      <c r="P31" s="31" t="s">
        <v>305</v>
      </c>
      <c r="Q31" s="31" t="s">
        <v>302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321</v>
      </c>
      <c r="I32" s="15">
        <v>37.5</v>
      </c>
      <c r="J32" s="15" t="s">
        <v>120</v>
      </c>
      <c r="K32" s="15">
        <v>18.75</v>
      </c>
      <c r="L32" s="15" t="s">
        <v>320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319</v>
      </c>
      <c r="I33" s="15">
        <v>2</v>
      </c>
      <c r="J33" s="15" t="s">
        <v>321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68" t="s">
        <v>322</v>
      </c>
      <c r="I36" s="69"/>
      <c r="K36" s="68" t="s">
        <v>323</v>
      </c>
      <c r="L36" s="69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325</v>
      </c>
      <c r="I37" s="15">
        <f>Q32-O33</f>
        <v>169.99124999999998</v>
      </c>
      <c r="K37" s="14" t="s">
        <v>320</v>
      </c>
      <c r="L37" s="15">
        <f>I25-P32</f>
        <v>-3.7500000000022737E-2</v>
      </c>
    </row>
    <row r="38" spans="2:17">
      <c r="H38" s="14" t="s">
        <v>319</v>
      </c>
      <c r="I38" s="15">
        <f>Q33</f>
        <v>151.10999999999999</v>
      </c>
      <c r="K38" s="14" t="s">
        <v>120</v>
      </c>
      <c r="L38" s="15">
        <f>I26-O32</f>
        <v>0.15000000000009095</v>
      </c>
    </row>
    <row r="39" spans="2:17">
      <c r="H39" s="14" t="s">
        <v>324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73" t="s">
        <v>326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2:17">
      <c r="B43" s="14" t="s">
        <v>59</v>
      </c>
      <c r="C43" s="16" t="s">
        <v>103</v>
      </c>
      <c r="D43" s="16" t="s">
        <v>145</v>
      </c>
      <c r="E43" s="16" t="s">
        <v>104</v>
      </c>
      <c r="F43" s="16" t="s">
        <v>147</v>
      </c>
      <c r="G43" s="16" t="s">
        <v>328</v>
      </c>
      <c r="H43" s="16" t="s">
        <v>329</v>
      </c>
      <c r="I43" s="16" t="s">
        <v>330</v>
      </c>
      <c r="J43" s="16" t="s">
        <v>331</v>
      </c>
      <c r="K43" s="16" t="s">
        <v>106</v>
      </c>
      <c r="L43" s="16" t="s">
        <v>303</v>
      </c>
      <c r="M43" s="16" t="s">
        <v>304</v>
      </c>
      <c r="N43" s="31" t="s">
        <v>305</v>
      </c>
      <c r="O43" s="16" t="s">
        <v>332</v>
      </c>
      <c r="P43" s="31" t="s">
        <v>333</v>
      </c>
      <c r="Q43" s="31" t="s">
        <v>302</v>
      </c>
    </row>
    <row r="44" spans="2:17">
      <c r="B44" s="15" t="s">
        <v>327</v>
      </c>
      <c r="C44" s="15">
        <v>7.5</v>
      </c>
      <c r="D44" s="15" t="s">
        <v>319</v>
      </c>
      <c r="E44" s="15">
        <v>9.375</v>
      </c>
      <c r="F44" s="15" t="s">
        <v>324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68" t="s">
        <v>334</v>
      </c>
      <c r="C46" s="69"/>
      <c r="E46" s="68" t="s">
        <v>335</v>
      </c>
      <c r="F46" s="69"/>
    </row>
    <row r="47" spans="2:17">
      <c r="B47" s="14" t="s">
        <v>325</v>
      </c>
      <c r="C47" s="52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2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2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320</v>
      </c>
      <c r="F55" s="15">
        <f>L37</f>
        <v>-3.7500000000022737E-2</v>
      </c>
    </row>
    <row r="56" spans="2:6">
      <c r="E56" s="14" t="s">
        <v>120</v>
      </c>
      <c r="F56" s="15">
        <f>L38</f>
        <v>0.15000000000009095</v>
      </c>
    </row>
    <row r="57" spans="2:6">
      <c r="E57" s="14" t="s">
        <v>319</v>
      </c>
      <c r="F57" s="15">
        <f>I38-M44</f>
        <v>-1.5000000000014779E-2</v>
      </c>
    </row>
    <row r="58" spans="2:6">
      <c r="E58" s="14" t="s">
        <v>324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325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sheetPr>
    <tabColor theme="9" tint="-0.249977111117893"/>
  </sheetPr>
  <dimension ref="B2:Y65"/>
  <sheetViews>
    <sheetView zoomScale="85" zoomScaleNormal="85" workbookViewId="0">
      <selection activeCell="I35" sqref="I35:Y35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75" t="s">
        <v>159</v>
      </c>
      <c r="C2" s="76"/>
      <c r="D2" s="76"/>
      <c r="E2" s="76"/>
      <c r="F2" s="76"/>
      <c r="G2" s="46"/>
      <c r="I2" s="73" t="s">
        <v>294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2:22">
      <c r="B3" s="14" t="s">
        <v>59</v>
      </c>
      <c r="C3" s="14" t="s">
        <v>24</v>
      </c>
      <c r="D3" s="14" t="s">
        <v>340</v>
      </c>
      <c r="E3" s="14" t="s">
        <v>341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145</v>
      </c>
      <c r="L3" s="16" t="s">
        <v>104</v>
      </c>
      <c r="M3" s="16" t="s">
        <v>147</v>
      </c>
      <c r="N3" s="16" t="s">
        <v>304</v>
      </c>
      <c r="O3" s="31" t="s">
        <v>305</v>
      </c>
      <c r="P3" s="16" t="s">
        <v>303</v>
      </c>
      <c r="Q3" s="16" t="s">
        <v>348</v>
      </c>
      <c r="R3" s="16" t="s">
        <v>345</v>
      </c>
      <c r="S3" s="31" t="s">
        <v>344</v>
      </c>
      <c r="T3" s="16" t="s">
        <v>349</v>
      </c>
      <c r="U3" s="16" t="s">
        <v>346</v>
      </c>
      <c r="V3" s="31" t="s">
        <v>347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342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343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350</v>
      </c>
      <c r="R5" s="15">
        <v>130</v>
      </c>
      <c r="S5" s="15">
        <f>R5*P5</f>
        <v>1600.3</v>
      </c>
      <c r="T5" s="15" t="s">
        <v>351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352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350</v>
      </c>
      <c r="R6" s="15">
        <v>20</v>
      </c>
      <c r="S6" s="15">
        <f>R6*P6</f>
        <v>576.19999999999993</v>
      </c>
      <c r="T6" s="15" t="s">
        <v>351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3920</v>
      </c>
      <c r="I7" s="15" t="s">
        <v>353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351</v>
      </c>
      <c r="U7" s="15">
        <v>10</v>
      </c>
      <c r="V7" s="15">
        <f>U7*P7</f>
        <v>65.7</v>
      </c>
    </row>
    <row r="8" spans="2:22">
      <c r="B8" s="68" t="s">
        <v>109</v>
      </c>
      <c r="C8" s="69"/>
      <c r="D8" s="69"/>
      <c r="E8" s="69"/>
      <c r="I8" s="15" t="s">
        <v>354</v>
      </c>
      <c r="J8" s="15">
        <v>200</v>
      </c>
      <c r="K8" s="15" t="s">
        <v>355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356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70" t="s">
        <v>24</v>
      </c>
      <c r="C9" s="71"/>
      <c r="D9" s="71"/>
      <c r="E9" s="72"/>
    </row>
    <row r="10" spans="2:22">
      <c r="B10" s="15" t="s">
        <v>110</v>
      </c>
      <c r="C10" s="15" t="s">
        <v>111</v>
      </c>
      <c r="D10" s="15" t="s">
        <v>293</v>
      </c>
      <c r="E10" s="15" t="s">
        <v>112</v>
      </c>
      <c r="I10" s="68" t="s">
        <v>307</v>
      </c>
      <c r="J10" s="69"/>
      <c r="L10" s="68" t="s">
        <v>335</v>
      </c>
      <c r="M10" s="69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309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357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70" t="s">
        <v>340</v>
      </c>
      <c r="C13" s="71"/>
      <c r="D13" s="71"/>
      <c r="E13" s="72"/>
      <c r="I13" s="14" t="s">
        <v>358</v>
      </c>
      <c r="J13" s="15">
        <f>SUM(V5:V7)</f>
        <v>1464.3</v>
      </c>
      <c r="L13" s="14" t="s">
        <v>340</v>
      </c>
      <c r="M13" s="15">
        <f>SUM(D7-N8)</f>
        <v>0</v>
      </c>
    </row>
    <row r="14" spans="2:22">
      <c r="B14" s="15" t="s">
        <v>110</v>
      </c>
      <c r="C14" s="15" t="s">
        <v>111</v>
      </c>
      <c r="D14" s="15" t="s">
        <v>293</v>
      </c>
      <c r="E14" s="15" t="s">
        <v>112</v>
      </c>
      <c r="I14" s="14" t="s">
        <v>359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360</v>
      </c>
      <c r="J15" s="15">
        <f>S8</f>
        <v>2592</v>
      </c>
      <c r="L15" s="47" t="s">
        <v>10</v>
      </c>
      <c r="M15" s="15">
        <f>SUM(G7-(O4+O8))</f>
        <v>1385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73" t="s">
        <v>313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145</v>
      </c>
      <c r="L18" s="16" t="s">
        <v>104</v>
      </c>
      <c r="M18" s="16" t="s">
        <v>147</v>
      </c>
      <c r="N18" s="16" t="s">
        <v>304</v>
      </c>
      <c r="O18" s="31" t="s">
        <v>305</v>
      </c>
      <c r="P18" s="16" t="s">
        <v>303</v>
      </c>
      <c r="Q18" s="16" t="s">
        <v>348</v>
      </c>
      <c r="R18" s="16" t="s">
        <v>345</v>
      </c>
      <c r="S18" s="31" t="s">
        <v>344</v>
      </c>
      <c r="T18" s="31" t="s">
        <v>349</v>
      </c>
      <c r="U18" s="31" t="s">
        <v>376</v>
      </c>
      <c r="V18" s="31" t="s">
        <v>347</v>
      </c>
    </row>
    <row r="19" spans="2:22">
      <c r="B19" s="70" t="s">
        <v>341</v>
      </c>
      <c r="C19" s="71"/>
      <c r="D19" s="71"/>
      <c r="E19" s="72"/>
      <c r="I19" s="15" t="s">
        <v>361</v>
      </c>
      <c r="J19" s="15">
        <v>30</v>
      </c>
      <c r="K19" s="15" t="s">
        <v>350</v>
      </c>
      <c r="L19" s="15">
        <v>30</v>
      </c>
      <c r="M19" s="15" t="s">
        <v>10</v>
      </c>
      <c r="N19" s="15">
        <f>SUM(J19*P19)</f>
        <v>600</v>
      </c>
      <c r="O19" s="15">
        <f>L19*P19</f>
        <v>600</v>
      </c>
      <c r="P19" s="15">
        <v>20</v>
      </c>
      <c r="Q19" s="15" t="s">
        <v>118</v>
      </c>
      <c r="R19" s="15">
        <v>30</v>
      </c>
      <c r="S19" s="15">
        <f>R19*P19</f>
        <v>600</v>
      </c>
      <c r="T19" s="15"/>
      <c r="U19" s="15"/>
      <c r="V19" s="15"/>
    </row>
    <row r="20" spans="2:22">
      <c r="B20" s="15" t="s">
        <v>110</v>
      </c>
      <c r="C20" s="15" t="s">
        <v>111</v>
      </c>
      <c r="D20" s="15" t="s">
        <v>293</v>
      </c>
      <c r="E20" s="15" t="s">
        <v>112</v>
      </c>
      <c r="I20" s="15" t="s">
        <v>362</v>
      </c>
      <c r="J20" s="15">
        <v>60</v>
      </c>
      <c r="K20" s="15" t="s">
        <v>350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363</v>
      </c>
      <c r="J21" s="15">
        <v>40</v>
      </c>
      <c r="K21" s="15" t="s">
        <v>351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363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364</v>
      </c>
      <c r="J22" s="15">
        <v>180</v>
      </c>
      <c r="K22" s="15" t="s">
        <v>356</v>
      </c>
      <c r="L22" s="15">
        <v>60</v>
      </c>
      <c r="M22" s="15" t="s">
        <v>363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130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365</v>
      </c>
      <c r="J23" s="15">
        <v>60</v>
      </c>
      <c r="K23" s="15" t="s">
        <v>130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131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68" t="s">
        <v>316</v>
      </c>
      <c r="J25" s="69"/>
      <c r="L25" s="68" t="s">
        <v>335</v>
      </c>
      <c r="M25" s="69"/>
    </row>
    <row r="26" spans="2:22">
      <c r="B26" s="70" t="s">
        <v>17</v>
      </c>
      <c r="C26" s="71"/>
      <c r="D26" s="71"/>
      <c r="E26" s="72"/>
      <c r="I26" s="14" t="s">
        <v>118</v>
      </c>
      <c r="J26" s="15">
        <f>S19</f>
        <v>600</v>
      </c>
      <c r="L26" s="14" t="s">
        <v>350</v>
      </c>
      <c r="M26" s="15">
        <f>SUM(J12-(N19+N20))</f>
        <v>1000.5</v>
      </c>
    </row>
    <row r="27" spans="2:22">
      <c r="B27" s="15" t="s">
        <v>110</v>
      </c>
      <c r="C27" s="15" t="s">
        <v>111</v>
      </c>
      <c r="D27" s="15" t="s">
        <v>293</v>
      </c>
      <c r="E27" s="15" t="s">
        <v>112</v>
      </c>
      <c r="I27" s="14" t="s">
        <v>11</v>
      </c>
      <c r="J27" s="15">
        <f>S20+J14</f>
        <v>323.39999999999998</v>
      </c>
      <c r="L27" s="14" t="s">
        <v>366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131</v>
      </c>
      <c r="J28" s="15">
        <f>S23</f>
        <v>2088</v>
      </c>
      <c r="L28" s="14" t="s">
        <v>367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363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360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73" t="s">
        <v>318</v>
      </c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</row>
    <row r="36" spans="9:25">
      <c r="I36" s="14" t="s">
        <v>59</v>
      </c>
      <c r="J36" s="16" t="s">
        <v>103</v>
      </c>
      <c r="K36" s="16" t="s">
        <v>145</v>
      </c>
      <c r="L36" s="16" t="s">
        <v>104</v>
      </c>
      <c r="M36" s="16" t="s">
        <v>147</v>
      </c>
      <c r="N36" s="16" t="s">
        <v>328</v>
      </c>
      <c r="O36" s="16" t="s">
        <v>373</v>
      </c>
      <c r="P36" s="16" t="s">
        <v>304</v>
      </c>
      <c r="Q36" s="31" t="s">
        <v>305</v>
      </c>
      <c r="R36" s="31" t="s">
        <v>332</v>
      </c>
      <c r="S36" s="16" t="s">
        <v>303</v>
      </c>
      <c r="T36" s="16" t="s">
        <v>348</v>
      </c>
      <c r="U36" s="16" t="s">
        <v>345</v>
      </c>
      <c r="V36" s="31" t="s">
        <v>344</v>
      </c>
      <c r="W36" s="31" t="s">
        <v>349</v>
      </c>
      <c r="X36" s="31" t="s">
        <v>376</v>
      </c>
      <c r="Y36" s="31" t="s">
        <v>347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370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368</v>
      </c>
      <c r="J39" s="15">
        <v>30</v>
      </c>
      <c r="K39" s="15" t="s">
        <v>370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371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120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120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211</v>
      </c>
      <c r="J41" s="15">
        <v>50</v>
      </c>
      <c r="K41" s="15" t="s">
        <v>38</v>
      </c>
      <c r="L41" s="15">
        <v>20</v>
      </c>
      <c r="M41" s="15" t="s">
        <v>374</v>
      </c>
      <c r="N41" s="15">
        <v>40</v>
      </c>
      <c r="O41" s="15" t="s">
        <v>375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211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369</v>
      </c>
      <c r="J42" s="15">
        <v>50</v>
      </c>
      <c r="K42" s="15" t="s">
        <v>351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372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68" t="s">
        <v>322</v>
      </c>
      <c r="J44" s="69"/>
      <c r="L44" s="68" t="s">
        <v>335</v>
      </c>
      <c r="M44" s="69"/>
    </row>
    <row r="45" spans="9:25" ht="15.75" thickBot="1">
      <c r="I45" s="14" t="s">
        <v>118</v>
      </c>
      <c r="J45" s="15">
        <f>J26</f>
        <v>600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366</v>
      </c>
      <c r="M46" s="48">
        <f>M27-P42</f>
        <v>186.4000000000002</v>
      </c>
      <c r="N46" s="83" t="s">
        <v>377</v>
      </c>
      <c r="O46" s="84"/>
      <c r="P46" s="84"/>
      <c r="Q46" s="84"/>
      <c r="R46" s="84"/>
      <c r="S46" s="84"/>
      <c r="T46" s="85"/>
    </row>
    <row r="47" spans="9:25">
      <c r="I47" s="14" t="s">
        <v>131</v>
      </c>
      <c r="J47" s="15">
        <f>J28-P38-P39</f>
        <v>763.2</v>
      </c>
      <c r="L47" s="14" t="s">
        <v>360</v>
      </c>
      <c r="M47" s="15">
        <f>M31-R41</f>
        <v>0</v>
      </c>
    </row>
    <row r="48" spans="9:25">
      <c r="I48" s="14" t="s">
        <v>120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211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372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368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83" t="s">
        <v>380</v>
      </c>
      <c r="O53" s="84"/>
      <c r="P53" s="84"/>
      <c r="Q53" s="84"/>
      <c r="R53" s="84"/>
      <c r="S53" s="84"/>
      <c r="T53" s="85"/>
    </row>
    <row r="54" spans="9:25">
      <c r="I54" s="73" t="s">
        <v>381</v>
      </c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</row>
    <row r="55" spans="9:25">
      <c r="I55" s="14" t="s">
        <v>59</v>
      </c>
      <c r="J55" s="16" t="s">
        <v>103</v>
      </c>
      <c r="K55" s="16" t="s">
        <v>145</v>
      </c>
      <c r="L55" s="16" t="s">
        <v>104</v>
      </c>
      <c r="M55" s="16" t="s">
        <v>147</v>
      </c>
      <c r="N55" s="16" t="s">
        <v>328</v>
      </c>
      <c r="O55" s="16" t="s">
        <v>373</v>
      </c>
      <c r="P55" s="16" t="s">
        <v>330</v>
      </c>
      <c r="Q55" s="16" t="s">
        <v>331</v>
      </c>
      <c r="R55" s="16" t="s">
        <v>304</v>
      </c>
      <c r="S55" s="31" t="s">
        <v>305</v>
      </c>
      <c r="T55" s="31" t="s">
        <v>332</v>
      </c>
      <c r="U55" s="31" t="s">
        <v>333</v>
      </c>
      <c r="V55" s="16" t="s">
        <v>303</v>
      </c>
      <c r="W55" s="16" t="s">
        <v>348</v>
      </c>
      <c r="X55" s="16" t="s">
        <v>345</v>
      </c>
      <c r="Y55" s="31" t="s">
        <v>344</v>
      </c>
    </row>
    <row r="56" spans="9:25">
      <c r="I56" s="15" t="s">
        <v>378</v>
      </c>
      <c r="J56" s="15">
        <v>30</v>
      </c>
      <c r="K56" s="15" t="s">
        <v>11</v>
      </c>
      <c r="L56" s="15">
        <v>30</v>
      </c>
      <c r="M56" s="15" t="s">
        <v>372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379</v>
      </c>
      <c r="J57" s="15">
        <v>30</v>
      </c>
      <c r="K57" s="15" t="s">
        <v>14</v>
      </c>
      <c r="L57" s="15">
        <v>30</v>
      </c>
      <c r="M57" s="15" t="s">
        <v>372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238</v>
      </c>
      <c r="J58" s="15">
        <v>45</v>
      </c>
      <c r="K58" s="15" t="s">
        <v>17</v>
      </c>
      <c r="L58" s="15">
        <v>52.5</v>
      </c>
      <c r="M58" s="15" t="s">
        <v>368</v>
      </c>
      <c r="N58" s="15">
        <v>60</v>
      </c>
      <c r="O58" s="15" t="s">
        <v>11</v>
      </c>
      <c r="P58" s="15">
        <v>90</v>
      </c>
      <c r="Q58" s="15" t="s">
        <v>120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371</v>
      </c>
      <c r="X58" s="15">
        <v>30</v>
      </c>
      <c r="Y58" s="15">
        <f>X58*V58</f>
        <v>720</v>
      </c>
    </row>
    <row r="60" spans="9:25">
      <c r="I60" s="86" t="s">
        <v>382</v>
      </c>
      <c r="J60" s="87"/>
      <c r="L60" s="68" t="s">
        <v>335</v>
      </c>
      <c r="M60" s="69"/>
    </row>
    <row r="61" spans="9:25">
      <c r="I61" s="14" t="s">
        <v>118</v>
      </c>
      <c r="J61" s="52">
        <f>J45</f>
        <v>600</v>
      </c>
      <c r="L61" s="14" t="s">
        <v>120</v>
      </c>
      <c r="M61" s="15">
        <f>J48-U58</f>
        <v>0</v>
      </c>
    </row>
    <row r="62" spans="9:25">
      <c r="I62" s="14" t="s">
        <v>14</v>
      </c>
      <c r="J62" s="52">
        <f>Y56-R57</f>
        <v>763.5</v>
      </c>
      <c r="L62" s="14" t="s">
        <v>368</v>
      </c>
      <c r="M62" s="15">
        <f>J51-S58</f>
        <v>0</v>
      </c>
    </row>
    <row r="63" spans="9:25">
      <c r="I63" s="14" t="s">
        <v>131</v>
      </c>
      <c r="J63" s="52">
        <f>J47</f>
        <v>763.2</v>
      </c>
      <c r="L63" s="14" t="s">
        <v>17</v>
      </c>
      <c r="M63" s="15">
        <f>J52-R58</f>
        <v>0</v>
      </c>
    </row>
    <row r="64" spans="9:25">
      <c r="I64" s="14" t="s">
        <v>211</v>
      </c>
      <c r="J64" s="52">
        <f>V41+Y58</f>
        <v>763.2</v>
      </c>
      <c r="L64" s="14" t="s">
        <v>372</v>
      </c>
      <c r="M64" s="15">
        <f>J50-R56-R57</f>
        <v>19.299999999999955</v>
      </c>
    </row>
    <row r="65" spans="9:13">
      <c r="I65" s="14" t="s">
        <v>11</v>
      </c>
      <c r="J65" s="52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sheetPr>
    <tabColor theme="9" tint="-0.249977111117893"/>
  </sheetPr>
  <dimension ref="B2:L28"/>
  <sheetViews>
    <sheetView workbookViewId="0">
      <selection activeCell="G31" sqref="G31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75" t="s">
        <v>159</v>
      </c>
      <c r="C2" s="76"/>
      <c r="D2" s="76"/>
    </row>
    <row r="3" spans="2:5">
      <c r="B3" s="14" t="s">
        <v>59</v>
      </c>
      <c r="C3" s="14" t="s">
        <v>8</v>
      </c>
      <c r="D3" s="14" t="s">
        <v>383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68" t="s">
        <v>109</v>
      </c>
      <c r="C9" s="69"/>
      <c r="D9" s="69"/>
      <c r="E9" s="69"/>
    </row>
    <row r="10" spans="2:5">
      <c r="B10" s="70" t="s">
        <v>8</v>
      </c>
      <c r="C10" s="71"/>
      <c r="D10" s="71"/>
      <c r="E10" s="72"/>
    </row>
    <row r="11" spans="2:5">
      <c r="B11" s="15" t="s">
        <v>110</v>
      </c>
      <c r="C11" s="15" t="s">
        <v>111</v>
      </c>
      <c r="D11" s="15" t="s">
        <v>293</v>
      </c>
      <c r="E11" s="15" t="s">
        <v>112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70" t="s">
        <v>13</v>
      </c>
      <c r="C14" s="71"/>
      <c r="D14" s="71"/>
      <c r="E14" s="72"/>
    </row>
    <row r="15" spans="2:5">
      <c r="B15" s="15" t="s">
        <v>110</v>
      </c>
      <c r="C15" s="15" t="s">
        <v>111</v>
      </c>
      <c r="D15" s="15" t="s">
        <v>293</v>
      </c>
      <c r="E15" s="15" t="s">
        <v>112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73" t="s">
        <v>294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</row>
    <row r="21" spans="2:12">
      <c r="B21" s="14" t="s">
        <v>59</v>
      </c>
      <c r="C21" s="16" t="s">
        <v>103</v>
      </c>
      <c r="D21" s="16" t="s">
        <v>145</v>
      </c>
      <c r="E21" s="16" t="s">
        <v>104</v>
      </c>
      <c r="F21" s="16" t="s">
        <v>147</v>
      </c>
      <c r="G21" s="16" t="s">
        <v>304</v>
      </c>
      <c r="H21" s="31" t="s">
        <v>305</v>
      </c>
      <c r="I21" s="16" t="s">
        <v>303</v>
      </c>
      <c r="J21" s="16" t="s">
        <v>348</v>
      </c>
      <c r="K21" s="16" t="s">
        <v>345</v>
      </c>
      <c r="L21" s="31" t="s">
        <v>344</v>
      </c>
    </row>
    <row r="22" spans="2:12">
      <c r="B22" s="15" t="s">
        <v>384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386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385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188</v>
      </c>
      <c r="K24" s="15">
        <v>52.5</v>
      </c>
      <c r="L24" s="15">
        <f>K24*I24</f>
        <v>702.97500000000002</v>
      </c>
    </row>
    <row r="26" spans="2:12">
      <c r="B26" s="68" t="s">
        <v>316</v>
      </c>
      <c r="C26" s="69"/>
    </row>
    <row r="27" spans="2:12">
      <c r="B27" s="14" t="s">
        <v>18</v>
      </c>
      <c r="C27" s="52">
        <f>L23+L22</f>
        <v>1405.875</v>
      </c>
    </row>
    <row r="28" spans="2:12">
      <c r="B28" s="14" t="s">
        <v>188</v>
      </c>
      <c r="C28" s="52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D870-CD37-4D08-ACB5-E8DE9C9CDC60}">
  <sheetPr>
    <tabColor rgb="FFFFFF00"/>
  </sheetPr>
  <dimension ref="B2:Q45"/>
  <sheetViews>
    <sheetView zoomScale="85" zoomScaleNormal="85" workbookViewId="0">
      <selection activeCell="C38" sqref="C38"/>
    </sheetView>
  </sheetViews>
  <sheetFormatPr defaultRowHeight="15"/>
  <cols>
    <col min="2" max="2" width="14.5703125" bestFit="1" customWidth="1"/>
    <col min="3" max="3" width="16.42578125" bestFit="1" customWidth="1"/>
    <col min="7" max="7" width="23.28515625" bestFit="1" customWidth="1"/>
    <col min="8" max="8" width="8.42578125" bestFit="1" customWidth="1"/>
    <col min="9" max="9" width="11" bestFit="1" customWidth="1"/>
    <col min="10" max="10" width="12.85546875" bestFit="1" customWidth="1"/>
    <col min="11" max="11" width="16.28515625" bestFit="1" customWidth="1"/>
    <col min="12" max="13" width="12.85546875" bestFit="1" customWidth="1"/>
    <col min="14" max="14" width="15.5703125" bestFit="1" customWidth="1"/>
    <col min="15" max="15" width="13.85546875" bestFit="1" customWidth="1"/>
    <col min="16" max="16" width="11.7109375" bestFit="1" customWidth="1"/>
    <col min="17" max="17" width="8.7109375" bestFit="1" customWidth="1"/>
    <col min="18" max="18" width="17.28515625" bestFit="1" customWidth="1"/>
    <col min="19" max="19" width="11.7109375" bestFit="1" customWidth="1"/>
    <col min="20" max="20" width="8.7109375" bestFit="1" customWidth="1"/>
  </cols>
  <sheetData>
    <row r="2" spans="2:17">
      <c r="B2" s="75" t="s">
        <v>159</v>
      </c>
      <c r="C2" s="76"/>
      <c r="D2" s="76"/>
      <c r="E2" s="76"/>
      <c r="G2" s="73" t="s">
        <v>294</v>
      </c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>
      <c r="B3" s="14" t="s">
        <v>59</v>
      </c>
      <c r="C3" s="14" t="s">
        <v>23</v>
      </c>
      <c r="D3" s="14" t="s">
        <v>7</v>
      </c>
      <c r="E3" s="29" t="s">
        <v>10</v>
      </c>
      <c r="G3" s="14" t="s">
        <v>59</v>
      </c>
      <c r="H3" s="16" t="s">
        <v>103</v>
      </c>
      <c r="I3" s="16" t="s">
        <v>145</v>
      </c>
      <c r="J3" s="16" t="s">
        <v>104</v>
      </c>
      <c r="K3" s="16" t="s">
        <v>147</v>
      </c>
      <c r="L3" s="16" t="s">
        <v>304</v>
      </c>
      <c r="M3" s="31" t="s">
        <v>305</v>
      </c>
      <c r="N3" s="16" t="s">
        <v>303</v>
      </c>
      <c r="O3" s="16" t="s">
        <v>348</v>
      </c>
      <c r="P3" s="16" t="s">
        <v>345</v>
      </c>
      <c r="Q3" s="31" t="s">
        <v>344</v>
      </c>
    </row>
    <row r="4" spans="2:17">
      <c r="B4" s="15" t="s">
        <v>57</v>
      </c>
      <c r="C4" s="15">
        <v>0</v>
      </c>
      <c r="D4" s="15">
        <v>0</v>
      </c>
      <c r="E4" s="15"/>
      <c r="G4" s="15" t="s">
        <v>559</v>
      </c>
      <c r="H4" s="15">
        <v>35</v>
      </c>
      <c r="I4" s="15" t="s">
        <v>1</v>
      </c>
      <c r="J4" s="15">
        <v>20</v>
      </c>
      <c r="K4" s="15" t="s">
        <v>10</v>
      </c>
      <c r="L4" s="15">
        <f>SUM(H4*N4)</f>
        <v>2340.1</v>
      </c>
      <c r="M4" s="15">
        <f>J4*P4</f>
        <v>1300</v>
      </c>
      <c r="N4" s="15">
        <v>66.86</v>
      </c>
      <c r="O4" s="15" t="s">
        <v>146</v>
      </c>
      <c r="P4" s="15">
        <v>65</v>
      </c>
      <c r="Q4" s="15">
        <f>P4*N4</f>
        <v>4345.8999999999996</v>
      </c>
    </row>
    <row r="5" spans="2:17">
      <c r="B5" s="15" t="s">
        <v>56</v>
      </c>
      <c r="C5" s="15">
        <v>0</v>
      </c>
      <c r="D5" s="15">
        <v>0</v>
      </c>
      <c r="E5" s="15">
        <v>12</v>
      </c>
    </row>
    <row r="6" spans="2:17">
      <c r="B6" s="15" t="s">
        <v>55</v>
      </c>
      <c r="C6" s="15">
        <v>3</v>
      </c>
      <c r="D6" s="15">
        <v>3</v>
      </c>
      <c r="E6" s="15"/>
      <c r="G6" s="68" t="s">
        <v>307</v>
      </c>
      <c r="H6" s="69"/>
    </row>
    <row r="7" spans="2:17">
      <c r="B7" s="15" t="s">
        <v>67</v>
      </c>
      <c r="C7" s="15">
        <f>E14</f>
        <v>2347.1999999999998</v>
      </c>
      <c r="D7" s="15">
        <f>E20</f>
        <v>2347.1999999999998</v>
      </c>
      <c r="E7" s="15">
        <v>1440</v>
      </c>
      <c r="G7" s="14" t="s">
        <v>423</v>
      </c>
      <c r="H7" s="15">
        <f>Q4</f>
        <v>4345.8999999999996</v>
      </c>
    </row>
    <row r="8" spans="2:17">
      <c r="B8" s="68" t="s">
        <v>109</v>
      </c>
      <c r="C8" s="69"/>
      <c r="D8" s="69"/>
      <c r="E8" s="69"/>
    </row>
    <row r="9" spans="2:17">
      <c r="B9" s="70" t="s">
        <v>23</v>
      </c>
      <c r="C9" s="71"/>
      <c r="D9" s="71"/>
      <c r="E9" s="72"/>
      <c r="G9" s="73" t="s">
        <v>294</v>
      </c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2:17">
      <c r="B10" s="15" t="s">
        <v>110</v>
      </c>
      <c r="C10" s="15" t="s">
        <v>111</v>
      </c>
      <c r="D10" s="15" t="s">
        <v>293</v>
      </c>
      <c r="E10" s="15" t="s">
        <v>112</v>
      </c>
      <c r="G10" s="14" t="s">
        <v>59</v>
      </c>
      <c r="H10" s="16" t="s">
        <v>103</v>
      </c>
      <c r="I10" s="16" t="s">
        <v>145</v>
      </c>
      <c r="J10" s="16" t="s">
        <v>104</v>
      </c>
      <c r="K10" s="16" t="s">
        <v>147</v>
      </c>
      <c r="L10" s="16" t="s">
        <v>304</v>
      </c>
      <c r="M10" s="31" t="s">
        <v>305</v>
      </c>
      <c r="N10" s="16" t="s">
        <v>303</v>
      </c>
      <c r="O10" s="16" t="s">
        <v>348</v>
      </c>
      <c r="P10" s="16" t="s">
        <v>345</v>
      </c>
      <c r="Q10" s="31" t="s">
        <v>344</v>
      </c>
    </row>
    <row r="11" spans="2:17">
      <c r="B11" s="15">
        <v>120</v>
      </c>
      <c r="C11" s="15">
        <v>1.63</v>
      </c>
      <c r="D11" s="15">
        <v>4</v>
      </c>
      <c r="E11" s="15">
        <f>B11*C11*D11</f>
        <v>782.4</v>
      </c>
      <c r="G11" s="15" t="s">
        <v>391</v>
      </c>
      <c r="H11" s="15">
        <v>40</v>
      </c>
      <c r="I11" s="15" t="s">
        <v>146</v>
      </c>
      <c r="J11" s="15">
        <v>40</v>
      </c>
      <c r="K11" s="15" t="s">
        <v>7</v>
      </c>
      <c r="L11" s="15">
        <f>H11*N11</f>
        <v>2084.7999999999997</v>
      </c>
      <c r="M11" s="15">
        <f>J11*N11</f>
        <v>2084.7999999999997</v>
      </c>
      <c r="N11" s="15">
        <v>52.12</v>
      </c>
      <c r="O11" s="15" t="s">
        <v>62</v>
      </c>
      <c r="P11" s="15">
        <v>60</v>
      </c>
      <c r="Q11" s="15">
        <f>P11*N11</f>
        <v>3127.2</v>
      </c>
    </row>
    <row r="12" spans="2:17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17">
      <c r="B13" s="15">
        <v>120</v>
      </c>
      <c r="C13" s="15">
        <v>1.63</v>
      </c>
      <c r="D13" s="15">
        <v>4</v>
      </c>
      <c r="E13" s="15">
        <f>B13*C13*D13</f>
        <v>782.4</v>
      </c>
      <c r="G13" s="68" t="s">
        <v>307</v>
      </c>
      <c r="H13" s="69"/>
    </row>
    <row r="14" spans="2:17">
      <c r="B14" s="15" t="s">
        <v>105</v>
      </c>
      <c r="C14" s="15"/>
      <c r="D14" s="15"/>
      <c r="E14" s="15">
        <f>SUM(E11:E13)</f>
        <v>2347.1999999999998</v>
      </c>
      <c r="G14" s="14" t="s">
        <v>423</v>
      </c>
      <c r="H14" s="15">
        <f>H7-L11</f>
        <v>2261.1</v>
      </c>
    </row>
    <row r="15" spans="2:17">
      <c r="B15" s="70" t="s">
        <v>7</v>
      </c>
      <c r="C15" s="71"/>
      <c r="D15" s="71"/>
      <c r="E15" s="72"/>
      <c r="G15" s="14" t="s">
        <v>560</v>
      </c>
      <c r="H15" s="15">
        <f>Q11</f>
        <v>3127.2</v>
      </c>
    </row>
    <row r="16" spans="2:17">
      <c r="B16" s="15" t="s">
        <v>110</v>
      </c>
      <c r="C16" s="15" t="s">
        <v>111</v>
      </c>
      <c r="D16" s="15" t="s">
        <v>293</v>
      </c>
      <c r="E16" s="15" t="s">
        <v>112</v>
      </c>
    </row>
    <row r="17" spans="2:17">
      <c r="B17" s="15">
        <v>120</v>
      </c>
      <c r="C17" s="15">
        <v>1.63</v>
      </c>
      <c r="D17" s="15">
        <v>4</v>
      </c>
      <c r="E17" s="15">
        <f>B17*C17*D17</f>
        <v>782.4</v>
      </c>
    </row>
    <row r="18" spans="2:17">
      <c r="B18" s="15">
        <v>120</v>
      </c>
      <c r="C18" s="15">
        <v>1.63</v>
      </c>
      <c r="D18" s="15">
        <v>4</v>
      </c>
      <c r="E18" s="15">
        <f>B18*C18*D18</f>
        <v>782.4</v>
      </c>
      <c r="G18" s="73" t="s">
        <v>313</v>
      </c>
      <c r="H18" s="74"/>
      <c r="I18" s="74"/>
      <c r="J18" s="74"/>
      <c r="K18" s="74"/>
      <c r="L18" s="74"/>
      <c r="M18" s="74"/>
      <c r="N18" s="74"/>
    </row>
    <row r="19" spans="2:17">
      <c r="B19" s="15">
        <v>120</v>
      </c>
      <c r="C19" s="15">
        <v>1.63</v>
      </c>
      <c r="D19" s="15">
        <v>4</v>
      </c>
      <c r="E19" s="15">
        <f>B19*C19*D19</f>
        <v>782.4</v>
      </c>
      <c r="G19" s="14" t="s">
        <v>59</v>
      </c>
      <c r="H19" s="16" t="s">
        <v>103</v>
      </c>
      <c r="I19" s="16" t="s">
        <v>145</v>
      </c>
      <c r="J19" s="16" t="s">
        <v>304</v>
      </c>
      <c r="K19" s="16" t="s">
        <v>303</v>
      </c>
      <c r="L19" s="16" t="s">
        <v>348</v>
      </c>
      <c r="M19" s="16" t="s">
        <v>345</v>
      </c>
      <c r="N19" s="31" t="s">
        <v>344</v>
      </c>
    </row>
    <row r="20" spans="2:17">
      <c r="B20" s="15" t="s">
        <v>105</v>
      </c>
      <c r="C20" s="15"/>
      <c r="D20" s="15"/>
      <c r="E20" s="15">
        <f>SUM(E17:E19)</f>
        <v>2347.1999999999998</v>
      </c>
      <c r="G20" s="15" t="s">
        <v>315</v>
      </c>
      <c r="H20" s="15">
        <v>12.5</v>
      </c>
      <c r="I20" s="15" t="s">
        <v>1</v>
      </c>
      <c r="J20" s="15">
        <f>SUM(H20*K20)</f>
        <v>2260.875</v>
      </c>
      <c r="K20" s="15">
        <v>180.87</v>
      </c>
      <c r="L20" s="15" t="s">
        <v>120</v>
      </c>
      <c r="M20" s="15">
        <v>22.5</v>
      </c>
      <c r="N20" s="15">
        <f>M20*K20</f>
        <v>4069.5750000000003</v>
      </c>
    </row>
    <row r="21" spans="2:17">
      <c r="G21" s="15" t="s">
        <v>6</v>
      </c>
      <c r="H21" s="15">
        <v>30</v>
      </c>
      <c r="I21" s="15" t="s">
        <v>62</v>
      </c>
      <c r="J21" s="15">
        <f>SUM(H21*K21)</f>
        <v>2289</v>
      </c>
      <c r="K21" s="15">
        <v>76.3</v>
      </c>
      <c r="L21" s="15" t="s">
        <v>6</v>
      </c>
      <c r="M21" s="15">
        <v>20</v>
      </c>
      <c r="N21" s="15">
        <f>M21*K21</f>
        <v>1526</v>
      </c>
    </row>
    <row r="22" spans="2:17">
      <c r="G22" s="15" t="s">
        <v>561</v>
      </c>
      <c r="H22" s="15">
        <v>12</v>
      </c>
      <c r="I22" s="15" t="s">
        <v>62</v>
      </c>
      <c r="J22" s="15">
        <f>SUM(H22*K22)</f>
        <v>330.12</v>
      </c>
      <c r="K22" s="15">
        <v>27.51</v>
      </c>
      <c r="L22" s="15" t="s">
        <v>398</v>
      </c>
      <c r="M22" s="15">
        <v>48</v>
      </c>
      <c r="N22" s="15">
        <f>M22*K22</f>
        <v>1320.48</v>
      </c>
    </row>
    <row r="23" spans="2:17">
      <c r="G23" s="15" t="s">
        <v>409</v>
      </c>
      <c r="H23" s="15">
        <v>60</v>
      </c>
      <c r="I23" s="15" t="s">
        <v>62</v>
      </c>
      <c r="J23" s="15">
        <f>SUM(H23*K23)</f>
        <v>508.20000000000005</v>
      </c>
      <c r="K23" s="15">
        <v>8.4700000000000006</v>
      </c>
      <c r="L23" s="15" t="s">
        <v>409</v>
      </c>
      <c r="M23" s="15">
        <v>15</v>
      </c>
      <c r="N23" s="15">
        <f>M23*K23</f>
        <v>127.05000000000001</v>
      </c>
    </row>
    <row r="24" spans="2:17">
      <c r="B24" s="75" t="s">
        <v>614</v>
      </c>
      <c r="C24" s="76"/>
      <c r="G24" s="15" t="s">
        <v>562</v>
      </c>
      <c r="H24" s="15">
        <v>5</v>
      </c>
      <c r="I24" s="15" t="s">
        <v>409</v>
      </c>
      <c r="J24" s="15">
        <f>H24*M24</f>
        <v>127</v>
      </c>
      <c r="K24" s="15">
        <v>260</v>
      </c>
      <c r="L24" s="15" t="s">
        <v>563</v>
      </c>
      <c r="M24" s="15">
        <v>25.4</v>
      </c>
      <c r="N24" s="15">
        <f>M24*K24</f>
        <v>6604</v>
      </c>
    </row>
    <row r="25" spans="2:17">
      <c r="B25" s="14" t="s">
        <v>146</v>
      </c>
      <c r="C25" s="15">
        <f>GrasslandRegionalProduction!J62</f>
        <v>3988.875</v>
      </c>
    </row>
    <row r="26" spans="2:17">
      <c r="G26" s="68" t="s">
        <v>316</v>
      </c>
      <c r="H26" s="69"/>
    </row>
    <row r="27" spans="2:17">
      <c r="G27" s="14" t="s">
        <v>120</v>
      </c>
      <c r="H27" s="15">
        <f>N20</f>
        <v>4069.5750000000003</v>
      </c>
    </row>
    <row r="28" spans="2:17">
      <c r="G28" s="14" t="s">
        <v>72</v>
      </c>
      <c r="H28" s="15">
        <f>N21</f>
        <v>1526</v>
      </c>
    </row>
    <row r="29" spans="2:17">
      <c r="G29" s="14" t="s">
        <v>564</v>
      </c>
      <c r="H29" s="15">
        <f>N22</f>
        <v>1320.48</v>
      </c>
    </row>
    <row r="30" spans="2:17">
      <c r="G30" s="14" t="s">
        <v>400</v>
      </c>
      <c r="H30" s="15">
        <f>N24</f>
        <v>6604</v>
      </c>
    </row>
    <row r="32" spans="2:17">
      <c r="G32" s="73" t="s">
        <v>318</v>
      </c>
      <c r="H32" s="74"/>
      <c r="I32" s="74"/>
      <c r="J32" s="74"/>
      <c r="K32" s="74"/>
      <c r="L32" s="74"/>
      <c r="M32" s="74"/>
      <c r="N32" s="74"/>
      <c r="O32" s="74"/>
      <c r="P32" s="74"/>
      <c r="Q32" s="74"/>
    </row>
    <row r="33" spans="7:17">
      <c r="G33" s="14" t="s">
        <v>59</v>
      </c>
      <c r="H33" s="16" t="s">
        <v>103</v>
      </c>
      <c r="I33" s="16" t="s">
        <v>145</v>
      </c>
      <c r="J33" s="16" t="s">
        <v>104</v>
      </c>
      <c r="K33" s="16" t="s">
        <v>147</v>
      </c>
      <c r="L33" s="16" t="s">
        <v>304</v>
      </c>
      <c r="M33" s="31" t="s">
        <v>305</v>
      </c>
      <c r="N33" s="16" t="s">
        <v>303</v>
      </c>
      <c r="O33" s="16" t="s">
        <v>348</v>
      </c>
      <c r="P33" s="16" t="s">
        <v>345</v>
      </c>
      <c r="Q33" s="31" t="s">
        <v>344</v>
      </c>
    </row>
    <row r="34" spans="7:17">
      <c r="G34" s="15" t="s">
        <v>178</v>
      </c>
      <c r="H34" s="15">
        <v>20</v>
      </c>
      <c r="I34" s="15" t="s">
        <v>564</v>
      </c>
      <c r="J34" s="15">
        <v>100</v>
      </c>
      <c r="K34" s="15" t="s">
        <v>400</v>
      </c>
      <c r="L34" s="15">
        <f>H34*N34</f>
        <v>1320.6</v>
      </c>
      <c r="M34" s="15">
        <f>J34*N34</f>
        <v>6603</v>
      </c>
      <c r="N34" s="15">
        <v>66.03</v>
      </c>
      <c r="O34" s="15" t="s">
        <v>178</v>
      </c>
      <c r="P34" s="15">
        <v>4</v>
      </c>
      <c r="Q34" s="15">
        <f>P34*N34</f>
        <v>264.12</v>
      </c>
    </row>
    <row r="35" spans="7:17">
      <c r="G35" s="15" t="s">
        <v>179</v>
      </c>
      <c r="H35" s="15">
        <v>15</v>
      </c>
      <c r="I35" s="15" t="s">
        <v>6</v>
      </c>
      <c r="J35" s="15">
        <v>40</v>
      </c>
      <c r="K35" s="15" t="s">
        <v>120</v>
      </c>
      <c r="L35" s="15">
        <f>H35*N35</f>
        <v>1526.1</v>
      </c>
      <c r="M35" s="15">
        <f>J35*N35</f>
        <v>4069.6</v>
      </c>
      <c r="N35" s="15">
        <v>101.74</v>
      </c>
      <c r="O35" s="15" t="s">
        <v>179</v>
      </c>
      <c r="P35" s="15">
        <v>5</v>
      </c>
      <c r="Q35" s="15">
        <f>P35*N35</f>
        <v>508.7</v>
      </c>
    </row>
    <row r="36" spans="7:17">
      <c r="G36" s="15" t="s">
        <v>516</v>
      </c>
      <c r="H36" s="15">
        <v>10</v>
      </c>
      <c r="I36" s="15" t="s">
        <v>178</v>
      </c>
      <c r="J36" s="15">
        <v>10</v>
      </c>
      <c r="K36" s="15" t="s">
        <v>179</v>
      </c>
      <c r="L36" s="15">
        <f>H36*N36</f>
        <v>264.10000000000002</v>
      </c>
      <c r="M36" s="15">
        <f>J36*N36</f>
        <v>264.10000000000002</v>
      </c>
      <c r="N36" s="15">
        <v>26.41</v>
      </c>
      <c r="O36" s="15" t="s">
        <v>516</v>
      </c>
      <c r="P36" s="15">
        <v>5</v>
      </c>
      <c r="Q36" s="15">
        <f>P36*N36</f>
        <v>132.05000000000001</v>
      </c>
    </row>
    <row r="38" spans="7:17">
      <c r="G38" s="68" t="s">
        <v>334</v>
      </c>
      <c r="H38" s="69"/>
      <c r="J38" s="68" t="s">
        <v>335</v>
      </c>
      <c r="K38" s="69"/>
    </row>
    <row r="39" spans="7:17">
      <c r="G39" s="14" t="s">
        <v>20</v>
      </c>
      <c r="H39" s="52">
        <f>Q35-M36</f>
        <v>244.59999999999997</v>
      </c>
      <c r="J39" s="14" t="s">
        <v>178</v>
      </c>
      <c r="K39" s="15">
        <f>Q34-L36</f>
        <v>1.999999999998181E-2</v>
      </c>
    </row>
    <row r="40" spans="7:17">
      <c r="G40" s="14" t="s">
        <v>12</v>
      </c>
      <c r="H40" s="52">
        <f>Q36</f>
        <v>132.05000000000001</v>
      </c>
      <c r="J40" s="14" t="s">
        <v>1</v>
      </c>
      <c r="K40" s="15">
        <f>C7-L4</f>
        <v>7.0999999999999091</v>
      </c>
    </row>
    <row r="41" spans="7:17">
      <c r="J41" s="14" t="s">
        <v>7</v>
      </c>
      <c r="K41" s="15">
        <f>D7-M11</f>
        <v>262.40000000000009</v>
      </c>
    </row>
    <row r="42" spans="7:17">
      <c r="J42" s="14" t="s">
        <v>10</v>
      </c>
      <c r="K42" s="15">
        <f>E7-M4</f>
        <v>140</v>
      </c>
    </row>
    <row r="43" spans="7:17">
      <c r="J43" s="14" t="s">
        <v>146</v>
      </c>
      <c r="K43" s="15">
        <f>H14-J20</f>
        <v>0.22499999999990905</v>
      </c>
    </row>
    <row r="44" spans="7:17">
      <c r="J44" s="14" t="s">
        <v>62</v>
      </c>
      <c r="K44" s="15">
        <f>SUM(H15-J21-J22-J23)</f>
        <v>-0.12000000000023192</v>
      </c>
    </row>
    <row r="45" spans="7:17">
      <c r="J45" s="14" t="s">
        <v>409</v>
      </c>
      <c r="K45" s="15">
        <f>N23-J24</f>
        <v>5.0000000000011369E-2</v>
      </c>
    </row>
  </sheetData>
  <mergeCells count="14">
    <mergeCell ref="B2:E2"/>
    <mergeCell ref="G2:Q2"/>
    <mergeCell ref="G6:H6"/>
    <mergeCell ref="G9:Q9"/>
    <mergeCell ref="G13:H13"/>
    <mergeCell ref="B8:E8"/>
    <mergeCell ref="B9:E9"/>
    <mergeCell ref="G26:H26"/>
    <mergeCell ref="G32:Q32"/>
    <mergeCell ref="G38:H38"/>
    <mergeCell ref="J38:K38"/>
    <mergeCell ref="B15:E15"/>
    <mergeCell ref="G18:N18"/>
    <mergeCell ref="B24:C24"/>
  </mergeCell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F34" zoomScale="205" zoomScaleNormal="205" workbookViewId="0">
      <selection activeCell="M48" sqref="M48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88" t="s">
        <v>190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16.5" customHeight="1" thickTop="1" thickBo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16.5" customHeight="1" thickTop="1" thickBo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15.75" thickTop="1"/>
    <row r="19" ht="9.75" customHeight="1"/>
    <row r="39" spans="25:52" ht="12" customHeight="1"/>
    <row r="42" spans="25:52"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25:52"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25:52"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J67" sqref="J66:J67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90" t="s">
        <v>61</v>
      </c>
      <c r="D3" s="90"/>
    </row>
    <row r="4" spans="3:4" ht="15.75" thickTop="1">
      <c r="C4" s="91" t="s">
        <v>60</v>
      </c>
      <c r="D4" s="91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91" t="s">
        <v>54</v>
      </c>
      <c r="D10" s="91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91" t="s">
        <v>52</v>
      </c>
      <c r="D17" s="91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3:N131"/>
  <sheetViews>
    <sheetView topLeftCell="E1" zoomScale="70" zoomScaleNormal="70" workbookViewId="0">
      <selection activeCell="L14" activeCellId="1" sqref="L13 L14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6" width="6.42578125" bestFit="1" customWidth="1"/>
    <col min="7" max="7" width="38.5703125" bestFit="1" customWidth="1"/>
    <col min="8" max="8" width="6.7109375" bestFit="1" customWidth="1"/>
    <col min="9" max="9" width="35.7109375" bestFit="1" customWidth="1"/>
    <col min="10" max="10" width="4.28515625" customWidth="1"/>
    <col min="11" max="11" width="4.140625" customWidth="1"/>
    <col min="12" max="12" width="40.7109375" bestFit="1" customWidth="1"/>
    <col min="14" max="14" width="40.7109375" bestFit="1" customWidth="1"/>
  </cols>
  <sheetData>
    <row r="3" spans="2:14" ht="52.5" customHeight="1">
      <c r="B3" s="92" t="s">
        <v>452</v>
      </c>
      <c r="C3" s="92"/>
      <c r="D3" s="92"/>
      <c r="G3" s="92" t="s">
        <v>453</v>
      </c>
      <c r="H3" s="92"/>
      <c r="I3" s="92"/>
      <c r="L3" s="92" t="s">
        <v>553</v>
      </c>
      <c r="M3" s="92"/>
      <c r="N3" s="92"/>
    </row>
    <row r="4" spans="2:14" ht="21">
      <c r="B4" s="40" t="s">
        <v>221</v>
      </c>
      <c r="D4" s="40" t="s">
        <v>222</v>
      </c>
      <c r="G4" s="40" t="s">
        <v>551</v>
      </c>
      <c r="I4" s="40" t="s">
        <v>451</v>
      </c>
      <c r="L4" s="40" t="s">
        <v>554</v>
      </c>
    </row>
    <row r="5" spans="2:14" ht="18.75">
      <c r="B5" s="39" t="s">
        <v>142</v>
      </c>
      <c r="D5" s="41" t="s">
        <v>133</v>
      </c>
      <c r="G5" s="41" t="s">
        <v>133</v>
      </c>
      <c r="I5" s="39" t="s">
        <v>132</v>
      </c>
      <c r="L5" s="26" t="s">
        <v>211</v>
      </c>
    </row>
    <row r="6" spans="2:14" ht="21">
      <c r="B6" s="26" t="s">
        <v>88</v>
      </c>
      <c r="C6" s="19" t="s">
        <v>134</v>
      </c>
      <c r="D6" s="26" t="s">
        <v>88</v>
      </c>
      <c r="G6" s="25" t="s">
        <v>138</v>
      </c>
      <c r="I6" s="26" t="s">
        <v>76</v>
      </c>
      <c r="L6" s="40" t="s">
        <v>555</v>
      </c>
    </row>
    <row r="7" spans="2:14" ht="18.75">
      <c r="B7" s="26" t="s">
        <v>76</v>
      </c>
      <c r="C7" s="19" t="s">
        <v>134</v>
      </c>
      <c r="D7" s="26" t="s">
        <v>76</v>
      </c>
      <c r="G7" s="24" t="s">
        <v>121</v>
      </c>
      <c r="I7" s="26" t="s">
        <v>127</v>
      </c>
      <c r="L7" s="25" t="s">
        <v>462</v>
      </c>
    </row>
    <row r="8" spans="2:14" ht="18.75">
      <c r="B8" s="26" t="s">
        <v>127</v>
      </c>
      <c r="C8" s="19" t="s">
        <v>134</v>
      </c>
      <c r="D8" s="26" t="s">
        <v>127</v>
      </c>
      <c r="G8" s="24" t="s">
        <v>121</v>
      </c>
      <c r="I8" s="54" t="s">
        <v>217</v>
      </c>
      <c r="L8" s="27" t="s">
        <v>12</v>
      </c>
    </row>
    <row r="9" spans="2:14" ht="18.75">
      <c r="B9" s="54" t="s">
        <v>217</v>
      </c>
      <c r="C9" s="19" t="s">
        <v>134</v>
      </c>
      <c r="D9" s="54" t="s">
        <v>217</v>
      </c>
      <c r="G9" s="25" t="s">
        <v>20</v>
      </c>
      <c r="L9" s="26" t="s">
        <v>88</v>
      </c>
    </row>
    <row r="10" spans="2:14" ht="18.75">
      <c r="B10" s="54" t="s">
        <v>216</v>
      </c>
      <c r="C10" s="19" t="s">
        <v>134</v>
      </c>
      <c r="D10" s="54" t="s">
        <v>216</v>
      </c>
      <c r="G10" s="23" t="s">
        <v>14</v>
      </c>
      <c r="L10" s="26" t="s">
        <v>76</v>
      </c>
      <c r="N10" t="s">
        <v>568</v>
      </c>
    </row>
    <row r="11" spans="2:14" ht="18.75">
      <c r="B11" s="54" t="s">
        <v>218</v>
      </c>
      <c r="C11" s="19" t="s">
        <v>134</v>
      </c>
      <c r="D11" s="54" t="s">
        <v>218</v>
      </c>
      <c r="G11" s="23" t="s">
        <v>18</v>
      </c>
      <c r="L11" s="26" t="s">
        <v>127</v>
      </c>
    </row>
    <row r="12" spans="2:14" ht="18.75">
      <c r="L12" s="54" t="s">
        <v>217</v>
      </c>
    </row>
    <row r="13" spans="2:14" ht="21">
      <c r="B13" s="40" t="s">
        <v>214</v>
      </c>
      <c r="D13" s="40" t="s">
        <v>215</v>
      </c>
      <c r="G13" s="40" t="s">
        <v>552</v>
      </c>
      <c r="I13" s="40" t="s">
        <v>443</v>
      </c>
      <c r="L13" s="25" t="s">
        <v>20</v>
      </c>
    </row>
    <row r="14" spans="2:14" ht="18.75">
      <c r="B14" s="39" t="s">
        <v>132</v>
      </c>
      <c r="D14" s="41" t="s">
        <v>133</v>
      </c>
      <c r="G14" s="41" t="s">
        <v>133</v>
      </c>
      <c r="I14" s="39" t="s">
        <v>132</v>
      </c>
      <c r="L14" s="24" t="s">
        <v>120</v>
      </c>
    </row>
    <row r="15" spans="2:14" ht="18.75">
      <c r="B15" s="25" t="s">
        <v>126</v>
      </c>
      <c r="C15" s="19" t="s">
        <v>134</v>
      </c>
      <c r="D15" s="25" t="s">
        <v>126</v>
      </c>
      <c r="G15" s="23" t="s">
        <v>442</v>
      </c>
      <c r="I15" s="24" t="s">
        <v>19</v>
      </c>
      <c r="L15" s="26" t="s">
        <v>460</v>
      </c>
    </row>
    <row r="16" spans="2:14" ht="18.75">
      <c r="B16" s="25" t="s">
        <v>125</v>
      </c>
      <c r="C16" s="19" t="s">
        <v>134</v>
      </c>
      <c r="D16" s="25" t="s">
        <v>125</v>
      </c>
      <c r="G16" s="24" t="s">
        <v>122</v>
      </c>
      <c r="I16" s="24" t="s">
        <v>19</v>
      </c>
      <c r="L16" s="54" t="s">
        <v>229</v>
      </c>
    </row>
    <row r="17" spans="2:14" ht="18.75">
      <c r="B17" s="25" t="s">
        <v>124</v>
      </c>
      <c r="C17" s="19" t="s">
        <v>134</v>
      </c>
      <c r="D17" s="25" t="s">
        <v>124</v>
      </c>
      <c r="G17" s="24" t="s">
        <v>120</v>
      </c>
      <c r="I17" s="23" t="s">
        <v>16</v>
      </c>
      <c r="L17" s="54" t="s">
        <v>556</v>
      </c>
    </row>
    <row r="18" spans="2:14" ht="18.75">
      <c r="B18" s="27" t="s">
        <v>12</v>
      </c>
      <c r="C18" s="19" t="s">
        <v>134</v>
      </c>
      <c r="D18" s="27" t="s">
        <v>12</v>
      </c>
      <c r="I18" s="25" t="s">
        <v>138</v>
      </c>
      <c r="L18" s="54" t="s">
        <v>218</v>
      </c>
      <c r="N18" s="54" t="s">
        <v>567</v>
      </c>
    </row>
    <row r="19" spans="2:14" ht="18.75">
      <c r="B19" s="25" t="s">
        <v>80</v>
      </c>
      <c r="C19" s="19" t="s">
        <v>134</v>
      </c>
      <c r="D19" s="25" t="s">
        <v>80</v>
      </c>
      <c r="I19" s="25" t="s">
        <v>20</v>
      </c>
      <c r="L19" s="54" t="s">
        <v>525</v>
      </c>
    </row>
    <row r="20" spans="2:14" ht="18.75">
      <c r="B20" s="25" t="s">
        <v>20</v>
      </c>
      <c r="C20" s="19" t="s">
        <v>134</v>
      </c>
      <c r="D20" s="25" t="s">
        <v>20</v>
      </c>
      <c r="L20" s="44" t="s">
        <v>287</v>
      </c>
    </row>
    <row r="21" spans="2:14" ht="21">
      <c r="G21" s="40" t="s">
        <v>566</v>
      </c>
      <c r="I21" s="40" t="s">
        <v>457</v>
      </c>
      <c r="L21" s="24" t="s">
        <v>532</v>
      </c>
    </row>
    <row r="22" spans="2:14" ht="21">
      <c r="B22" s="40" t="s">
        <v>212</v>
      </c>
      <c r="D22" s="40" t="s">
        <v>213</v>
      </c>
      <c r="G22" s="41" t="s">
        <v>133</v>
      </c>
      <c r="I22" s="39" t="s">
        <v>132</v>
      </c>
    </row>
    <row r="23" spans="2:14" ht="18.75">
      <c r="B23" s="39" t="s">
        <v>132</v>
      </c>
      <c r="D23" s="41" t="s">
        <v>133</v>
      </c>
      <c r="G23" s="23" t="s">
        <v>18</v>
      </c>
      <c r="I23" s="25" t="s">
        <v>462</v>
      </c>
    </row>
    <row r="24" spans="2:14" ht="18.75">
      <c r="B24" s="24" t="s">
        <v>225</v>
      </c>
      <c r="C24" s="19" t="s">
        <v>134</v>
      </c>
      <c r="D24" s="24" t="s">
        <v>225</v>
      </c>
      <c r="G24" s="24" t="s">
        <v>3</v>
      </c>
      <c r="I24" s="24" t="s">
        <v>43</v>
      </c>
    </row>
    <row r="25" spans="2:14" ht="18.75">
      <c r="B25" s="24" t="s">
        <v>122</v>
      </c>
      <c r="C25" s="19" t="s">
        <v>134</v>
      </c>
      <c r="D25" s="24" t="s">
        <v>122</v>
      </c>
      <c r="G25" s="23" t="s">
        <v>16</v>
      </c>
      <c r="I25" s="24" t="s">
        <v>532</v>
      </c>
    </row>
    <row r="26" spans="2:14" ht="18.75">
      <c r="B26" s="24" t="s">
        <v>123</v>
      </c>
      <c r="C26" s="19" t="s">
        <v>134</v>
      </c>
      <c r="D26" s="24" t="s">
        <v>123</v>
      </c>
      <c r="G26" s="25" t="s">
        <v>462</v>
      </c>
    </row>
    <row r="27" spans="2:14" ht="18.75">
      <c r="B27" s="24" t="s">
        <v>120</v>
      </c>
      <c r="C27" s="19" t="s">
        <v>134</v>
      </c>
      <c r="D27" s="24" t="s">
        <v>120</v>
      </c>
      <c r="G27" s="54" t="s">
        <v>217</v>
      </c>
    </row>
    <row r="28" spans="2:14" ht="18.75">
      <c r="B28" s="24" t="s">
        <v>121</v>
      </c>
      <c r="C28" s="19" t="s">
        <v>134</v>
      </c>
      <c r="D28" s="24" t="s">
        <v>121</v>
      </c>
    </row>
    <row r="29" spans="2:14" ht="18.75">
      <c r="B29" s="24" t="s">
        <v>119</v>
      </c>
      <c r="C29" s="19" t="s">
        <v>134</v>
      </c>
      <c r="D29" s="24" t="s">
        <v>119</v>
      </c>
    </row>
    <row r="31" spans="2:14" ht="41.25" customHeight="1">
      <c r="B31" s="40" t="s">
        <v>209</v>
      </c>
      <c r="D31" s="40" t="s">
        <v>210</v>
      </c>
    </row>
    <row r="32" spans="2:14" ht="18.75">
      <c r="B32" s="39" t="s">
        <v>132</v>
      </c>
      <c r="D32" s="41" t="s">
        <v>133</v>
      </c>
    </row>
    <row r="33" spans="2:4" ht="18.75">
      <c r="B33" s="23" t="s">
        <v>14</v>
      </c>
      <c r="C33" s="19" t="s">
        <v>134</v>
      </c>
      <c r="D33" s="23" t="s">
        <v>14</v>
      </c>
    </row>
    <row r="34" spans="2:4" ht="18.75">
      <c r="B34" s="23" t="s">
        <v>11</v>
      </c>
      <c r="C34" s="19" t="s">
        <v>134</v>
      </c>
      <c r="D34" s="23" t="s">
        <v>11</v>
      </c>
    </row>
    <row r="35" spans="2:4" ht="18.75">
      <c r="B35" s="23" t="s">
        <v>131</v>
      </c>
      <c r="C35" s="19" t="s">
        <v>134</v>
      </c>
      <c r="D35" s="23" t="s">
        <v>131</v>
      </c>
    </row>
    <row r="36" spans="2:4" ht="18.75">
      <c r="B36" s="26" t="s">
        <v>211</v>
      </c>
      <c r="D36" s="26" t="s">
        <v>211</v>
      </c>
    </row>
    <row r="37" spans="2:4" ht="18.75">
      <c r="B37" s="23" t="s">
        <v>118</v>
      </c>
      <c r="C37" s="19" t="s">
        <v>134</v>
      </c>
      <c r="D37" s="23" t="s">
        <v>118</v>
      </c>
    </row>
    <row r="38" spans="2:4" ht="18.75">
      <c r="B38" s="24" t="s">
        <v>371</v>
      </c>
      <c r="C38" s="19" t="s">
        <v>134</v>
      </c>
      <c r="D38" s="24" t="s">
        <v>371</v>
      </c>
    </row>
    <row r="40" spans="2:4" ht="21">
      <c r="B40" s="40" t="s">
        <v>206</v>
      </c>
      <c r="D40" s="40" t="s">
        <v>208</v>
      </c>
    </row>
    <row r="41" spans="2:4" ht="18.75">
      <c r="B41" s="39" t="s">
        <v>132</v>
      </c>
      <c r="D41" s="41" t="s">
        <v>133</v>
      </c>
    </row>
    <row r="42" spans="2:4" ht="18.75">
      <c r="B42" s="23" t="s">
        <v>113</v>
      </c>
      <c r="C42" s="19" t="s">
        <v>134</v>
      </c>
      <c r="D42" s="23" t="s">
        <v>113</v>
      </c>
    </row>
    <row r="43" spans="2:4" ht="18.75">
      <c r="B43" s="23" t="s">
        <v>114</v>
      </c>
      <c r="C43" s="19" t="s">
        <v>134</v>
      </c>
      <c r="D43" s="23" t="s">
        <v>114</v>
      </c>
    </row>
    <row r="44" spans="2:4" ht="18.75">
      <c r="B44" s="23" t="s">
        <v>115</v>
      </c>
      <c r="C44" s="19" t="s">
        <v>134</v>
      </c>
      <c r="D44" s="23" t="s">
        <v>115</v>
      </c>
    </row>
    <row r="45" spans="2:4" ht="18.75">
      <c r="B45" s="23" t="s">
        <v>116</v>
      </c>
      <c r="C45" s="19" t="s">
        <v>134</v>
      </c>
      <c r="D45" s="23" t="s">
        <v>116</v>
      </c>
    </row>
    <row r="46" spans="2:4" ht="18.75">
      <c r="B46" s="23" t="s">
        <v>16</v>
      </c>
      <c r="C46" s="19" t="s">
        <v>134</v>
      </c>
      <c r="D46" s="23" t="s">
        <v>16</v>
      </c>
    </row>
    <row r="47" spans="2:4" ht="18.75">
      <c r="B47" s="23" t="s">
        <v>18</v>
      </c>
      <c r="C47" s="19" t="s">
        <v>134</v>
      </c>
      <c r="D47" s="23" t="s">
        <v>18</v>
      </c>
    </row>
    <row r="49" spans="2:4" ht="21">
      <c r="B49" s="40" t="s">
        <v>198</v>
      </c>
    </row>
    <row r="50" spans="2:4" ht="18.75">
      <c r="B50" s="41" t="s">
        <v>133</v>
      </c>
    </row>
    <row r="51" spans="2:4" ht="21">
      <c r="B51" s="25" t="s">
        <v>126</v>
      </c>
      <c r="D51" s="40" t="s">
        <v>428</v>
      </c>
    </row>
    <row r="52" spans="2:4" ht="21">
      <c r="B52" s="23" t="s">
        <v>14</v>
      </c>
      <c r="D52" s="40" t="s">
        <v>429</v>
      </c>
    </row>
    <row r="53" spans="2:4" ht="21">
      <c r="B53" s="24" t="s">
        <v>121</v>
      </c>
      <c r="D53" s="40" t="s">
        <v>430</v>
      </c>
    </row>
    <row r="55" spans="2:4" ht="21">
      <c r="B55" s="40" t="s">
        <v>199</v>
      </c>
    </row>
    <row r="56" spans="2:4" ht="18.75">
      <c r="B56" s="41" t="s">
        <v>133</v>
      </c>
    </row>
    <row r="57" spans="2:4" ht="21">
      <c r="B57" s="25" t="s">
        <v>139</v>
      </c>
      <c r="D57" s="40" t="s">
        <v>428</v>
      </c>
    </row>
    <row r="58" spans="2:4" ht="21">
      <c r="B58" s="25" t="s">
        <v>140</v>
      </c>
      <c r="D58" s="40" t="s">
        <v>428</v>
      </c>
    </row>
    <row r="59" spans="2:4" ht="21">
      <c r="B59" s="24" t="s">
        <v>141</v>
      </c>
      <c r="D59" s="40" t="s">
        <v>430</v>
      </c>
    </row>
    <row r="60" spans="2:4" ht="21">
      <c r="B60" s="23" t="s">
        <v>16</v>
      </c>
      <c r="D60" s="40" t="s">
        <v>431</v>
      </c>
    </row>
    <row r="62" spans="2:4" ht="21">
      <c r="B62" s="40" t="s">
        <v>200</v>
      </c>
    </row>
    <row r="63" spans="2:4" ht="18.75">
      <c r="B63" s="41" t="s">
        <v>133</v>
      </c>
    </row>
    <row r="64" spans="2:4" ht="21">
      <c r="B64" s="23" t="s">
        <v>18</v>
      </c>
      <c r="D64" s="40" t="s">
        <v>431</v>
      </c>
    </row>
    <row r="65" spans="2:4" ht="21">
      <c r="B65" s="24" t="s">
        <v>121</v>
      </c>
      <c r="D65" s="40" t="s">
        <v>430</v>
      </c>
    </row>
    <row r="66" spans="2:4" ht="21">
      <c r="B66" s="25" t="s">
        <v>137</v>
      </c>
      <c r="D66" s="40" t="s">
        <v>428</v>
      </c>
    </row>
    <row r="68" spans="2:4" ht="21">
      <c r="B68" s="40" t="s">
        <v>207</v>
      </c>
      <c r="D68" s="40" t="s">
        <v>432</v>
      </c>
    </row>
    <row r="69" spans="2:4" ht="18.75">
      <c r="B69" s="39" t="s">
        <v>132</v>
      </c>
      <c r="D69" s="41" t="s">
        <v>133</v>
      </c>
    </row>
    <row r="70" spans="2:4" ht="18.75">
      <c r="B70" s="23" t="s">
        <v>113</v>
      </c>
      <c r="C70" s="19" t="s">
        <v>134</v>
      </c>
      <c r="D70" s="23" t="s">
        <v>113</v>
      </c>
    </row>
    <row r="71" spans="2:4" ht="18.75">
      <c r="B71" s="23" t="s">
        <v>114</v>
      </c>
      <c r="C71" s="19" t="s">
        <v>134</v>
      </c>
      <c r="D71" s="23" t="s">
        <v>114</v>
      </c>
    </row>
    <row r="72" spans="2:4" ht="18.75">
      <c r="B72" s="23" t="s">
        <v>115</v>
      </c>
      <c r="C72" s="19" t="s">
        <v>134</v>
      </c>
      <c r="D72" s="23" t="s">
        <v>115</v>
      </c>
    </row>
    <row r="73" spans="2:4" ht="18.75">
      <c r="B73" s="23" t="s">
        <v>116</v>
      </c>
      <c r="C73" s="19" t="s">
        <v>134</v>
      </c>
      <c r="D73" s="23" t="s">
        <v>116</v>
      </c>
    </row>
    <row r="74" spans="2:4" ht="18.75">
      <c r="B74" s="23" t="s">
        <v>16</v>
      </c>
      <c r="C74" s="19" t="s">
        <v>134</v>
      </c>
      <c r="D74" s="23" t="s">
        <v>16</v>
      </c>
    </row>
    <row r="75" spans="2:4" ht="18.75">
      <c r="B75" s="23" t="s">
        <v>18</v>
      </c>
      <c r="C75" s="19" t="s">
        <v>134</v>
      </c>
      <c r="D75" s="23" t="s">
        <v>18</v>
      </c>
    </row>
    <row r="77" spans="2:4" ht="21">
      <c r="B77" s="40" t="s">
        <v>220</v>
      </c>
      <c r="D77" s="40" t="s">
        <v>219</v>
      </c>
    </row>
    <row r="78" spans="2:4" ht="18.75">
      <c r="B78" s="39" t="s">
        <v>132</v>
      </c>
      <c r="D78" s="41" t="s">
        <v>133</v>
      </c>
    </row>
    <row r="79" spans="2:4" ht="18.75">
      <c r="B79" s="23" t="s">
        <v>17</v>
      </c>
      <c r="C79" s="19" t="s">
        <v>134</v>
      </c>
      <c r="D79" s="23" t="s">
        <v>17</v>
      </c>
    </row>
    <row r="80" spans="2:4" ht="18.75">
      <c r="B80" s="23" t="s">
        <v>117</v>
      </c>
      <c r="C80" s="19" t="s">
        <v>134</v>
      </c>
      <c r="D80" s="23" t="s">
        <v>117</v>
      </c>
    </row>
    <row r="82" spans="2:5" ht="21">
      <c r="B82" s="40" t="s">
        <v>426</v>
      </c>
    </row>
    <row r="83" spans="2:5" ht="18.75">
      <c r="B83" s="39" t="s">
        <v>132</v>
      </c>
    </row>
    <row r="84" spans="2:5" ht="21">
      <c r="B84" s="23" t="s">
        <v>72</v>
      </c>
      <c r="C84" s="19" t="s">
        <v>134</v>
      </c>
      <c r="D84" s="40" t="s">
        <v>213</v>
      </c>
    </row>
    <row r="85" spans="2:5" ht="21">
      <c r="B85" s="23" t="s">
        <v>143</v>
      </c>
      <c r="C85" s="19" t="s">
        <v>134</v>
      </c>
      <c r="D85" s="40" t="s">
        <v>222</v>
      </c>
    </row>
    <row r="86" spans="2:5" ht="21">
      <c r="B86" s="23" t="s">
        <v>225</v>
      </c>
      <c r="C86" s="19" t="s">
        <v>134</v>
      </c>
      <c r="D86" s="40" t="s">
        <v>213</v>
      </c>
    </row>
    <row r="88" spans="2:5" ht="21">
      <c r="B88" s="40" t="s">
        <v>427</v>
      </c>
    </row>
    <row r="89" spans="2:5" ht="18.75">
      <c r="B89" s="39" t="s">
        <v>132</v>
      </c>
    </row>
    <row r="90" spans="2:5" ht="21">
      <c r="B90" s="23" t="s">
        <v>18</v>
      </c>
      <c r="C90" s="19" t="s">
        <v>134</v>
      </c>
      <c r="D90" s="40" t="s">
        <v>433</v>
      </c>
      <c r="E90" s="19"/>
    </row>
    <row r="91" spans="2:5" ht="18.75">
      <c r="B91" s="23" t="s">
        <v>188</v>
      </c>
    </row>
    <row r="124" spans="2:5" ht="21">
      <c r="B124" s="40" t="s">
        <v>227</v>
      </c>
      <c r="C124" s="26" t="s">
        <v>230</v>
      </c>
      <c r="D124" s="40" t="s">
        <v>226</v>
      </c>
      <c r="E124" s="26" t="s">
        <v>230</v>
      </c>
    </row>
    <row r="125" spans="2:5" ht="18.75">
      <c r="B125" s="39" t="s">
        <v>132</v>
      </c>
      <c r="D125" s="41" t="s">
        <v>133</v>
      </c>
    </row>
    <row r="126" spans="2:5" ht="18.75">
      <c r="B126" s="24" t="s">
        <v>43</v>
      </c>
      <c r="C126" s="19" t="s">
        <v>134</v>
      </c>
      <c r="D126" s="24" t="s">
        <v>43</v>
      </c>
    </row>
    <row r="127" spans="2:5" ht="18.75">
      <c r="B127" s="24" t="s">
        <v>22</v>
      </c>
      <c r="C127" s="19" t="s">
        <v>134</v>
      </c>
      <c r="D127" s="24" t="s">
        <v>22</v>
      </c>
    </row>
    <row r="128" spans="2:5" ht="18.75">
      <c r="B128" s="25" t="s">
        <v>128</v>
      </c>
      <c r="C128" s="19" t="s">
        <v>134</v>
      </c>
      <c r="D128" s="25" t="s">
        <v>128</v>
      </c>
    </row>
    <row r="129" spans="2:4" ht="18.75">
      <c r="B129" s="23" t="s">
        <v>129</v>
      </c>
      <c r="C129" s="19" t="s">
        <v>134</v>
      </c>
      <c r="D129" s="23" t="s">
        <v>129</v>
      </c>
    </row>
    <row r="130" spans="2:4" ht="18.75">
      <c r="B130" s="25" t="s">
        <v>223</v>
      </c>
      <c r="C130" s="19" t="s">
        <v>134</v>
      </c>
      <c r="D130" s="25" t="s">
        <v>223</v>
      </c>
    </row>
    <row r="131" spans="2:4" ht="18.75">
      <c r="B131" s="27" t="s">
        <v>224</v>
      </c>
      <c r="C131" s="19" t="s">
        <v>134</v>
      </c>
      <c r="D131" s="27" t="s">
        <v>224</v>
      </c>
    </row>
  </sheetData>
  <mergeCells count="3">
    <mergeCell ref="B3:D3"/>
    <mergeCell ref="G3:I3"/>
    <mergeCell ref="L3:N3"/>
  </mergeCells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4"/>
  <sheetViews>
    <sheetView topLeftCell="N1" workbookViewId="0">
      <selection activeCell="H90" sqref="H90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22.285156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202</v>
      </c>
      <c r="E3" s="2" t="s">
        <v>203</v>
      </c>
      <c r="F3" s="2" t="s">
        <v>201</v>
      </c>
      <c r="G3" s="2" t="s">
        <v>204</v>
      </c>
      <c r="H3" s="3" t="s">
        <v>205</v>
      </c>
      <c r="J3" s="21" t="s">
        <v>87</v>
      </c>
      <c r="K3" s="21" t="s">
        <v>192</v>
      </c>
      <c r="L3" s="22" t="s">
        <v>2</v>
      </c>
      <c r="M3" s="22" t="s">
        <v>2</v>
      </c>
      <c r="N3" s="21" t="s">
        <v>195</v>
      </c>
      <c r="O3" s="21" t="s">
        <v>193</v>
      </c>
      <c r="P3" s="21" t="s">
        <v>194</v>
      </c>
      <c r="Q3" s="22" t="s">
        <v>2</v>
      </c>
      <c r="R3" s="21" t="s">
        <v>196</v>
      </c>
      <c r="S3" s="22" t="s">
        <v>2</v>
      </c>
      <c r="T3" s="21" t="s">
        <v>267</v>
      </c>
      <c r="U3" s="22" t="s">
        <v>2</v>
      </c>
      <c r="V3" s="28" t="s">
        <v>531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138</v>
      </c>
      <c r="Q4" s="20"/>
      <c r="R4" s="26" t="s">
        <v>144</v>
      </c>
      <c r="T4" s="43" t="s">
        <v>264</v>
      </c>
      <c r="V4" s="43" t="s">
        <v>530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138</v>
      </c>
      <c r="S5" s="20"/>
      <c r="T5" s="26" t="s">
        <v>191</v>
      </c>
      <c r="U5" s="20"/>
      <c r="V5" s="43" t="s">
        <v>47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229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</row>
    <row r="8" spans="3:22" ht="20.25" thickTop="1" thickBot="1">
      <c r="F8" s="24" t="s">
        <v>33</v>
      </c>
      <c r="G8" s="5" t="s">
        <v>2</v>
      </c>
      <c r="H8" s="26" t="s">
        <v>197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T8" s="43" t="s">
        <v>229</v>
      </c>
      <c r="U8" s="20"/>
      <c r="V8" s="44" t="s">
        <v>287</v>
      </c>
    </row>
    <row r="9" spans="3:22" ht="20.25" thickTop="1" thickBot="1">
      <c r="F9" s="24" t="s">
        <v>34</v>
      </c>
      <c r="G9" s="5" t="s">
        <v>2</v>
      </c>
      <c r="H9" s="26" t="s">
        <v>264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143</v>
      </c>
      <c r="S9" s="20"/>
      <c r="T9" s="24" t="s">
        <v>43</v>
      </c>
      <c r="U9" s="20"/>
      <c r="V9" s="43" t="s">
        <v>530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139</v>
      </c>
      <c r="S10" s="20"/>
      <c r="T10" s="26" t="s">
        <v>143</v>
      </c>
      <c r="U10" s="20"/>
      <c r="V10" s="43" t="s">
        <v>47</v>
      </c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140</v>
      </c>
      <c r="S11" s="20"/>
      <c r="T11" s="39" t="s">
        <v>276</v>
      </c>
      <c r="U11" s="20"/>
      <c r="V11" s="27" t="s">
        <v>12</v>
      </c>
    </row>
    <row r="12" spans="3:22" ht="20.25" thickTop="1" thickBot="1">
      <c r="F12" s="27" t="s">
        <v>12</v>
      </c>
      <c r="G12" s="5" t="s">
        <v>2</v>
      </c>
      <c r="H12" s="26" t="s">
        <v>229</v>
      </c>
      <c r="J12" s="20"/>
      <c r="K12" s="20"/>
      <c r="M12" s="20"/>
      <c r="N12" s="20"/>
      <c r="O12" s="20"/>
      <c r="P12" s="20"/>
      <c r="Q12" s="20"/>
      <c r="R12" s="24" t="s">
        <v>72</v>
      </c>
      <c r="V12" s="25" t="s">
        <v>284</v>
      </c>
    </row>
    <row r="13" spans="3:22" ht="21.75" thickBot="1">
      <c r="F13" s="25" t="s">
        <v>37</v>
      </c>
      <c r="H13" s="26" t="s">
        <v>228</v>
      </c>
      <c r="J13" s="23" t="s">
        <v>92</v>
      </c>
      <c r="K13" s="25" t="s">
        <v>79</v>
      </c>
      <c r="M13" s="25" t="s">
        <v>19</v>
      </c>
      <c r="N13" s="25" t="s">
        <v>138</v>
      </c>
      <c r="Q13" s="22"/>
      <c r="R13" s="23" t="s">
        <v>16</v>
      </c>
      <c r="S13" s="20"/>
      <c r="T13" s="26" t="s">
        <v>228</v>
      </c>
      <c r="U13" s="20"/>
      <c r="V13" s="25" t="s">
        <v>20</v>
      </c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T14" s="25" t="s">
        <v>231</v>
      </c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191</v>
      </c>
      <c r="S15" s="20"/>
      <c r="T15" s="27" t="s">
        <v>12</v>
      </c>
      <c r="U15" s="20"/>
      <c r="V15" s="43" t="s">
        <v>46</v>
      </c>
    </row>
    <row r="16" spans="3:22" ht="19.5" thickBot="1">
      <c r="F16" s="24" t="s">
        <v>250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138</v>
      </c>
      <c r="T16" s="39" t="s">
        <v>276</v>
      </c>
      <c r="V16" s="26" t="s">
        <v>211</v>
      </c>
    </row>
    <row r="17" spans="3:22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121</v>
      </c>
      <c r="V17" s="26" t="s">
        <v>144</v>
      </c>
    </row>
    <row r="18" spans="3:22" ht="19.5" thickBot="1">
      <c r="J18" s="20"/>
      <c r="K18" s="20"/>
      <c r="M18" s="20"/>
      <c r="Q18" s="20"/>
      <c r="R18" s="23" t="s">
        <v>18</v>
      </c>
      <c r="S18" s="20"/>
      <c r="T18" s="43" t="s">
        <v>47</v>
      </c>
      <c r="U18" s="20"/>
      <c r="V18" s="43" t="s">
        <v>264</v>
      </c>
    </row>
    <row r="19" spans="3:22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3" t="s">
        <v>131</v>
      </c>
      <c r="N19" s="24" t="s">
        <v>232</v>
      </c>
      <c r="Q19" s="20"/>
      <c r="R19" s="20"/>
      <c r="S19" s="20"/>
      <c r="T19" s="23" t="s">
        <v>150</v>
      </c>
      <c r="U19" s="20"/>
      <c r="V19" s="24" t="s">
        <v>82</v>
      </c>
    </row>
    <row r="20" spans="3:22" ht="20.25" thickTop="1" thickBot="1">
      <c r="F20" s="24" t="s">
        <v>74</v>
      </c>
      <c r="G20" s="6" t="s">
        <v>2</v>
      </c>
      <c r="J20" s="20"/>
      <c r="K20" s="20"/>
      <c r="M20" s="23" t="s">
        <v>24</v>
      </c>
      <c r="N20" s="20"/>
      <c r="Q20" s="20"/>
      <c r="R20" s="26" t="s">
        <v>238</v>
      </c>
      <c r="S20" s="20"/>
      <c r="T20" s="25" t="s">
        <v>231</v>
      </c>
      <c r="U20" s="20"/>
    </row>
    <row r="21" spans="3:22" ht="19.5" thickTop="1">
      <c r="F21" s="25" t="s">
        <v>73</v>
      </c>
      <c r="J21" s="23" t="s">
        <v>18</v>
      </c>
      <c r="K21" s="25" t="s">
        <v>138</v>
      </c>
      <c r="M21" s="20"/>
      <c r="Q21" s="20"/>
      <c r="R21" s="23" t="s">
        <v>11</v>
      </c>
      <c r="S21" s="20"/>
      <c r="T21" s="26" t="s">
        <v>191</v>
      </c>
      <c r="U21" s="20"/>
    </row>
    <row r="22" spans="3:22" ht="19.5" thickBot="1">
      <c r="J22" s="20"/>
      <c r="K22" s="20"/>
      <c r="M22" s="20"/>
      <c r="Q22" s="20"/>
      <c r="R22" s="24" t="s">
        <v>69</v>
      </c>
      <c r="S22" s="20"/>
      <c r="U22" s="20"/>
    </row>
    <row r="23" spans="3:22" ht="19.5" thickBot="1">
      <c r="C23" s="39" t="s">
        <v>13</v>
      </c>
      <c r="D23" s="23" t="s">
        <v>150</v>
      </c>
      <c r="E23" s="6" t="s">
        <v>2</v>
      </c>
      <c r="F23" s="23" t="s">
        <v>18</v>
      </c>
      <c r="G23" s="4" t="s">
        <v>2</v>
      </c>
      <c r="J23" s="23" t="s">
        <v>131</v>
      </c>
      <c r="K23" s="24" t="s">
        <v>43</v>
      </c>
      <c r="Q23" s="20"/>
      <c r="R23" s="24" t="s">
        <v>232</v>
      </c>
      <c r="S23" s="20"/>
      <c r="U23" s="20"/>
    </row>
    <row r="24" spans="3:22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Q24" s="20"/>
      <c r="R24" s="39" t="s">
        <v>17</v>
      </c>
      <c r="S24" s="20"/>
      <c r="U24" s="20"/>
    </row>
    <row r="25" spans="3:22" ht="18.75">
      <c r="J25" s="23" t="s">
        <v>131</v>
      </c>
      <c r="K25" s="24" t="s">
        <v>283</v>
      </c>
      <c r="Q25" s="20"/>
      <c r="R25" s="20"/>
      <c r="S25" s="20"/>
      <c r="U25" s="20"/>
    </row>
    <row r="26" spans="3:22" ht="19.5" thickBot="1">
      <c r="F26" s="25" t="s">
        <v>35</v>
      </c>
      <c r="Q26" s="20"/>
      <c r="S26" s="20"/>
      <c r="U26" s="20"/>
    </row>
    <row r="27" spans="3:22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</row>
    <row r="28" spans="3:22" ht="20.25" thickTop="1" thickBot="1">
      <c r="D28" s="23" t="s">
        <v>14</v>
      </c>
      <c r="E28" s="4" t="s">
        <v>2</v>
      </c>
      <c r="F28" s="5"/>
      <c r="G28" s="4" t="s">
        <v>2</v>
      </c>
    </row>
    <row r="29" spans="3:22" ht="19.5" thickBot="1">
      <c r="D29" s="23" t="s">
        <v>40</v>
      </c>
      <c r="E29" s="4" t="s">
        <v>2</v>
      </c>
      <c r="G29" s="6" t="s">
        <v>2</v>
      </c>
      <c r="M29" s="24" t="s">
        <v>43</v>
      </c>
      <c r="N29" s="25" t="s">
        <v>231</v>
      </c>
    </row>
    <row r="30" spans="3:22" ht="18.75">
      <c r="M30" s="23" t="s">
        <v>14</v>
      </c>
    </row>
    <row r="31" spans="3:22" ht="18.75">
      <c r="C31" s="39" t="s">
        <v>17</v>
      </c>
      <c r="F31" s="23" t="s">
        <v>41</v>
      </c>
      <c r="M31" s="20"/>
    </row>
    <row r="32" spans="3:22" ht="18.75">
      <c r="C32" s="39" t="s">
        <v>10</v>
      </c>
      <c r="F32" s="24" t="s">
        <v>42</v>
      </c>
      <c r="M32" s="24" t="s">
        <v>283</v>
      </c>
      <c r="N32" s="25" t="s">
        <v>284</v>
      </c>
    </row>
    <row r="33" spans="3:13" ht="18.75">
      <c r="C33" s="39" t="s">
        <v>130</v>
      </c>
      <c r="F33" s="24" t="s">
        <v>43</v>
      </c>
      <c r="M33" s="39" t="s">
        <v>276</v>
      </c>
    </row>
    <row r="34" spans="3:13" ht="18.75">
      <c r="C34" s="39" t="s">
        <v>276</v>
      </c>
      <c r="F34" s="25" t="s">
        <v>44</v>
      </c>
    </row>
    <row r="35" spans="3:13" ht="18.75">
      <c r="F35" s="24" t="s">
        <v>22</v>
      </c>
    </row>
    <row r="36" spans="3:13" ht="18.75">
      <c r="F36" s="24" t="s">
        <v>38</v>
      </c>
    </row>
    <row r="38" spans="3:13" ht="18.75">
      <c r="J38" s="95" t="s">
        <v>454</v>
      </c>
      <c r="K38" s="96"/>
    </row>
    <row r="39" spans="3:13" ht="30" customHeight="1">
      <c r="C39" s="93" t="s">
        <v>233</v>
      </c>
      <c r="D39" s="94"/>
      <c r="J39" s="23" t="s">
        <v>150</v>
      </c>
      <c r="K39" s="26" t="s">
        <v>21</v>
      </c>
    </row>
    <row r="40" spans="3:13" ht="18.75">
      <c r="C40" s="23" t="s">
        <v>234</v>
      </c>
      <c r="D40" s="42">
        <v>1</v>
      </c>
      <c r="J40" s="24" t="s">
        <v>225</v>
      </c>
    </row>
    <row r="41" spans="3:13" ht="18.75">
      <c r="C41" s="23" t="s">
        <v>155</v>
      </c>
      <c r="D41" s="42">
        <v>0.5</v>
      </c>
      <c r="J41" s="24" t="s">
        <v>251</v>
      </c>
    </row>
    <row r="42" spans="3:13" ht="18.75">
      <c r="C42" s="23" t="s">
        <v>154</v>
      </c>
      <c r="D42" s="42">
        <v>0.35</v>
      </c>
    </row>
    <row r="43" spans="3:13" ht="18.75">
      <c r="C43" s="23" t="s">
        <v>153</v>
      </c>
      <c r="D43" s="42">
        <v>0.65</v>
      </c>
      <c r="J43" s="24" t="s">
        <v>19</v>
      </c>
      <c r="K43" s="25" t="s">
        <v>239</v>
      </c>
    </row>
    <row r="44" spans="3:13" ht="18.75">
      <c r="C44" s="23" t="s">
        <v>152</v>
      </c>
      <c r="D44" s="42">
        <v>0.8</v>
      </c>
      <c r="J44" s="24" t="s">
        <v>70</v>
      </c>
    </row>
    <row r="45" spans="3:13" ht="18.75">
      <c r="C45" s="23" t="s">
        <v>151</v>
      </c>
      <c r="D45" s="42">
        <v>0.2</v>
      </c>
    </row>
    <row r="46" spans="3:13" ht="18.75">
      <c r="C46" s="23" t="s">
        <v>156</v>
      </c>
      <c r="D46" s="42">
        <v>0.85</v>
      </c>
    </row>
    <row r="47" spans="3:13" ht="18.75">
      <c r="C47" s="23" t="s">
        <v>157</v>
      </c>
      <c r="D47" s="42">
        <v>0.15</v>
      </c>
    </row>
    <row r="48" spans="3:13" ht="18.75">
      <c r="C48" s="23" t="s">
        <v>235</v>
      </c>
      <c r="D48" s="42">
        <v>0.9</v>
      </c>
    </row>
    <row r="49" spans="3:8" ht="18.75">
      <c r="C49" s="23" t="s">
        <v>236</v>
      </c>
      <c r="D49" s="42">
        <v>0.05</v>
      </c>
    </row>
    <row r="50" spans="3:8" ht="18.75">
      <c r="C50" s="23" t="s">
        <v>237</v>
      </c>
      <c r="D50" s="42">
        <v>0.05</v>
      </c>
    </row>
    <row r="51" spans="3:8" ht="18.75">
      <c r="C51" s="23" t="s">
        <v>240</v>
      </c>
      <c r="D51" s="42">
        <v>1</v>
      </c>
      <c r="E51" s="39" t="s">
        <v>241</v>
      </c>
    </row>
    <row r="55" spans="3:8" ht="18.75">
      <c r="C55" s="25" t="s">
        <v>168</v>
      </c>
      <c r="D55" s="25">
        <v>0.5</v>
      </c>
      <c r="E55" s="25" t="s">
        <v>169</v>
      </c>
      <c r="F55" s="25">
        <v>1</v>
      </c>
    </row>
    <row r="56" spans="3:8" ht="18.75">
      <c r="C56" s="25" t="s">
        <v>167</v>
      </c>
      <c r="D56" s="25">
        <v>0.7</v>
      </c>
      <c r="E56" s="25" t="s">
        <v>165</v>
      </c>
      <c r="F56" s="25">
        <v>0.25</v>
      </c>
    </row>
    <row r="57" spans="3:8" ht="18.75">
      <c r="C57" s="25" t="s">
        <v>166</v>
      </c>
      <c r="D57" s="25">
        <v>1</v>
      </c>
      <c r="E57" s="25" t="s">
        <v>164</v>
      </c>
      <c r="F57" s="25">
        <v>0.15</v>
      </c>
    </row>
    <row r="58" spans="3:8" ht="18.75">
      <c r="C58" s="25" t="s">
        <v>161</v>
      </c>
      <c r="D58" s="25">
        <v>0.8</v>
      </c>
      <c r="E58" s="25" t="s">
        <v>162</v>
      </c>
      <c r="F58" s="25">
        <v>0.25</v>
      </c>
    </row>
    <row r="59" spans="3:8" ht="18.75">
      <c r="C59" s="25" t="s">
        <v>160</v>
      </c>
      <c r="D59" s="25">
        <v>0.2</v>
      </c>
      <c r="E59" s="25" t="s">
        <v>163</v>
      </c>
      <c r="F59" s="25">
        <v>0.17</v>
      </c>
    </row>
    <row r="60" spans="3:8" ht="18.75">
      <c r="C60" s="25" t="s">
        <v>175</v>
      </c>
      <c r="D60" s="25">
        <v>1</v>
      </c>
      <c r="E60" s="25" t="s">
        <v>176</v>
      </c>
      <c r="F60" s="25">
        <v>0.5</v>
      </c>
    </row>
    <row r="61" spans="3:8" ht="18.75">
      <c r="C61" s="25" t="s">
        <v>242</v>
      </c>
      <c r="D61" s="25">
        <v>0.05</v>
      </c>
      <c r="E61" s="25" t="s">
        <v>243</v>
      </c>
      <c r="F61" s="25">
        <v>0.05</v>
      </c>
    </row>
    <row r="62" spans="3:8" ht="18.75">
      <c r="C62" s="25" t="s">
        <v>244</v>
      </c>
      <c r="D62" s="25">
        <v>30</v>
      </c>
      <c r="E62" s="25" t="s">
        <v>245</v>
      </c>
      <c r="F62" s="25">
        <v>25</v>
      </c>
    </row>
    <row r="63" spans="3:8" ht="18.75">
      <c r="C63" s="25" t="s">
        <v>246</v>
      </c>
      <c r="D63" s="25">
        <v>0.01</v>
      </c>
      <c r="E63" s="25" t="s">
        <v>247</v>
      </c>
      <c r="F63" s="25">
        <v>0.01</v>
      </c>
      <c r="H63" s="39" t="s">
        <v>248</v>
      </c>
    </row>
    <row r="64" spans="3:8" ht="18.75">
      <c r="C64" s="25" t="s">
        <v>285</v>
      </c>
      <c r="D64" s="25">
        <v>0.3</v>
      </c>
      <c r="E64" s="25" t="s">
        <v>286</v>
      </c>
      <c r="F64" s="25">
        <v>1</v>
      </c>
    </row>
    <row r="65" spans="3:8" ht="18.75">
      <c r="H65" s="39" t="s">
        <v>249</v>
      </c>
    </row>
    <row r="66" spans="3:8" ht="18.75">
      <c r="C66" s="26" t="s">
        <v>252</v>
      </c>
      <c r="D66" s="26">
        <v>1</v>
      </c>
      <c r="E66" s="26" t="s">
        <v>253</v>
      </c>
      <c r="F66" s="26">
        <v>0.25</v>
      </c>
    </row>
    <row r="68" spans="3:8" ht="19.5" thickBot="1">
      <c r="C68" s="26" t="s">
        <v>254</v>
      </c>
      <c r="D68" s="26">
        <v>0.7</v>
      </c>
      <c r="E68" s="26" t="s">
        <v>259</v>
      </c>
      <c r="F68" s="26">
        <v>0.75</v>
      </c>
    </row>
    <row r="69" spans="3:8" ht="20.25" thickTop="1" thickBot="1">
      <c r="C69" s="26" t="s">
        <v>255</v>
      </c>
      <c r="D69" s="26">
        <v>0.35</v>
      </c>
      <c r="E69" s="7"/>
      <c r="G69" s="9"/>
    </row>
    <row r="70" spans="3:8" ht="18" thickTop="1" thickBot="1">
      <c r="G70" s="9"/>
    </row>
    <row r="71" spans="3:8" ht="20.25" thickTop="1" thickBot="1">
      <c r="C71" s="26" t="s">
        <v>256</v>
      </c>
      <c r="D71" s="26">
        <v>0.3</v>
      </c>
      <c r="E71" s="26" t="s">
        <v>257</v>
      </c>
      <c r="F71" s="26">
        <v>0.65</v>
      </c>
      <c r="G71" s="9"/>
    </row>
    <row r="72" spans="3:8" ht="20.25" thickTop="1" thickBot="1">
      <c r="C72" s="26" t="s">
        <v>258</v>
      </c>
      <c r="D72" s="26">
        <v>0.5</v>
      </c>
      <c r="E72" s="7"/>
      <c r="G72" s="9"/>
    </row>
    <row r="73" spans="3:8" ht="18" thickTop="1" thickBot="1">
      <c r="E73" s="7"/>
      <c r="G73" s="9"/>
    </row>
    <row r="74" spans="3:8" ht="20.25" thickTop="1" thickBot="1">
      <c r="C74" s="26" t="s">
        <v>260</v>
      </c>
      <c r="D74" s="26">
        <v>1</v>
      </c>
      <c r="E74" s="26" t="s">
        <v>262</v>
      </c>
      <c r="F74" s="26">
        <v>0.18</v>
      </c>
      <c r="G74" s="9"/>
    </row>
    <row r="75" spans="3:8" ht="20.25" thickTop="1" thickBot="1">
      <c r="C75" s="26" t="s">
        <v>261</v>
      </c>
      <c r="D75" s="26">
        <v>1</v>
      </c>
      <c r="E75" s="26" t="s">
        <v>263</v>
      </c>
      <c r="F75" s="26">
        <v>0.3</v>
      </c>
      <c r="G75" s="9"/>
    </row>
    <row r="76" spans="3:8" ht="18" thickTop="1" thickBot="1">
      <c r="E76" s="7"/>
      <c r="G76" s="9"/>
    </row>
    <row r="77" spans="3:8" ht="20.25" thickTop="1" thickBot="1">
      <c r="C77" s="26" t="s">
        <v>277</v>
      </c>
      <c r="D77" s="26">
        <v>0.5</v>
      </c>
      <c r="E77" s="26" t="s">
        <v>278</v>
      </c>
      <c r="F77" s="26">
        <v>0.4</v>
      </c>
      <c r="G77" s="9"/>
    </row>
    <row r="78" spans="3:8" ht="20.25" thickTop="1" thickBot="1">
      <c r="C78" s="26" t="s">
        <v>279</v>
      </c>
      <c r="D78" s="26">
        <v>0.3</v>
      </c>
    </row>
    <row r="79" spans="3:8" ht="18" thickTop="1" thickBot="1">
      <c r="E79" s="7"/>
    </row>
    <row r="80" spans="3:8" ht="19.5" thickTop="1">
      <c r="C80" s="43" t="s">
        <v>265</v>
      </c>
      <c r="D80" s="43">
        <v>0.25</v>
      </c>
      <c r="E80" s="43" t="s">
        <v>266</v>
      </c>
      <c r="F80" s="43">
        <v>0.45</v>
      </c>
    </row>
    <row r="83" spans="3:8" ht="18.75">
      <c r="C83" s="43" t="s">
        <v>273</v>
      </c>
      <c r="D83" s="43">
        <v>1</v>
      </c>
      <c r="E83" s="43" t="s">
        <v>274</v>
      </c>
      <c r="F83" s="43">
        <v>0.55000000000000004</v>
      </c>
    </row>
    <row r="84" spans="3:8" ht="18.75">
      <c r="C84" s="43" t="s">
        <v>275</v>
      </c>
      <c r="D84" s="43">
        <v>0.6</v>
      </c>
    </row>
    <row r="86" spans="3:8" ht="18.75">
      <c r="C86" s="43" t="s">
        <v>268</v>
      </c>
      <c r="D86" s="43">
        <v>1</v>
      </c>
      <c r="E86" s="43" t="s">
        <v>270</v>
      </c>
      <c r="F86" s="43">
        <v>0.8</v>
      </c>
    </row>
    <row r="87" spans="3:8" ht="18.75">
      <c r="C87" s="43" t="s">
        <v>269</v>
      </c>
      <c r="D87" s="43">
        <v>1</v>
      </c>
      <c r="E87" s="43" t="s">
        <v>271</v>
      </c>
      <c r="F87" s="43">
        <v>0.15</v>
      </c>
    </row>
    <row r="88" spans="3:8" ht="18.75">
      <c r="H88" s="43" t="s">
        <v>272</v>
      </c>
    </row>
    <row r="89" spans="3:8" ht="18.75">
      <c r="C89" s="43" t="s">
        <v>280</v>
      </c>
      <c r="D89" s="43">
        <v>70</v>
      </c>
      <c r="E89" s="43" t="s">
        <v>282</v>
      </c>
      <c r="F89" s="43">
        <v>1</v>
      </c>
    </row>
    <row r="90" spans="3:8" ht="18.75">
      <c r="C90" s="43" t="s">
        <v>281</v>
      </c>
      <c r="D90" s="43">
        <v>0.4</v>
      </c>
    </row>
    <row r="92" spans="3:8" ht="18.75">
      <c r="C92" s="44" t="s">
        <v>288</v>
      </c>
      <c r="D92" s="44">
        <v>1</v>
      </c>
      <c r="E92" s="44" t="s">
        <v>289</v>
      </c>
      <c r="F92" s="44">
        <v>1</v>
      </c>
    </row>
    <row r="93" spans="3:8" ht="18.75">
      <c r="C93" s="44" t="s">
        <v>290</v>
      </c>
      <c r="D93" s="44">
        <v>0.5</v>
      </c>
      <c r="E93" s="44" t="s">
        <v>291</v>
      </c>
      <c r="F93" s="44">
        <v>1</v>
      </c>
    </row>
    <row r="94" spans="3:8" ht="18.75">
      <c r="C94" s="44" t="s">
        <v>292</v>
      </c>
      <c r="D94" s="44">
        <v>0.25</v>
      </c>
    </row>
  </sheetData>
  <mergeCells count="2">
    <mergeCell ref="C39:D39"/>
    <mergeCell ref="J38:K38"/>
  </mergeCells>
  <pageMargins left="0.7" right="0.7" top="0.75" bottom="0.75" header="0.3" footer="0.3"/>
  <pageSetup scale="6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Q57"/>
  <sheetViews>
    <sheetView zoomScale="85" zoomScaleNormal="85" workbookViewId="0">
      <selection activeCell="T31" sqref="T31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5" max="5" width="5.42578125" customWidth="1"/>
    <col min="6" max="6" width="21.140625" bestFit="1" customWidth="1"/>
    <col min="8" max="8" width="5.85546875" customWidth="1"/>
    <col min="9" max="9" width="36.28515625" bestFit="1" customWidth="1"/>
    <col min="10" max="10" width="7" bestFit="1" customWidth="1"/>
    <col min="11" max="11" width="8.42578125" customWidth="1"/>
    <col min="12" max="12" width="3.28515625" customWidth="1"/>
    <col min="13" max="13" width="21.140625" bestFit="1" customWidth="1"/>
    <col min="14" max="14" width="10" bestFit="1" customWidth="1"/>
    <col min="15" max="15" width="7.42578125" customWidth="1"/>
    <col min="16" max="16" width="19.28515625" bestFit="1" customWidth="1"/>
    <col min="17" max="17" width="10.7109375" bestFit="1" customWidth="1"/>
  </cols>
  <sheetData>
    <row r="1" spans="3:17" ht="10.5" customHeight="1"/>
    <row r="2" spans="3:17" ht="10.5" customHeight="1"/>
    <row r="3" spans="3:17">
      <c r="C3" s="68" t="s">
        <v>413</v>
      </c>
      <c r="D3" s="69"/>
      <c r="F3" s="68" t="s">
        <v>414</v>
      </c>
      <c r="G3" s="69"/>
      <c r="I3" s="68" t="s">
        <v>444</v>
      </c>
      <c r="J3" s="69"/>
      <c r="M3" s="68" t="s">
        <v>529</v>
      </c>
      <c r="N3" s="69"/>
    </row>
    <row r="4" spans="3:17">
      <c r="C4" s="14" t="s">
        <v>3</v>
      </c>
      <c r="D4" s="15">
        <f>GrasslandRegionalProduction!J133</f>
        <v>195</v>
      </c>
      <c r="F4" s="14" t="s">
        <v>325</v>
      </c>
      <c r="G4" s="15">
        <f>SteelLakeSite!C47</f>
        <v>169.99124999999998</v>
      </c>
      <c r="I4" s="14" t="s">
        <v>138</v>
      </c>
      <c r="J4" s="15">
        <f>-ComputersSiteGrass!D5</f>
        <v>-324.79000000000002</v>
      </c>
      <c r="M4" s="50" t="s">
        <v>59</v>
      </c>
      <c r="N4" s="50" t="s">
        <v>66</v>
      </c>
      <c r="P4" s="14" t="s">
        <v>576</v>
      </c>
      <c r="Q4" s="53">
        <v>32</v>
      </c>
    </row>
    <row r="5" spans="3:17">
      <c r="C5" s="14" t="s">
        <v>120</v>
      </c>
      <c r="D5" s="15">
        <f>GrasslandRegionalProduction!J134</f>
        <v>82</v>
      </c>
      <c r="F5" s="14" t="s">
        <v>72</v>
      </c>
      <c r="G5" s="15">
        <f>SteelLakeSite!C48</f>
        <v>600.0775000000001</v>
      </c>
      <c r="I5" s="14" t="s">
        <v>18</v>
      </c>
      <c r="J5" s="15">
        <f>-ComputersSiteGrass!D6</f>
        <v>-873.75</v>
      </c>
      <c r="M5" s="14" t="s">
        <v>389</v>
      </c>
      <c r="N5" s="53">
        <f>D13+G18+J29+J41</f>
        <v>801.97500000000002</v>
      </c>
      <c r="P5" s="14" t="s">
        <v>600</v>
      </c>
      <c r="Q5" s="53">
        <f>Q4*3</f>
        <v>96</v>
      </c>
    </row>
    <row r="6" spans="3:17">
      <c r="C6" s="14" t="s">
        <v>12</v>
      </c>
      <c r="D6" s="15">
        <f>GrasslandRegionalProduction!J135</f>
        <v>48.5</v>
      </c>
      <c r="F6" s="14" t="s">
        <v>88</v>
      </c>
      <c r="G6" s="15">
        <f>SteelLakeSite!C49</f>
        <v>56.671874999999993</v>
      </c>
      <c r="I6" s="14" t="s">
        <v>121</v>
      </c>
      <c r="J6" s="15">
        <f>-ComputersSiteGrass!D7</f>
        <v>-3117</v>
      </c>
      <c r="M6" s="14" t="s">
        <v>72</v>
      </c>
      <c r="N6" s="53">
        <f>G5+J24</f>
        <v>15.0775000000001</v>
      </c>
    </row>
    <row r="7" spans="3:17">
      <c r="C7" s="14" t="s">
        <v>138</v>
      </c>
      <c r="D7" s="15">
        <f>GrasslandRegionalProduction!J136</f>
        <v>139.76</v>
      </c>
      <c r="I7" s="14" t="s">
        <v>14</v>
      </c>
      <c r="J7" s="15">
        <f>-ComputersSiteGrass!D9</f>
        <v>-437</v>
      </c>
      <c r="M7" s="14" t="s">
        <v>131</v>
      </c>
      <c r="N7" s="53">
        <f>G11+G22</f>
        <v>0.20000000000004547</v>
      </c>
    </row>
    <row r="8" spans="3:17">
      <c r="C8" s="14" t="s">
        <v>143</v>
      </c>
      <c r="D8" s="15">
        <f>GrasslandRegionalProduction!J137</f>
        <v>11.25</v>
      </c>
      <c r="F8" s="68" t="s">
        <v>415</v>
      </c>
      <c r="G8" s="69"/>
      <c r="I8" s="14" t="s">
        <v>20</v>
      </c>
      <c r="J8" s="15">
        <f>-ComputersSiteGrass!D8</f>
        <v>-78.239999999999995</v>
      </c>
      <c r="M8" s="14" t="s">
        <v>118</v>
      </c>
      <c r="N8" s="53">
        <f>G9</f>
        <v>600</v>
      </c>
    </row>
    <row r="9" spans="3:17">
      <c r="C9" s="14" t="s">
        <v>76</v>
      </c>
      <c r="D9" s="15">
        <f>GrasslandRegionalProduction!J138</f>
        <v>15</v>
      </c>
      <c r="F9" s="14" t="s">
        <v>118</v>
      </c>
      <c r="G9" s="15">
        <f>OffshoreMegaRefinery!J61</f>
        <v>600</v>
      </c>
      <c r="I9" s="14" t="s">
        <v>76</v>
      </c>
      <c r="J9" s="15">
        <f>ComputersSiteGrass!I23</f>
        <v>36.412500000000001</v>
      </c>
      <c r="M9" s="14" t="s">
        <v>11</v>
      </c>
      <c r="N9" s="53">
        <f>G13</f>
        <v>99.599999999999909</v>
      </c>
    </row>
    <row r="10" spans="3:17">
      <c r="C10" s="14" t="s">
        <v>411</v>
      </c>
      <c r="D10" s="15">
        <f>GrasslandRegionalProduction!J139</f>
        <v>27.990000000000002</v>
      </c>
      <c r="F10" s="14" t="s">
        <v>14</v>
      </c>
      <c r="G10" s="15">
        <f>OffshoreMegaRefinery!J62</f>
        <v>763.5</v>
      </c>
      <c r="I10" s="14" t="s">
        <v>191</v>
      </c>
      <c r="J10" s="15">
        <f>ComputersSiteGrass!I24</f>
        <v>30.780000000000008</v>
      </c>
      <c r="M10" s="14" t="s">
        <v>139</v>
      </c>
      <c r="N10" s="53">
        <f>D17</f>
        <v>12</v>
      </c>
    </row>
    <row r="11" spans="3:17">
      <c r="C11" s="14" t="s">
        <v>65</v>
      </c>
      <c r="D11" s="15">
        <f>GrasslandRegionalProduction!J140</f>
        <v>483</v>
      </c>
      <c r="F11" s="14" t="s">
        <v>131</v>
      </c>
      <c r="G11" s="15">
        <f>OffshoreMegaRefinery!J63</f>
        <v>763.2</v>
      </c>
      <c r="I11" s="14" t="s">
        <v>445</v>
      </c>
      <c r="J11" s="15">
        <f>ComputersSiteGrass!I25</f>
        <v>78.239999999999995</v>
      </c>
      <c r="M11" s="14" t="s">
        <v>189</v>
      </c>
      <c r="N11" s="53">
        <f>D18</f>
        <v>2.5</v>
      </c>
    </row>
    <row r="12" spans="3:17">
      <c r="C12" s="14" t="s">
        <v>16</v>
      </c>
      <c r="D12" s="15">
        <f>GrasslandRegionalProduction!J141</f>
        <v>1919.5</v>
      </c>
      <c r="F12" s="14" t="s">
        <v>211</v>
      </c>
      <c r="G12" s="15">
        <f>OffshoreMegaRefinery!J64</f>
        <v>763.2</v>
      </c>
      <c r="M12" s="14" t="s">
        <v>14</v>
      </c>
      <c r="N12" s="53">
        <f>D14+G10+J7+G21</f>
        <v>0.5</v>
      </c>
    </row>
    <row r="13" spans="3:17">
      <c r="C13" s="14" t="s">
        <v>389</v>
      </c>
      <c r="D13" s="15">
        <f>GrasslandRegionalProduction!J142</f>
        <v>180</v>
      </c>
      <c r="F13" s="14" t="s">
        <v>11</v>
      </c>
      <c r="G13" s="15">
        <f>OffshoreMegaRefinery!J65</f>
        <v>99.599999999999909</v>
      </c>
      <c r="I13" s="68" t="s">
        <v>425</v>
      </c>
      <c r="J13" s="69"/>
      <c r="M13" s="14" t="s">
        <v>371</v>
      </c>
      <c r="N13" s="53">
        <f>G14</f>
        <v>0</v>
      </c>
    </row>
    <row r="14" spans="3:17">
      <c r="C14" s="14" t="s">
        <v>14</v>
      </c>
      <c r="D14" s="15">
        <f>GrasslandRegionalProduction!J143</f>
        <v>-180</v>
      </c>
      <c r="F14" s="47" t="s">
        <v>371</v>
      </c>
      <c r="G14" s="15">
        <f>OffshoreMegaRefinery!M62</f>
        <v>0</v>
      </c>
      <c r="I14" s="14" t="s">
        <v>120</v>
      </c>
      <c r="J14" s="15">
        <f>QuickwireCoast!J30</f>
        <v>7384.9500000000007</v>
      </c>
      <c r="M14" s="14" t="s">
        <v>80</v>
      </c>
      <c r="N14" s="53">
        <f>D19</f>
        <v>0</v>
      </c>
    </row>
    <row r="15" spans="3:17">
      <c r="C15" s="14" t="s">
        <v>18</v>
      </c>
      <c r="D15" s="15">
        <f>GrasslandRegionalProduction!J144</f>
        <v>550.07500000000005</v>
      </c>
      <c r="I15" s="14" t="s">
        <v>121</v>
      </c>
      <c r="J15" s="15">
        <f>QuickwireCoast!J31</f>
        <v>6999</v>
      </c>
      <c r="M15" s="14" t="s">
        <v>374</v>
      </c>
      <c r="N15" s="53">
        <f>G23+J31+J43</f>
        <v>0</v>
      </c>
    </row>
    <row r="16" spans="3:17">
      <c r="C16" s="14" t="s">
        <v>325</v>
      </c>
      <c r="D16" s="15">
        <f>GrasslandRegionalProduction!J132</f>
        <v>325.48124999999999</v>
      </c>
      <c r="F16" s="68" t="s">
        <v>416</v>
      </c>
      <c r="G16" s="69"/>
      <c r="I16" s="14" t="s">
        <v>16</v>
      </c>
      <c r="J16" s="15">
        <f>QuickwireCoast!J32</f>
        <v>1042.3999999999999</v>
      </c>
      <c r="M16" s="14" t="s">
        <v>18</v>
      </c>
      <c r="N16" s="53">
        <f>D15+G17+J23+J5+G30</f>
        <v>52.200000000000045</v>
      </c>
    </row>
    <row r="17" spans="3:14">
      <c r="C17" s="14" t="s">
        <v>139</v>
      </c>
      <c r="D17" s="15">
        <f>GrasslandRegionalProduction!J130</f>
        <v>12</v>
      </c>
      <c r="F17" s="14" t="s">
        <v>18</v>
      </c>
      <c r="G17" s="15">
        <f>SilicaCaveSite!C27</f>
        <v>1405.875</v>
      </c>
      <c r="M17" s="14" t="s">
        <v>3</v>
      </c>
      <c r="N17" s="53">
        <f>D4+G29</f>
        <v>155</v>
      </c>
    </row>
    <row r="18" spans="3:14">
      <c r="C18" s="14" t="s">
        <v>189</v>
      </c>
      <c r="D18" s="15">
        <f>GrasslandRegionalProduction!J128</f>
        <v>2.5</v>
      </c>
      <c r="F18" s="14" t="s">
        <v>188</v>
      </c>
      <c r="G18" s="15">
        <f>SilicaCaveSite!C28</f>
        <v>702.97500000000002</v>
      </c>
      <c r="I18" s="68" t="s">
        <v>441</v>
      </c>
      <c r="J18" s="69"/>
      <c r="M18" s="14" t="s">
        <v>462</v>
      </c>
      <c r="N18" s="53">
        <f>G24+G31+J28+J40</f>
        <v>0</v>
      </c>
    </row>
    <row r="19" spans="3:14">
      <c r="C19" s="14" t="s">
        <v>80</v>
      </c>
      <c r="D19" s="15">
        <f>GrasslandRegionalProduction!J117</f>
        <v>0</v>
      </c>
      <c r="I19" s="14" t="s">
        <v>16</v>
      </c>
      <c r="J19" s="15">
        <f>GrassValleyCircuitBoard!L32</f>
        <v>199.95</v>
      </c>
      <c r="M19" s="63" t="s">
        <v>450</v>
      </c>
      <c r="N19" s="53">
        <f>J11+G32+J36+J48</f>
        <v>27.964999999999996</v>
      </c>
    </row>
    <row r="20" spans="3:14">
      <c r="C20" s="14" t="s">
        <v>20</v>
      </c>
      <c r="D20" s="15">
        <f>GrasslandRegionalProduction!J116</f>
        <v>0</v>
      </c>
      <c r="F20" s="68" t="s">
        <v>455</v>
      </c>
      <c r="G20" s="69"/>
      <c r="I20" s="14" t="s">
        <v>86</v>
      </c>
      <c r="J20" s="15">
        <f>GrassValleyCircuitBoard!L31</f>
        <v>2480</v>
      </c>
      <c r="M20" s="63" t="s">
        <v>16</v>
      </c>
      <c r="N20" s="53">
        <f>D12+J16+J19+G28</f>
        <v>2981.8499999999995</v>
      </c>
    </row>
    <row r="21" spans="3:14">
      <c r="C21" s="14" t="s">
        <v>121</v>
      </c>
      <c r="D21" s="15">
        <f>GrasslandRegionalProduction!J129</f>
        <v>0.29999999999995453</v>
      </c>
      <c r="F21" s="14" t="s">
        <v>14</v>
      </c>
      <c r="G21" s="15">
        <f>-CoastAlumIntSite!D5</f>
        <v>-146</v>
      </c>
      <c r="I21" s="14" t="s">
        <v>138</v>
      </c>
      <c r="J21" s="15">
        <f>GrassValleyCircuitBoard!L33</f>
        <v>437.5</v>
      </c>
      <c r="M21" s="63" t="s">
        <v>120</v>
      </c>
      <c r="N21" s="53">
        <f>D5+J14+J25+J38+J50</f>
        <v>5135.7625000000007</v>
      </c>
    </row>
    <row r="22" spans="3:14">
      <c r="C22" s="14" t="s">
        <v>86</v>
      </c>
      <c r="D22" s="15">
        <f>GrasslandRegionalProduction!J109</f>
        <v>-4.9999999999954525E-2</v>
      </c>
      <c r="F22" s="14" t="s">
        <v>370</v>
      </c>
      <c r="G22" s="15">
        <f>-CoastAlumIntSite!D6</f>
        <v>-763</v>
      </c>
      <c r="I22" s="14" t="s">
        <v>20</v>
      </c>
      <c r="J22" s="15">
        <f>GrassValleyCircuitBoard!L34</f>
        <v>195</v>
      </c>
      <c r="M22" s="63" t="s">
        <v>121</v>
      </c>
      <c r="N22" s="53">
        <f>D21+J15+J6</f>
        <v>3882.3</v>
      </c>
    </row>
    <row r="23" spans="3:14">
      <c r="C23" s="14" t="s">
        <v>608</v>
      </c>
      <c r="D23" s="15">
        <f>GrasslandRegionalProduction!J146</f>
        <v>600</v>
      </c>
      <c r="F23" s="14" t="s">
        <v>374</v>
      </c>
      <c r="G23" s="15">
        <f>CoastAlumIntSite!G18</f>
        <v>324</v>
      </c>
      <c r="I23" s="14" t="s">
        <v>18</v>
      </c>
      <c r="J23" s="15">
        <f>-GrassValleyCircuitBoard!I5</f>
        <v>-970</v>
      </c>
      <c r="M23" s="63" t="s">
        <v>86</v>
      </c>
      <c r="N23" s="53">
        <f>D22+J20</f>
        <v>2479.9499999999998</v>
      </c>
    </row>
    <row r="24" spans="3:14">
      <c r="F24" s="14" t="s">
        <v>231</v>
      </c>
      <c r="G24" s="15">
        <f>CoastAlumIntSite!G20</f>
        <v>48</v>
      </c>
      <c r="I24" s="14" t="s">
        <v>72</v>
      </c>
      <c r="J24" s="15">
        <f>-GrassValleyCircuitBoard!I7</f>
        <v>-585</v>
      </c>
      <c r="M24" s="63" t="s">
        <v>321</v>
      </c>
      <c r="N24" s="53">
        <f>D16+G4</f>
        <v>495.47249999999997</v>
      </c>
    </row>
    <row r="25" spans="3:14">
      <c r="F25" s="14" t="s">
        <v>456</v>
      </c>
      <c r="G25" s="15">
        <f>CoastAlumIntSite!G19</f>
        <v>60</v>
      </c>
      <c r="I25" s="14" t="s">
        <v>120</v>
      </c>
      <c r="J25" s="15">
        <f>-GrassValleyCircuitBoard!I6</f>
        <v>-1560</v>
      </c>
      <c r="M25" s="63" t="s">
        <v>138</v>
      </c>
      <c r="N25" s="53">
        <f>D7+J21+J4</f>
        <v>252.46999999999997</v>
      </c>
    </row>
    <row r="26" spans="3:14">
      <c r="C26" s="68" t="s">
        <v>615</v>
      </c>
      <c r="D26" s="69"/>
      <c r="M26" s="63" t="s">
        <v>12</v>
      </c>
      <c r="N26" s="53">
        <f>D6+J32+J44</f>
        <v>35.5</v>
      </c>
    </row>
    <row r="27" spans="3:14">
      <c r="C27" s="14" t="s">
        <v>65</v>
      </c>
      <c r="D27" s="52">
        <f>GrasslandRegionalProduction!J140</f>
        <v>483</v>
      </c>
      <c r="F27" s="68" t="s">
        <v>463</v>
      </c>
      <c r="G27" s="69"/>
      <c r="I27" s="68" t="s">
        <v>533</v>
      </c>
      <c r="J27" s="69"/>
      <c r="M27" s="63" t="s">
        <v>143</v>
      </c>
      <c r="N27" s="53">
        <f>D8+G6+J30+J42</f>
        <v>61.441874999999996</v>
      </c>
    </row>
    <row r="28" spans="3:14">
      <c r="C28" s="47" t="s">
        <v>148</v>
      </c>
      <c r="D28" s="52">
        <f>GrasslandRegionalProduction!J145</f>
        <v>367.20000000000005</v>
      </c>
      <c r="F28" s="14" t="s">
        <v>16</v>
      </c>
      <c r="G28" s="15">
        <f>-SwampNuclearFacility!J6</f>
        <v>-180</v>
      </c>
      <c r="I28" s="14" t="s">
        <v>462</v>
      </c>
      <c r="J28" s="15">
        <f>-SWNitrogenFacility!I7</f>
        <v>-45</v>
      </c>
      <c r="M28" s="63" t="s">
        <v>76</v>
      </c>
      <c r="N28" s="53">
        <f>D9+J9+J35+J47</f>
        <v>0</v>
      </c>
    </row>
    <row r="29" spans="3:14">
      <c r="F29" s="14" t="s">
        <v>3</v>
      </c>
      <c r="G29" s="15">
        <f>-SwampNuclearFacility!J7</f>
        <v>-40</v>
      </c>
      <c r="I29" s="14" t="s">
        <v>188</v>
      </c>
      <c r="J29" s="15">
        <f>-SWNitrogenFacility!I5</f>
        <v>-882.97500000000002</v>
      </c>
      <c r="M29" s="63" t="s">
        <v>211</v>
      </c>
      <c r="N29" s="53">
        <f>SUM(G12-Q5+J39+J51)</f>
        <v>324.45000000000005</v>
      </c>
    </row>
    <row r="30" spans="3:14">
      <c r="F30" s="14" t="s">
        <v>18</v>
      </c>
      <c r="G30" s="15">
        <f>-SwampNuclearFacility!J8</f>
        <v>-60</v>
      </c>
      <c r="I30" s="14" t="s">
        <v>143</v>
      </c>
      <c r="J30" s="15">
        <f>-SWNitrogenFacility!I10</f>
        <v>-67.921875</v>
      </c>
      <c r="M30" s="63" t="s">
        <v>411</v>
      </c>
      <c r="N30" s="53">
        <f>D10+J10+J34+J46</f>
        <v>45.27000000000001</v>
      </c>
    </row>
    <row r="31" spans="3:14">
      <c r="F31" s="14" t="s">
        <v>462</v>
      </c>
      <c r="G31" s="15">
        <f>-SwampNuclearFacility!J9</f>
        <v>-6</v>
      </c>
      <c r="I31" s="14" t="s">
        <v>374</v>
      </c>
      <c r="J31" s="15">
        <f>-SWNitrogenFacility!I4</f>
        <v>-324</v>
      </c>
      <c r="M31" s="63" t="s">
        <v>20</v>
      </c>
      <c r="N31" s="53">
        <f>D20+J22+J8+J37+J49</f>
        <v>96.76</v>
      </c>
    </row>
    <row r="32" spans="3:14">
      <c r="F32" s="14" t="s">
        <v>445</v>
      </c>
      <c r="G32" s="15">
        <f>-SwampNuclearFacility!J10</f>
        <v>-16</v>
      </c>
      <c r="I32" s="14" t="s">
        <v>12</v>
      </c>
      <c r="J32" s="15">
        <f>-SWNitrogenFacility!I8</f>
        <v>-40</v>
      </c>
      <c r="M32" s="64" t="s">
        <v>456</v>
      </c>
      <c r="N32" s="53">
        <f>G25+J33+J45</f>
        <v>0</v>
      </c>
    </row>
    <row r="33" spans="9:14">
      <c r="I33" s="14" t="s">
        <v>532</v>
      </c>
      <c r="J33" s="15">
        <f>-SWNitrogenFacility!I11</f>
        <v>-60</v>
      </c>
      <c r="M33" s="64" t="s">
        <v>458</v>
      </c>
      <c r="N33" s="53">
        <f>J52</f>
        <v>0.75</v>
      </c>
    </row>
    <row r="34" spans="9:14">
      <c r="I34" s="14" t="s">
        <v>565</v>
      </c>
      <c r="J34" s="15">
        <f>-SWNitrogenFacility!I9</f>
        <v>-58.77</v>
      </c>
      <c r="M34" s="64" t="s">
        <v>229</v>
      </c>
      <c r="N34" s="53">
        <f>J54</f>
        <v>3.4800000000000004</v>
      </c>
    </row>
    <row r="35" spans="9:14">
      <c r="I35" s="14" t="s">
        <v>76</v>
      </c>
      <c r="J35" s="15">
        <f>-SWNitrogenFacility!I12</f>
        <v>-51.412500000000001</v>
      </c>
      <c r="M35" s="64" t="s">
        <v>228</v>
      </c>
      <c r="N35" s="53">
        <f>J53</f>
        <v>6</v>
      </c>
    </row>
    <row r="36" spans="9:14">
      <c r="I36" s="14" t="s">
        <v>445</v>
      </c>
      <c r="J36" s="15">
        <f>-SWNitrogenFacility!I13</f>
        <v>-70.239999999999995</v>
      </c>
      <c r="M36" s="64" t="s">
        <v>526</v>
      </c>
      <c r="N36" s="53">
        <f>J55</f>
        <v>5</v>
      </c>
    </row>
    <row r="37" spans="9:14">
      <c r="I37" s="14" t="s">
        <v>20</v>
      </c>
      <c r="J37" s="15">
        <f>-SWNitrogenFacility!I14</f>
        <v>-116.76</v>
      </c>
      <c r="M37" s="64" t="s">
        <v>569</v>
      </c>
      <c r="N37" s="53">
        <f>J56</f>
        <v>34.274999999999999</v>
      </c>
    </row>
    <row r="38" spans="9:14">
      <c r="I38" s="14" t="s">
        <v>120</v>
      </c>
      <c r="J38" s="15">
        <f>-SWNitrogenFacility!I15</f>
        <v>-780</v>
      </c>
      <c r="M38" s="64" t="s">
        <v>556</v>
      </c>
      <c r="N38" s="53">
        <f>J57</f>
        <v>0.5</v>
      </c>
    </row>
    <row r="39" spans="9:14">
      <c r="I39" s="14" t="s">
        <v>211</v>
      </c>
      <c r="J39" s="15">
        <f>-SWNitrogenFacility!I16</f>
        <v>-400</v>
      </c>
    </row>
    <row r="40" spans="9:14">
      <c r="I40" s="14" t="s">
        <v>588</v>
      </c>
      <c r="J40" s="15">
        <f>SWNitrogenFacility!L48</f>
        <v>3</v>
      </c>
    </row>
    <row r="41" spans="9:14">
      <c r="I41" s="14" t="s">
        <v>589</v>
      </c>
      <c r="J41" s="15">
        <f>SWNitrogenFacility!L51</f>
        <v>801.97500000000002</v>
      </c>
      <c r="M41" s="14" t="s">
        <v>608</v>
      </c>
      <c r="N41" s="53">
        <f>D23</f>
        <v>600</v>
      </c>
    </row>
    <row r="42" spans="9:14">
      <c r="I42" s="14" t="s">
        <v>590</v>
      </c>
      <c r="J42" s="15">
        <f>SWNitrogenFacility!L50</f>
        <v>61.441874999999996</v>
      </c>
    </row>
    <row r="43" spans="9:14">
      <c r="I43" s="14" t="s">
        <v>591</v>
      </c>
      <c r="J43" s="15">
        <f>SWNitrogenFacility!L49</f>
        <v>0</v>
      </c>
    </row>
    <row r="44" spans="9:14">
      <c r="I44" s="14" t="s">
        <v>592</v>
      </c>
      <c r="J44" s="15">
        <f>SWNitrogenFacility!L52</f>
        <v>27</v>
      </c>
    </row>
    <row r="45" spans="9:14">
      <c r="I45" s="14" t="s">
        <v>593</v>
      </c>
      <c r="J45" s="15">
        <f>SWNitrogenFacility!O7</f>
        <v>0</v>
      </c>
    </row>
    <row r="46" spans="9:14">
      <c r="I46" s="14" t="s">
        <v>594</v>
      </c>
      <c r="J46" s="15">
        <f>SWNitrogenFacility!L53</f>
        <v>45.27</v>
      </c>
    </row>
    <row r="47" spans="9:14">
      <c r="I47" s="14" t="s">
        <v>595</v>
      </c>
      <c r="J47" s="15">
        <f>SWNitrogenFacility!L57</f>
        <v>0</v>
      </c>
    </row>
    <row r="48" spans="9:14">
      <c r="I48" s="14" t="s">
        <v>596</v>
      </c>
      <c r="J48" s="15">
        <f>SWNitrogenFacility!L54</f>
        <v>35.964999999999996</v>
      </c>
    </row>
    <row r="49" spans="9:10">
      <c r="I49" s="14" t="s">
        <v>597</v>
      </c>
      <c r="J49" s="15">
        <f>SWNitrogenFacility!L58</f>
        <v>96.76</v>
      </c>
    </row>
    <row r="50" spans="9:10">
      <c r="I50" s="14" t="s">
        <v>598</v>
      </c>
      <c r="J50" s="15">
        <f>SWNitrogenFacility!L56</f>
        <v>8.8125</v>
      </c>
    </row>
    <row r="51" spans="9:10">
      <c r="I51" s="14" t="s">
        <v>599</v>
      </c>
      <c r="J51" s="15">
        <f>SWNitrogenFacility!L55</f>
        <v>57.25</v>
      </c>
    </row>
    <row r="52" spans="9:10">
      <c r="I52" s="14" t="s">
        <v>458</v>
      </c>
      <c r="J52" s="15">
        <f>SWNitrogenFacility!L46</f>
        <v>0.75</v>
      </c>
    </row>
    <row r="53" spans="9:10">
      <c r="I53" s="14" t="s">
        <v>228</v>
      </c>
      <c r="J53" s="15">
        <f>SWNitrogenFacility!L44</f>
        <v>6</v>
      </c>
    </row>
    <row r="54" spans="9:10">
      <c r="I54" s="14" t="s">
        <v>229</v>
      </c>
      <c r="J54" s="15">
        <f>SWNitrogenFacility!L45</f>
        <v>3.4800000000000004</v>
      </c>
    </row>
    <row r="55" spans="9:10">
      <c r="I55" s="14" t="s">
        <v>526</v>
      </c>
      <c r="J55" s="15">
        <f>SWNitrogenFacility!L59</f>
        <v>5</v>
      </c>
    </row>
    <row r="56" spans="9:10">
      <c r="I56" s="14" t="s">
        <v>569</v>
      </c>
      <c r="J56" s="15">
        <f>SWNitrogenFacility!L60</f>
        <v>34.274999999999999</v>
      </c>
    </row>
    <row r="57" spans="9:10">
      <c r="I57" s="14" t="s">
        <v>556</v>
      </c>
      <c r="J57" s="15">
        <f>SWNitrogenFacility!L47</f>
        <v>0.5</v>
      </c>
    </row>
  </sheetData>
  <mergeCells count="12">
    <mergeCell ref="M3:N3"/>
    <mergeCell ref="I13:J13"/>
    <mergeCell ref="I18:J18"/>
    <mergeCell ref="I3:J3"/>
    <mergeCell ref="I27:J27"/>
    <mergeCell ref="F20:G20"/>
    <mergeCell ref="F27:G27"/>
    <mergeCell ref="C26:D26"/>
    <mergeCell ref="C3:D3"/>
    <mergeCell ref="F3:G3"/>
    <mergeCell ref="F8:G8"/>
    <mergeCell ref="F16:G16"/>
  </mergeCells>
  <conditionalFormatting sqref="N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44C8-55BB-4AB5-BEB8-102183EC153E}">
  <sheetPr>
    <tabColor rgb="FFFFFF00"/>
  </sheetPr>
  <dimension ref="B2:J64"/>
  <sheetViews>
    <sheetView tabSelected="1" workbookViewId="0">
      <selection activeCell="M22" sqref="M22"/>
    </sheetView>
  </sheetViews>
  <sheetFormatPr defaultRowHeight="15"/>
  <cols>
    <col min="2" max="2" width="12.140625" bestFit="1" customWidth="1"/>
    <col min="3" max="3" width="15.85546875" bestFit="1" customWidth="1"/>
    <col min="4" max="4" width="12.140625" bestFit="1" customWidth="1"/>
    <col min="5" max="5" width="10.85546875" bestFit="1" customWidth="1"/>
    <col min="7" max="7" width="12.42578125" bestFit="1" customWidth="1"/>
    <col min="11" max="11" width="8" customWidth="1"/>
  </cols>
  <sheetData>
    <row r="2" spans="2:10">
      <c r="B2" s="73" t="s">
        <v>503</v>
      </c>
      <c r="C2" s="74"/>
      <c r="D2" s="74"/>
      <c r="E2" s="74"/>
      <c r="F2" s="74"/>
      <c r="G2" s="74"/>
      <c r="H2" s="74"/>
      <c r="I2" s="74"/>
      <c r="J2" s="74"/>
    </row>
    <row r="3" spans="2:10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G3" s="29" t="s">
        <v>117</v>
      </c>
      <c r="H3" s="29" t="s">
        <v>91</v>
      </c>
      <c r="I3" s="29" t="s">
        <v>341</v>
      </c>
      <c r="J3" s="29" t="s">
        <v>340</v>
      </c>
    </row>
    <row r="4" spans="2:10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</v>
      </c>
      <c r="J4" s="15">
        <v>2</v>
      </c>
    </row>
    <row r="5" spans="2:10">
      <c r="B5" s="15" t="s">
        <v>56</v>
      </c>
      <c r="C5" s="15">
        <v>2</v>
      </c>
      <c r="D5" s="15">
        <v>2</v>
      </c>
      <c r="E5" s="15">
        <v>2</v>
      </c>
      <c r="F5" s="15">
        <v>2</v>
      </c>
      <c r="G5" s="15">
        <v>3</v>
      </c>
      <c r="H5" s="15">
        <v>1</v>
      </c>
      <c r="I5" s="15">
        <v>0</v>
      </c>
      <c r="J5" s="15">
        <v>2</v>
      </c>
    </row>
    <row r="6" spans="2:10">
      <c r="B6" s="15" t="s">
        <v>55</v>
      </c>
      <c r="C6" s="15">
        <v>4</v>
      </c>
      <c r="D6" s="15">
        <v>1</v>
      </c>
      <c r="E6" s="15">
        <v>3</v>
      </c>
      <c r="F6" s="15">
        <v>0</v>
      </c>
      <c r="G6" s="15">
        <v>0</v>
      </c>
      <c r="H6" s="15">
        <v>1</v>
      </c>
      <c r="I6" s="15">
        <v>0</v>
      </c>
      <c r="J6" s="15">
        <v>1</v>
      </c>
    </row>
    <row r="7" spans="2:10">
      <c r="B7" s="15" t="s">
        <v>502</v>
      </c>
      <c r="C7" s="15">
        <f>D17+H12</f>
        <v>4977</v>
      </c>
      <c r="D7" s="15">
        <f>D23</f>
        <v>1982.4</v>
      </c>
      <c r="E7" s="15">
        <f>D31</f>
        <v>3547.2000000000003</v>
      </c>
      <c r="F7" s="15">
        <f>D36</f>
        <v>1200</v>
      </c>
      <c r="G7" s="15">
        <f>D42</f>
        <v>1800</v>
      </c>
      <c r="H7" s="15">
        <f>D47</f>
        <v>1382.4</v>
      </c>
      <c r="I7" s="15">
        <f>D56</f>
        <v>450</v>
      </c>
      <c r="J7" s="15">
        <f>D64</f>
        <v>2582.4</v>
      </c>
    </row>
    <row r="9" spans="2:10">
      <c r="B9" s="70" t="s">
        <v>23</v>
      </c>
      <c r="C9" s="71"/>
      <c r="D9" s="71"/>
      <c r="E9" s="72"/>
      <c r="G9" s="68" t="s">
        <v>501</v>
      </c>
      <c r="H9" s="69"/>
    </row>
    <row r="10" spans="2:10">
      <c r="B10" s="15" t="s">
        <v>110</v>
      </c>
      <c r="C10" s="15" t="s">
        <v>111</v>
      </c>
      <c r="D10" s="15" t="s">
        <v>112</v>
      </c>
      <c r="E10" s="15" t="s">
        <v>392</v>
      </c>
      <c r="G10" s="14" t="s">
        <v>59</v>
      </c>
      <c r="H10" s="14" t="s">
        <v>66</v>
      </c>
    </row>
    <row r="11" spans="2:10">
      <c r="B11" s="15">
        <v>60</v>
      </c>
      <c r="C11" s="15">
        <v>2.5</v>
      </c>
      <c r="D11" s="15">
        <f>B11*C11*E11</f>
        <v>600</v>
      </c>
      <c r="E11" s="15">
        <v>4</v>
      </c>
      <c r="G11" s="15" t="s">
        <v>276</v>
      </c>
      <c r="H11" s="15">
        <f>SwampNuclearFacility!P20</f>
        <v>270</v>
      </c>
    </row>
    <row r="12" spans="2:10">
      <c r="B12" s="15">
        <v>60</v>
      </c>
      <c r="C12" s="15">
        <v>2.5</v>
      </c>
      <c r="D12" s="15">
        <f t="shared" ref="D12:D16" si="0">B12*C12*E12</f>
        <v>600</v>
      </c>
      <c r="E12" s="15">
        <v>4</v>
      </c>
      <c r="G12" s="15" t="s">
        <v>1</v>
      </c>
      <c r="H12" s="15">
        <f>SwampNuclearFacility!P19</f>
        <v>647.4</v>
      </c>
    </row>
    <row r="13" spans="2:10">
      <c r="B13" s="15">
        <v>120</v>
      </c>
      <c r="C13" s="15">
        <v>1.63</v>
      </c>
      <c r="D13" s="15">
        <f t="shared" si="0"/>
        <v>782.4</v>
      </c>
      <c r="E13" s="15">
        <v>4</v>
      </c>
    </row>
    <row r="14" spans="2:10">
      <c r="B14" s="15">
        <v>120</v>
      </c>
      <c r="C14" s="15">
        <v>1.63</v>
      </c>
      <c r="D14" s="15">
        <f t="shared" si="0"/>
        <v>782.4</v>
      </c>
      <c r="E14" s="15">
        <v>4</v>
      </c>
    </row>
    <row r="15" spans="2:10">
      <c r="B15" s="15">
        <v>120</v>
      </c>
      <c r="C15" s="15">
        <v>1.63</v>
      </c>
      <c r="D15" s="15">
        <f t="shared" si="0"/>
        <v>782.4</v>
      </c>
      <c r="E15" s="15">
        <v>4</v>
      </c>
    </row>
    <row r="16" spans="2:10">
      <c r="B16" s="15">
        <v>120</v>
      </c>
      <c r="C16" s="15">
        <v>1.63</v>
      </c>
      <c r="D16" s="15">
        <f t="shared" si="0"/>
        <v>782.4</v>
      </c>
      <c r="E16" s="15">
        <v>4</v>
      </c>
    </row>
    <row r="17" spans="2:5">
      <c r="B17" s="15" t="s">
        <v>105</v>
      </c>
      <c r="C17" s="15"/>
      <c r="D17" s="15">
        <f>SUM(D11:D16)</f>
        <v>4329.6000000000004</v>
      </c>
      <c r="E17" s="15"/>
    </row>
    <row r="18" spans="2:5">
      <c r="B18" s="70" t="s">
        <v>24</v>
      </c>
      <c r="C18" s="71"/>
      <c r="D18" s="71"/>
      <c r="E18" s="72"/>
    </row>
    <row r="19" spans="2:5">
      <c r="B19" s="15" t="s">
        <v>110</v>
      </c>
      <c r="C19" s="15" t="s">
        <v>111</v>
      </c>
      <c r="D19" s="15" t="s">
        <v>112</v>
      </c>
      <c r="E19" s="15" t="s">
        <v>392</v>
      </c>
    </row>
    <row r="20" spans="2:5">
      <c r="B20" s="15">
        <v>60</v>
      </c>
      <c r="C20" s="15">
        <v>2.5</v>
      </c>
      <c r="D20" s="15">
        <f>B20*C20*E20</f>
        <v>600</v>
      </c>
      <c r="E20" s="15">
        <v>4</v>
      </c>
    </row>
    <row r="21" spans="2:5">
      <c r="B21" s="15">
        <v>60</v>
      </c>
      <c r="C21" s="15">
        <v>2.5</v>
      </c>
      <c r="D21" s="15">
        <f t="shared" ref="D21:D22" si="1">B21*C21*E21</f>
        <v>600</v>
      </c>
      <c r="E21" s="15">
        <v>4</v>
      </c>
    </row>
    <row r="22" spans="2:5">
      <c r="B22" s="15">
        <v>120</v>
      </c>
      <c r="C22" s="15">
        <v>1.63</v>
      </c>
      <c r="D22" s="15">
        <f t="shared" si="1"/>
        <v>782.4</v>
      </c>
      <c r="E22" s="15">
        <v>4</v>
      </c>
    </row>
    <row r="23" spans="2:5">
      <c r="B23" s="15" t="s">
        <v>105</v>
      </c>
      <c r="C23" s="15"/>
      <c r="D23" s="15">
        <f>SUM(D20:D22)</f>
        <v>1982.4</v>
      </c>
      <c r="E23" s="15"/>
    </row>
    <row r="24" spans="2:5">
      <c r="B24" s="70" t="s">
        <v>8</v>
      </c>
      <c r="C24" s="71"/>
      <c r="D24" s="71"/>
      <c r="E24" s="72"/>
    </row>
    <row r="25" spans="2:5">
      <c r="B25" s="15" t="s">
        <v>110</v>
      </c>
      <c r="C25" s="15" t="s">
        <v>111</v>
      </c>
      <c r="D25" s="15" t="s">
        <v>112</v>
      </c>
      <c r="E25" s="15" t="s">
        <v>392</v>
      </c>
    </row>
    <row r="26" spans="2:5">
      <c r="B26" s="15">
        <v>60</v>
      </c>
      <c r="C26" s="15">
        <v>2.5</v>
      </c>
      <c r="D26" s="15">
        <f t="shared" ref="D26:D29" si="2">B26*C26*E26</f>
        <v>600</v>
      </c>
      <c r="E26" s="15">
        <v>4</v>
      </c>
    </row>
    <row r="27" spans="2:5">
      <c r="B27" s="15">
        <v>60</v>
      </c>
      <c r="C27" s="15">
        <v>2.5</v>
      </c>
      <c r="D27" s="15">
        <f t="shared" si="2"/>
        <v>600</v>
      </c>
      <c r="E27" s="15">
        <v>4</v>
      </c>
    </row>
    <row r="28" spans="2:5">
      <c r="B28" s="15">
        <v>120</v>
      </c>
      <c r="C28" s="15">
        <v>1.63</v>
      </c>
      <c r="D28" s="15">
        <f t="shared" si="2"/>
        <v>782.4</v>
      </c>
      <c r="E28" s="15">
        <v>4</v>
      </c>
    </row>
    <row r="29" spans="2:5">
      <c r="B29" s="15">
        <v>120</v>
      </c>
      <c r="C29" s="15">
        <v>1.63</v>
      </c>
      <c r="D29" s="15">
        <f t="shared" si="2"/>
        <v>782.4</v>
      </c>
      <c r="E29" s="15">
        <v>4</v>
      </c>
    </row>
    <row r="30" spans="2:5">
      <c r="B30" s="15">
        <v>120</v>
      </c>
      <c r="C30" s="15">
        <v>1.63</v>
      </c>
      <c r="D30" s="15">
        <f>B30*C30*E30</f>
        <v>782.4</v>
      </c>
      <c r="E30" s="15">
        <v>4</v>
      </c>
    </row>
    <row r="31" spans="2:5">
      <c r="B31" s="15" t="s">
        <v>105</v>
      </c>
      <c r="C31" s="15"/>
      <c r="D31" s="15">
        <f>SUM(D26:D30)</f>
        <v>3547.2000000000003</v>
      </c>
      <c r="E31" s="15"/>
    </row>
    <row r="32" spans="2:5">
      <c r="B32" s="70" t="s">
        <v>7</v>
      </c>
      <c r="C32" s="71"/>
      <c r="D32" s="71"/>
      <c r="E32" s="72"/>
    </row>
    <row r="33" spans="2:5">
      <c r="B33" s="15" t="s">
        <v>110</v>
      </c>
      <c r="C33" s="15" t="s">
        <v>111</v>
      </c>
      <c r="D33" s="15" t="s">
        <v>112</v>
      </c>
      <c r="E33" s="15" t="s">
        <v>392</v>
      </c>
    </row>
    <row r="34" spans="2:5">
      <c r="B34" s="15">
        <v>60</v>
      </c>
      <c r="C34" s="15">
        <v>2.5</v>
      </c>
      <c r="D34" s="15">
        <f>B34*C34*E34</f>
        <v>600</v>
      </c>
      <c r="E34" s="15">
        <v>4</v>
      </c>
    </row>
    <row r="35" spans="2:5">
      <c r="B35" s="15">
        <v>60</v>
      </c>
      <c r="C35" s="15">
        <v>2.5</v>
      </c>
      <c r="D35" s="15">
        <f t="shared" ref="D35" si="3">B35*C35*E35</f>
        <v>600</v>
      </c>
      <c r="E35" s="15">
        <v>4</v>
      </c>
    </row>
    <row r="36" spans="2:5">
      <c r="B36" s="15" t="s">
        <v>105</v>
      </c>
      <c r="C36" s="15"/>
      <c r="D36" s="15">
        <f>SUM(D34:D35)</f>
        <v>1200</v>
      </c>
      <c r="E36" s="15"/>
    </row>
    <row r="37" spans="2:5">
      <c r="B37" s="70" t="s">
        <v>117</v>
      </c>
      <c r="C37" s="71"/>
      <c r="D37" s="71"/>
      <c r="E37" s="72"/>
    </row>
    <row r="38" spans="2:5">
      <c r="B38" s="15" t="s">
        <v>110</v>
      </c>
      <c r="C38" s="15" t="s">
        <v>111</v>
      </c>
      <c r="D38" s="15" t="s">
        <v>112</v>
      </c>
      <c r="E38" s="15" t="s">
        <v>392</v>
      </c>
    </row>
    <row r="39" spans="2:5">
      <c r="B39" s="15">
        <v>60</v>
      </c>
      <c r="C39" s="15">
        <v>2.5</v>
      </c>
      <c r="D39" s="15">
        <f>B39*C39*E39</f>
        <v>600</v>
      </c>
      <c r="E39" s="15">
        <v>4</v>
      </c>
    </row>
    <row r="40" spans="2:5">
      <c r="B40" s="15">
        <v>60</v>
      </c>
      <c r="C40" s="15">
        <v>2.5</v>
      </c>
      <c r="D40" s="15">
        <f t="shared" ref="D40:D41" si="4">B40*C40*E40</f>
        <v>600</v>
      </c>
      <c r="E40" s="15">
        <v>4</v>
      </c>
    </row>
    <row r="41" spans="2:5">
      <c r="B41" s="15">
        <v>60</v>
      </c>
      <c r="C41" s="15">
        <v>2.5</v>
      </c>
      <c r="D41" s="15">
        <f t="shared" si="4"/>
        <v>600</v>
      </c>
      <c r="E41" s="15">
        <v>4</v>
      </c>
    </row>
    <row r="42" spans="2:5">
      <c r="B42" s="15" t="s">
        <v>105</v>
      </c>
      <c r="C42" s="15"/>
      <c r="D42" s="15">
        <f>SUM(D39:D41)</f>
        <v>1800</v>
      </c>
      <c r="E42" s="15"/>
    </row>
    <row r="43" spans="2:5">
      <c r="B43" s="70" t="s">
        <v>91</v>
      </c>
      <c r="C43" s="71"/>
      <c r="D43" s="71"/>
      <c r="E43" s="72"/>
    </row>
    <row r="44" spans="2:5">
      <c r="B44" s="15" t="s">
        <v>110</v>
      </c>
      <c r="C44" s="15" t="s">
        <v>111</v>
      </c>
      <c r="D44" s="15" t="s">
        <v>112</v>
      </c>
      <c r="E44" s="15" t="s">
        <v>392</v>
      </c>
    </row>
    <row r="45" spans="2:5">
      <c r="B45" s="15">
        <v>60</v>
      </c>
      <c r="C45" s="15">
        <v>2.5</v>
      </c>
      <c r="D45" s="15">
        <f>B45*C45*E45</f>
        <v>600</v>
      </c>
      <c r="E45" s="15">
        <v>4</v>
      </c>
    </row>
    <row r="46" spans="2:5">
      <c r="B46" s="15">
        <v>120</v>
      </c>
      <c r="C46" s="15">
        <v>1.63</v>
      </c>
      <c r="D46" s="15">
        <f t="shared" ref="D46" si="5">B46*C46*E46</f>
        <v>782.4</v>
      </c>
      <c r="E46" s="15">
        <v>4</v>
      </c>
    </row>
    <row r="47" spans="2:5">
      <c r="B47" s="15" t="s">
        <v>105</v>
      </c>
      <c r="C47" s="15"/>
      <c r="D47" s="15">
        <f>SUM(D45:D46)</f>
        <v>1382.4</v>
      </c>
      <c r="E47" s="15"/>
    </row>
    <row r="48" spans="2:5">
      <c r="B48" s="70" t="s">
        <v>341</v>
      </c>
      <c r="C48" s="71"/>
      <c r="D48" s="71"/>
      <c r="E48" s="72"/>
    </row>
    <row r="49" spans="2:5">
      <c r="B49" s="15" t="s">
        <v>110</v>
      </c>
      <c r="C49" s="15" t="s">
        <v>111</v>
      </c>
      <c r="D49" s="15" t="s">
        <v>112</v>
      </c>
      <c r="E49" s="15" t="s">
        <v>392</v>
      </c>
    </row>
    <row r="50" spans="2:5">
      <c r="B50" s="15">
        <v>30</v>
      </c>
      <c r="C50" s="15">
        <v>2.5</v>
      </c>
      <c r="D50" s="15">
        <f t="shared" ref="D50:D54" si="6">B50*C50*E50</f>
        <v>75</v>
      </c>
      <c r="E50" s="15">
        <v>1</v>
      </c>
    </row>
    <row r="51" spans="2:5">
      <c r="B51" s="15">
        <v>30</v>
      </c>
      <c r="C51" s="15">
        <v>2.5</v>
      </c>
      <c r="D51" s="15">
        <f t="shared" si="6"/>
        <v>75</v>
      </c>
      <c r="E51" s="15">
        <v>1</v>
      </c>
    </row>
    <row r="52" spans="2:5">
      <c r="B52" s="15">
        <v>30</v>
      </c>
      <c r="C52" s="15">
        <v>2.5</v>
      </c>
      <c r="D52" s="15">
        <f t="shared" si="6"/>
        <v>75</v>
      </c>
      <c r="E52" s="15">
        <v>1</v>
      </c>
    </row>
    <row r="53" spans="2:5">
      <c r="B53" s="15">
        <v>30</v>
      </c>
      <c r="C53" s="15">
        <v>2.5</v>
      </c>
      <c r="D53" s="15">
        <f t="shared" si="6"/>
        <v>75</v>
      </c>
      <c r="E53" s="15">
        <v>1</v>
      </c>
    </row>
    <row r="54" spans="2:5">
      <c r="B54" s="15">
        <v>30</v>
      </c>
      <c r="C54" s="15">
        <v>2.5</v>
      </c>
      <c r="D54" s="15">
        <f t="shared" si="6"/>
        <v>75</v>
      </c>
      <c r="E54" s="15">
        <v>1</v>
      </c>
    </row>
    <row r="55" spans="2:5">
      <c r="B55" s="15">
        <v>30</v>
      </c>
      <c r="C55" s="15">
        <v>2.5</v>
      </c>
      <c r="D55" s="15">
        <f>B55*C55*E55</f>
        <v>75</v>
      </c>
      <c r="E55" s="15">
        <v>1</v>
      </c>
    </row>
    <row r="56" spans="2:5">
      <c r="B56" s="15" t="s">
        <v>105</v>
      </c>
      <c r="C56" s="15"/>
      <c r="D56" s="15">
        <f>SUM(D50:D55)</f>
        <v>450</v>
      </c>
      <c r="E56" s="15"/>
    </row>
    <row r="57" spans="2:5">
      <c r="B57" s="70" t="s">
        <v>340</v>
      </c>
      <c r="C57" s="71"/>
      <c r="D57" s="71"/>
      <c r="E57" s="72"/>
    </row>
    <row r="58" spans="2:5">
      <c r="B58" s="15" t="s">
        <v>110</v>
      </c>
      <c r="C58" s="15" t="s">
        <v>111</v>
      </c>
      <c r="D58" s="15" t="s">
        <v>112</v>
      </c>
      <c r="E58" s="15" t="s">
        <v>392</v>
      </c>
    </row>
    <row r="59" spans="2:5">
      <c r="B59" s="15">
        <v>30</v>
      </c>
      <c r="C59" s="15">
        <v>2.5</v>
      </c>
      <c r="D59" s="15">
        <f t="shared" ref="D59:D62" si="7">B59*C59*E59</f>
        <v>300</v>
      </c>
      <c r="E59" s="15">
        <v>4</v>
      </c>
    </row>
    <row r="60" spans="2:5">
      <c r="B60" s="15">
        <v>30</v>
      </c>
      <c r="C60" s="15">
        <v>2.5</v>
      </c>
      <c r="D60" s="15">
        <f t="shared" si="7"/>
        <v>300</v>
      </c>
      <c r="E60" s="15">
        <v>4</v>
      </c>
    </row>
    <row r="61" spans="2:5">
      <c r="B61" s="15">
        <v>60</v>
      </c>
      <c r="C61" s="15">
        <v>2.5</v>
      </c>
      <c r="D61" s="15">
        <f t="shared" si="7"/>
        <v>600</v>
      </c>
      <c r="E61" s="15">
        <v>4</v>
      </c>
    </row>
    <row r="62" spans="2:5">
      <c r="B62" s="15">
        <v>60</v>
      </c>
      <c r="C62" s="15">
        <v>2.5</v>
      </c>
      <c r="D62" s="15">
        <f t="shared" si="7"/>
        <v>600</v>
      </c>
      <c r="E62" s="15">
        <v>4</v>
      </c>
    </row>
    <row r="63" spans="2:5">
      <c r="B63" s="15">
        <v>120</v>
      </c>
      <c r="C63" s="15">
        <v>1.63</v>
      </c>
      <c r="D63" s="15">
        <f>B63*C63*E63</f>
        <v>782.4</v>
      </c>
      <c r="E63" s="15">
        <v>4</v>
      </c>
    </row>
    <row r="64" spans="2:5">
      <c r="B64" s="15" t="s">
        <v>105</v>
      </c>
      <c r="C64" s="15"/>
      <c r="D64" s="15">
        <f>SUM(D59:D63)</f>
        <v>2582.4</v>
      </c>
      <c r="E64" s="15"/>
    </row>
  </sheetData>
  <mergeCells count="10">
    <mergeCell ref="B57:E57"/>
    <mergeCell ref="G9:H9"/>
    <mergeCell ref="B2:J2"/>
    <mergeCell ref="B9:E9"/>
    <mergeCell ref="B18:E18"/>
    <mergeCell ref="B24:E24"/>
    <mergeCell ref="B32:E32"/>
    <mergeCell ref="B37:E37"/>
    <mergeCell ref="B43:E43"/>
    <mergeCell ref="B48:E48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2B6-3862-458B-AF4A-7F788A2AFD31}">
  <sheetPr>
    <tabColor theme="9" tint="-0.249977111117893"/>
  </sheetPr>
  <dimension ref="C3:AB116"/>
  <sheetViews>
    <sheetView topLeftCell="I1" workbookViewId="0">
      <selection activeCell="Q16" sqref="Q16"/>
    </sheetView>
  </sheetViews>
  <sheetFormatPr defaultRowHeight="15"/>
  <cols>
    <col min="3" max="3" width="28.85546875" bestFit="1" customWidth="1"/>
    <col min="5" max="5" width="26.28515625" bestFit="1" customWidth="1"/>
    <col min="6" max="6" width="20.28515625" bestFit="1" customWidth="1"/>
    <col min="7" max="7" width="11.85546875" bestFit="1" customWidth="1"/>
    <col min="9" max="9" width="20.28515625" bestFit="1" customWidth="1"/>
    <col min="10" max="10" width="8.140625" bestFit="1" customWidth="1"/>
    <col min="11" max="11" width="11.85546875" bestFit="1" customWidth="1"/>
    <col min="12" max="12" width="32.85546875" bestFit="1" customWidth="1"/>
    <col min="13" max="13" width="12.85546875" bestFit="1" customWidth="1"/>
    <col min="14" max="14" width="23.42578125" bestFit="1" customWidth="1"/>
    <col min="15" max="15" width="12.85546875" bestFit="1" customWidth="1"/>
    <col min="16" max="16" width="25.28515625" bestFit="1" customWidth="1"/>
    <col min="17" max="17" width="18.85546875" bestFit="1" customWidth="1"/>
    <col min="18" max="18" width="20.28515625" bestFit="1" customWidth="1"/>
    <col min="19" max="19" width="15.5703125" bestFit="1" customWidth="1"/>
    <col min="20" max="20" width="14.5703125" bestFit="1" customWidth="1"/>
    <col min="21" max="21" width="12.85546875" bestFit="1" customWidth="1"/>
    <col min="22" max="22" width="15.5703125" bestFit="1" customWidth="1"/>
    <col min="23" max="23" width="17.85546875" bestFit="1" customWidth="1"/>
    <col min="24" max="25" width="10.28515625" bestFit="1" customWidth="1"/>
    <col min="26" max="26" width="13.140625" bestFit="1" customWidth="1"/>
    <col min="27" max="27" width="11.7109375" bestFit="1" customWidth="1"/>
  </cols>
  <sheetData>
    <row r="3" spans="3:24">
      <c r="C3" s="68" t="s">
        <v>159</v>
      </c>
      <c r="D3" s="69"/>
    </row>
    <row r="4" spans="3:24">
      <c r="C4" s="14" t="s">
        <v>59</v>
      </c>
      <c r="D4" s="14" t="s">
        <v>461</v>
      </c>
      <c r="E4" s="14" t="s">
        <v>464</v>
      </c>
      <c r="F4" s="14" t="s">
        <v>17</v>
      </c>
      <c r="G4" s="14" t="s">
        <v>23</v>
      </c>
      <c r="I4" s="68" t="s">
        <v>434</v>
      </c>
      <c r="J4" s="69"/>
      <c r="L4" s="73" t="s">
        <v>294</v>
      </c>
      <c r="M4" s="74"/>
      <c r="N4" s="74"/>
      <c r="O4" s="74"/>
      <c r="P4" s="74"/>
      <c r="Q4" s="74"/>
      <c r="R4" s="74"/>
      <c r="S4" s="74"/>
    </row>
    <row r="5" spans="3:24">
      <c r="C5" s="15" t="s">
        <v>57</v>
      </c>
      <c r="D5" s="15">
        <v>0</v>
      </c>
      <c r="E5" s="15">
        <v>2</v>
      </c>
      <c r="F5" s="15"/>
      <c r="G5" s="15">
        <v>0</v>
      </c>
      <c r="I5" s="14" t="s">
        <v>59</v>
      </c>
      <c r="J5" s="14" t="s">
        <v>66</v>
      </c>
      <c r="L5" s="14" t="s">
        <v>59</v>
      </c>
      <c r="M5" s="16" t="s">
        <v>103</v>
      </c>
      <c r="N5" s="16" t="s">
        <v>145</v>
      </c>
      <c r="O5" s="16" t="s">
        <v>304</v>
      </c>
      <c r="P5" s="16" t="s">
        <v>303</v>
      </c>
      <c r="Q5" s="16" t="s">
        <v>348</v>
      </c>
      <c r="R5" s="16" t="s">
        <v>345</v>
      </c>
      <c r="S5" s="31" t="s">
        <v>344</v>
      </c>
    </row>
    <row r="6" spans="3:24">
      <c r="C6" s="15" t="s">
        <v>56</v>
      </c>
      <c r="D6" s="15">
        <v>1</v>
      </c>
      <c r="E6" s="15">
        <v>2</v>
      </c>
      <c r="F6" s="15">
        <v>0</v>
      </c>
      <c r="G6" s="15">
        <v>0</v>
      </c>
      <c r="I6" s="15" t="s">
        <v>16</v>
      </c>
      <c r="J6" s="15">
        <v>180</v>
      </c>
      <c r="L6" s="15" t="s">
        <v>146</v>
      </c>
      <c r="M6" s="15">
        <v>30</v>
      </c>
      <c r="N6" s="15" t="s">
        <v>1</v>
      </c>
      <c r="O6" s="15">
        <f>P6*M6</f>
        <v>135</v>
      </c>
      <c r="P6" s="15">
        <v>4.5</v>
      </c>
      <c r="Q6" s="15" t="s">
        <v>146</v>
      </c>
      <c r="R6" s="15">
        <v>30</v>
      </c>
      <c r="S6" s="15">
        <f>R6*P6</f>
        <v>135</v>
      </c>
    </row>
    <row r="7" spans="3:24">
      <c r="C7" s="15" t="s">
        <v>55</v>
      </c>
      <c r="D7" s="15">
        <v>0</v>
      </c>
      <c r="E7" s="15">
        <v>3</v>
      </c>
      <c r="F7" s="15">
        <v>1</v>
      </c>
      <c r="G7" s="15">
        <v>1</v>
      </c>
      <c r="I7" s="15" t="s">
        <v>3</v>
      </c>
      <c r="J7" s="15">
        <v>40</v>
      </c>
      <c r="L7" s="15" t="s">
        <v>314</v>
      </c>
      <c r="M7" s="15">
        <v>30</v>
      </c>
      <c r="N7" s="15" t="s">
        <v>146</v>
      </c>
      <c r="O7" s="15">
        <f>M7*P7</f>
        <v>135</v>
      </c>
      <c r="P7" s="15">
        <v>4.5</v>
      </c>
      <c r="Q7" s="15" t="s">
        <v>314</v>
      </c>
      <c r="R7" s="15">
        <v>20</v>
      </c>
      <c r="S7" s="15">
        <f>R7*P7</f>
        <v>90</v>
      </c>
    </row>
    <row r="8" spans="3:24">
      <c r="C8" s="15" t="s">
        <v>67</v>
      </c>
      <c r="D8" s="15">
        <f>F13</f>
        <v>600</v>
      </c>
      <c r="E8" s="15">
        <f>F23</f>
        <v>1350</v>
      </c>
      <c r="F8" s="15">
        <f>F28</f>
        <v>1564.8</v>
      </c>
      <c r="G8" s="15">
        <f>F32</f>
        <v>782.4</v>
      </c>
      <c r="I8" s="15" t="s">
        <v>18</v>
      </c>
      <c r="J8" s="15">
        <v>60</v>
      </c>
    </row>
    <row r="9" spans="3:24">
      <c r="I9" s="15" t="s">
        <v>462</v>
      </c>
      <c r="J9" s="15">
        <v>6</v>
      </c>
      <c r="L9" s="73" t="s">
        <v>313</v>
      </c>
      <c r="M9" s="74"/>
      <c r="N9" s="74"/>
      <c r="O9" s="74"/>
      <c r="P9" s="74"/>
      <c r="Q9" s="74"/>
      <c r="R9" s="74"/>
      <c r="S9" s="74"/>
      <c r="T9" s="74"/>
      <c r="U9" s="74"/>
      <c r="V9" s="74"/>
    </row>
    <row r="10" spans="3:24">
      <c r="C10" s="70" t="s">
        <v>461</v>
      </c>
      <c r="D10" s="71"/>
      <c r="E10" s="71"/>
      <c r="F10" s="72"/>
      <c r="I10" s="15" t="s">
        <v>445</v>
      </c>
      <c r="J10" s="15">
        <v>16</v>
      </c>
      <c r="L10" s="14" t="s">
        <v>59</v>
      </c>
      <c r="M10" s="16" t="s">
        <v>103</v>
      </c>
      <c r="N10" s="16" t="s">
        <v>145</v>
      </c>
      <c r="O10" s="16" t="s">
        <v>104</v>
      </c>
      <c r="P10" s="16" t="s">
        <v>147</v>
      </c>
      <c r="Q10" s="16" t="s">
        <v>304</v>
      </c>
      <c r="R10" s="31" t="s">
        <v>305</v>
      </c>
      <c r="S10" s="16" t="s">
        <v>303</v>
      </c>
      <c r="T10" s="16" t="s">
        <v>348</v>
      </c>
      <c r="U10" s="16" t="s">
        <v>345</v>
      </c>
      <c r="V10" s="31" t="s">
        <v>344</v>
      </c>
    </row>
    <row r="11" spans="3:24">
      <c r="C11" s="15" t="s">
        <v>110</v>
      </c>
      <c r="D11" s="15" t="s">
        <v>111</v>
      </c>
      <c r="E11" s="15" t="s">
        <v>293</v>
      </c>
      <c r="F11" s="15" t="s">
        <v>112</v>
      </c>
      <c r="L11" s="15" t="s">
        <v>189</v>
      </c>
      <c r="M11" s="15">
        <v>24</v>
      </c>
      <c r="N11" s="15" t="s">
        <v>3</v>
      </c>
      <c r="O11" s="15">
        <v>30</v>
      </c>
      <c r="P11" s="15" t="s">
        <v>16</v>
      </c>
      <c r="Q11" s="15">
        <f>S11*M11</f>
        <v>216</v>
      </c>
      <c r="R11" s="15">
        <f>S11*O11</f>
        <v>270</v>
      </c>
      <c r="S11" s="15">
        <v>9</v>
      </c>
      <c r="T11" s="15" t="s">
        <v>189</v>
      </c>
      <c r="U11" s="15">
        <v>6</v>
      </c>
      <c r="V11" s="15">
        <f>U11*S11</f>
        <v>54</v>
      </c>
      <c r="W11" s="15" t="s">
        <v>504</v>
      </c>
    </row>
    <row r="12" spans="3:24">
      <c r="C12" s="15">
        <v>60</v>
      </c>
      <c r="D12" s="15">
        <v>2.5</v>
      </c>
      <c r="E12" s="15">
        <v>4</v>
      </c>
      <c r="F12" s="15">
        <f t="shared" ref="F12" si="0">C12*D12*E12</f>
        <v>600</v>
      </c>
      <c r="L12" s="15" t="s">
        <v>38</v>
      </c>
      <c r="M12" s="15">
        <v>50</v>
      </c>
      <c r="N12" s="15" t="s">
        <v>17</v>
      </c>
      <c r="O12" s="15">
        <v>50</v>
      </c>
      <c r="P12" s="15" t="s">
        <v>10</v>
      </c>
      <c r="Q12" s="15">
        <f>S12*M12</f>
        <v>1560</v>
      </c>
      <c r="R12" s="15">
        <f>S12*O12</f>
        <v>1560</v>
      </c>
      <c r="S12" s="15">
        <v>31.2</v>
      </c>
      <c r="T12" s="15" t="s">
        <v>38</v>
      </c>
      <c r="U12" s="15">
        <v>50</v>
      </c>
      <c r="V12" s="15">
        <f>U12*S12</f>
        <v>1560</v>
      </c>
    </row>
    <row r="13" spans="3:24">
      <c r="C13" s="15" t="s">
        <v>105</v>
      </c>
      <c r="D13" s="15"/>
      <c r="E13" s="15"/>
      <c r="F13" s="15">
        <f>F12</f>
        <v>600</v>
      </c>
    </row>
    <row r="14" spans="3:24">
      <c r="C14" s="70" t="s">
        <v>276</v>
      </c>
      <c r="D14" s="71"/>
      <c r="E14" s="71"/>
      <c r="F14" s="72"/>
      <c r="L14" s="73" t="s">
        <v>326</v>
      </c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</row>
    <row r="15" spans="3:24">
      <c r="C15" s="15" t="s">
        <v>110</v>
      </c>
      <c r="D15" s="15" t="s">
        <v>111</v>
      </c>
      <c r="E15" s="15" t="s">
        <v>293</v>
      </c>
      <c r="F15" s="15" t="s">
        <v>112</v>
      </c>
      <c r="L15" s="14" t="s">
        <v>59</v>
      </c>
      <c r="M15" s="16" t="s">
        <v>103</v>
      </c>
      <c r="N15" s="16" t="s">
        <v>145</v>
      </c>
      <c r="O15" s="16" t="s">
        <v>104</v>
      </c>
      <c r="P15" s="16" t="s">
        <v>147</v>
      </c>
      <c r="Q15" s="16" t="s">
        <v>328</v>
      </c>
      <c r="R15" s="16" t="s">
        <v>329</v>
      </c>
      <c r="S15" s="16" t="s">
        <v>304</v>
      </c>
      <c r="T15" s="31" t="s">
        <v>305</v>
      </c>
      <c r="U15" s="16" t="s">
        <v>332</v>
      </c>
      <c r="V15" s="16" t="s">
        <v>303</v>
      </c>
      <c r="W15" s="16" t="s">
        <v>106</v>
      </c>
      <c r="X15" s="31" t="s">
        <v>302</v>
      </c>
    </row>
    <row r="16" spans="3:24">
      <c r="C16" s="15">
        <v>30</v>
      </c>
      <c r="D16" s="15">
        <v>2.5</v>
      </c>
      <c r="E16" s="15">
        <v>1</v>
      </c>
      <c r="F16" s="15">
        <f t="shared" ref="F16:F22" si="1">C16*D16*E16</f>
        <v>75</v>
      </c>
      <c r="L16" s="15" t="s">
        <v>465</v>
      </c>
      <c r="M16" s="15">
        <v>120</v>
      </c>
      <c r="N16" s="15" t="s">
        <v>276</v>
      </c>
      <c r="O16" s="15">
        <v>30</v>
      </c>
      <c r="P16" s="15" t="s">
        <v>10</v>
      </c>
      <c r="Q16" s="15">
        <v>10</v>
      </c>
      <c r="R16" s="15" t="s">
        <v>314</v>
      </c>
      <c r="S16" s="15">
        <f>SUM(M16*V16)</f>
        <v>1080</v>
      </c>
      <c r="T16" s="15">
        <f>O16*V16</f>
        <v>270</v>
      </c>
      <c r="U16" s="15">
        <f>SUM(Q16*V16)</f>
        <v>90</v>
      </c>
      <c r="V16" s="15">
        <v>9</v>
      </c>
      <c r="W16" s="15">
        <v>30</v>
      </c>
      <c r="X16" s="15">
        <f>W16*V16</f>
        <v>270</v>
      </c>
    </row>
    <row r="17" spans="3:28">
      <c r="C17" s="15">
        <v>30</v>
      </c>
      <c r="D17" s="15">
        <v>2.5</v>
      </c>
      <c r="E17" s="15">
        <v>1</v>
      </c>
      <c r="F17" s="15">
        <f t="shared" si="1"/>
        <v>75</v>
      </c>
    </row>
    <row r="18" spans="3:28">
      <c r="C18" s="15">
        <v>60</v>
      </c>
      <c r="D18" s="15">
        <v>2.5</v>
      </c>
      <c r="E18" s="15">
        <v>1</v>
      </c>
      <c r="F18" s="15">
        <f t="shared" si="1"/>
        <v>150</v>
      </c>
      <c r="L18" s="68" t="s">
        <v>466</v>
      </c>
      <c r="M18" s="69"/>
      <c r="O18" s="68" t="s">
        <v>312</v>
      </c>
      <c r="P18" s="69"/>
    </row>
    <row r="19" spans="3:28" ht="15.75">
      <c r="C19" s="15">
        <v>60</v>
      </c>
      <c r="D19" s="15">
        <v>2.5</v>
      </c>
      <c r="E19" s="15">
        <v>1</v>
      </c>
      <c r="F19" s="15">
        <f t="shared" si="1"/>
        <v>150</v>
      </c>
      <c r="I19" s="68" t="s">
        <v>523</v>
      </c>
      <c r="J19" s="69"/>
      <c r="L19" s="14" t="s">
        <v>16</v>
      </c>
      <c r="M19" s="15">
        <f>J6-R11</f>
        <v>-90</v>
      </c>
      <c r="O19" s="14" t="s">
        <v>1</v>
      </c>
      <c r="P19" s="37">
        <f>G8-O6</f>
        <v>647.4</v>
      </c>
      <c r="Q19" s="37" t="s">
        <v>467</v>
      </c>
    </row>
    <row r="20" spans="3:28" ht="15.75">
      <c r="C20" s="15">
        <v>120</v>
      </c>
      <c r="D20" s="15">
        <v>2.5</v>
      </c>
      <c r="E20" s="15">
        <v>1</v>
      </c>
      <c r="F20" s="15">
        <f t="shared" si="1"/>
        <v>300</v>
      </c>
      <c r="I20" s="14" t="s">
        <v>524</v>
      </c>
      <c r="J20" s="15">
        <f>3*D41</f>
        <v>6</v>
      </c>
      <c r="L20" s="14" t="s">
        <v>3</v>
      </c>
      <c r="M20" s="15">
        <f>J7-Q11</f>
        <v>-176</v>
      </c>
      <c r="O20" s="14" t="s">
        <v>276</v>
      </c>
      <c r="P20" s="37">
        <f>E8-S16</f>
        <v>270</v>
      </c>
      <c r="Q20" s="37" t="s">
        <v>467</v>
      </c>
    </row>
    <row r="21" spans="3:28" ht="15.75">
      <c r="C21" s="15">
        <v>120</v>
      </c>
      <c r="D21" s="15">
        <v>2.5</v>
      </c>
      <c r="E21" s="15">
        <v>1</v>
      </c>
      <c r="F21" s="15">
        <f t="shared" si="1"/>
        <v>300</v>
      </c>
      <c r="I21" s="14" t="s">
        <v>6</v>
      </c>
      <c r="J21" s="15">
        <f>50*D41</f>
        <v>100</v>
      </c>
      <c r="L21" s="14" t="s">
        <v>18</v>
      </c>
      <c r="M21" s="15">
        <f>J8</f>
        <v>60</v>
      </c>
      <c r="O21" s="14" t="s">
        <v>17</v>
      </c>
      <c r="P21" s="37">
        <f>F8-Q12</f>
        <v>4.7999999999999545</v>
      </c>
    </row>
    <row r="22" spans="3:28">
      <c r="C22" s="15">
        <v>120</v>
      </c>
      <c r="D22" s="15">
        <v>2.5</v>
      </c>
      <c r="E22" s="15">
        <v>1</v>
      </c>
      <c r="F22" s="15">
        <f t="shared" si="1"/>
        <v>300</v>
      </c>
      <c r="I22" s="14" t="s">
        <v>525</v>
      </c>
      <c r="J22" s="15">
        <f>5*D41</f>
        <v>10</v>
      </c>
      <c r="L22" s="14" t="s">
        <v>462</v>
      </c>
      <c r="M22" s="15">
        <f>J9</f>
        <v>6</v>
      </c>
      <c r="O22" s="14" t="s">
        <v>314</v>
      </c>
      <c r="P22" s="15">
        <f>S7-U16</f>
        <v>0</v>
      </c>
    </row>
    <row r="23" spans="3:28">
      <c r="C23" s="15" t="s">
        <v>105</v>
      </c>
      <c r="D23" s="15"/>
      <c r="E23" s="15"/>
      <c r="F23" s="15">
        <f>SUM(F16:F22)</f>
        <v>1350</v>
      </c>
      <c r="I23" s="14" t="s">
        <v>522</v>
      </c>
      <c r="J23" s="15">
        <f>10*D41</f>
        <v>20</v>
      </c>
      <c r="L23" s="14" t="s">
        <v>445</v>
      </c>
      <c r="M23" s="15">
        <f>J10</f>
        <v>16</v>
      </c>
      <c r="O23" s="14" t="s">
        <v>468</v>
      </c>
      <c r="P23" s="15">
        <f>D8</f>
        <v>600</v>
      </c>
    </row>
    <row r="24" spans="3:28">
      <c r="C24" s="70" t="s">
        <v>17</v>
      </c>
      <c r="D24" s="71"/>
      <c r="E24" s="71"/>
      <c r="F24" s="72"/>
      <c r="I24" s="14" t="s">
        <v>526</v>
      </c>
      <c r="J24" s="15">
        <f>3*D41</f>
        <v>6</v>
      </c>
      <c r="L24" s="14" t="s">
        <v>465</v>
      </c>
      <c r="M24" s="15">
        <f>X16</f>
        <v>270</v>
      </c>
    </row>
    <row r="25" spans="3:28">
      <c r="C25" s="15" t="s">
        <v>110</v>
      </c>
      <c r="D25" s="15" t="s">
        <v>111</v>
      </c>
      <c r="E25" s="15" t="s">
        <v>293</v>
      </c>
      <c r="F25" s="15" t="s">
        <v>112</v>
      </c>
      <c r="L25" s="14" t="s">
        <v>38</v>
      </c>
      <c r="M25" s="15">
        <f>V12</f>
        <v>1560</v>
      </c>
    </row>
    <row r="26" spans="3:28">
      <c r="C26" s="15">
        <v>120</v>
      </c>
      <c r="D26" s="15">
        <v>1.63</v>
      </c>
      <c r="E26" s="15">
        <v>4</v>
      </c>
      <c r="F26" s="15">
        <f t="shared" ref="F26" si="2">C26*D26*E26</f>
        <v>782.4</v>
      </c>
      <c r="I26" s="68" t="s">
        <v>510</v>
      </c>
      <c r="J26" s="69"/>
      <c r="L26" s="14" t="s">
        <v>189</v>
      </c>
      <c r="M26" s="15">
        <f>V11</f>
        <v>54</v>
      </c>
    </row>
    <row r="27" spans="3:28">
      <c r="C27" s="15">
        <v>120</v>
      </c>
      <c r="D27" s="15">
        <v>1.63</v>
      </c>
      <c r="E27" s="15">
        <v>4</v>
      </c>
      <c r="F27" s="15">
        <f t="shared" ref="F27" si="3">C27*D27*E27</f>
        <v>782.4</v>
      </c>
      <c r="I27" s="14" t="s">
        <v>16</v>
      </c>
      <c r="J27" s="15">
        <f>250*D39</f>
        <v>1500</v>
      </c>
      <c r="Q27" s="80" t="s">
        <v>485</v>
      </c>
      <c r="R27" s="81"/>
      <c r="S27" s="81"/>
      <c r="V27" s="58" t="s">
        <v>498</v>
      </c>
    </row>
    <row r="28" spans="3:28">
      <c r="C28" s="15" t="s">
        <v>105</v>
      </c>
      <c r="D28" s="15"/>
      <c r="E28" s="15"/>
      <c r="F28" s="15">
        <f>F26+F27</f>
        <v>1564.8</v>
      </c>
      <c r="I28" s="14" t="s">
        <v>517</v>
      </c>
      <c r="J28" s="15">
        <f>25*D39</f>
        <v>150</v>
      </c>
      <c r="L28" s="73" t="s">
        <v>473</v>
      </c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3:28">
      <c r="C29" s="70" t="s">
        <v>23</v>
      </c>
      <c r="D29" s="71"/>
      <c r="E29" s="71"/>
      <c r="F29" s="72"/>
      <c r="I29" s="14" t="s">
        <v>521</v>
      </c>
      <c r="J29" s="15">
        <f>5*D39</f>
        <v>30</v>
      </c>
      <c r="L29" s="14" t="s">
        <v>59</v>
      </c>
      <c r="M29" s="16" t="s">
        <v>103</v>
      </c>
      <c r="N29" s="16" t="s">
        <v>145</v>
      </c>
      <c r="O29" s="16" t="s">
        <v>104</v>
      </c>
      <c r="P29" s="16" t="s">
        <v>147</v>
      </c>
      <c r="Q29" s="16" t="s">
        <v>328</v>
      </c>
      <c r="R29" s="16" t="s">
        <v>329</v>
      </c>
      <c r="S29" s="16" t="s">
        <v>304</v>
      </c>
      <c r="T29" s="31" t="s">
        <v>305</v>
      </c>
      <c r="U29" s="16" t="s">
        <v>332</v>
      </c>
      <c r="V29" s="16" t="s">
        <v>303</v>
      </c>
      <c r="W29" s="16" t="s">
        <v>471</v>
      </c>
      <c r="X29" s="16" t="s">
        <v>106</v>
      </c>
      <c r="Y29" s="31" t="s">
        <v>302</v>
      </c>
      <c r="Z29" s="16" t="s">
        <v>475</v>
      </c>
      <c r="AA29" s="16" t="s">
        <v>346</v>
      </c>
      <c r="AB29" s="31" t="s">
        <v>347</v>
      </c>
    </row>
    <row r="30" spans="3:28">
      <c r="C30" s="15" t="s">
        <v>110</v>
      </c>
      <c r="D30" s="15" t="s">
        <v>111</v>
      </c>
      <c r="E30" s="15" t="s">
        <v>293</v>
      </c>
      <c r="F30" s="15" t="s">
        <v>112</v>
      </c>
      <c r="I30" s="14" t="s">
        <v>399</v>
      </c>
      <c r="J30" s="15">
        <f>100*D39</f>
        <v>600</v>
      </c>
      <c r="L30" s="15" t="s">
        <v>470</v>
      </c>
      <c r="M30" s="15">
        <v>50</v>
      </c>
      <c r="N30" s="15" t="s">
        <v>468</v>
      </c>
      <c r="O30" s="15">
        <v>15</v>
      </c>
      <c r="P30" s="15" t="s">
        <v>16</v>
      </c>
      <c r="Q30" s="15">
        <v>40</v>
      </c>
      <c r="R30" s="15" t="s">
        <v>38</v>
      </c>
      <c r="S30" s="15">
        <f>SUM(M30*V30)</f>
        <v>240</v>
      </c>
      <c r="T30" s="15">
        <f>O30*V30</f>
        <v>72</v>
      </c>
      <c r="U30" s="15">
        <f>SUM(Q30*V30)</f>
        <v>192</v>
      </c>
      <c r="V30" s="15">
        <v>4.8</v>
      </c>
      <c r="W30" s="15" t="s">
        <v>472</v>
      </c>
      <c r="X30" s="15">
        <v>25</v>
      </c>
      <c r="Y30" s="15">
        <f>X30*V30</f>
        <v>120</v>
      </c>
      <c r="Z30" s="15" t="s">
        <v>38</v>
      </c>
      <c r="AA30" s="15">
        <v>10</v>
      </c>
      <c r="AB30" s="15">
        <f>AA30*V30</f>
        <v>48</v>
      </c>
    </row>
    <row r="31" spans="3:28">
      <c r="C31" s="15">
        <v>120</v>
      </c>
      <c r="D31" s="15">
        <v>1.63</v>
      </c>
      <c r="E31" s="15">
        <v>4</v>
      </c>
      <c r="F31" s="15">
        <f t="shared" ref="F31" si="4">C31*D31*E31</f>
        <v>782.4</v>
      </c>
      <c r="I31" s="14" t="s">
        <v>368</v>
      </c>
      <c r="J31" s="15">
        <f>100*D39</f>
        <v>600</v>
      </c>
    </row>
    <row r="32" spans="3:28">
      <c r="C32" s="15" t="s">
        <v>105</v>
      </c>
      <c r="D32" s="15"/>
      <c r="E32" s="15"/>
      <c r="F32" s="15">
        <f>F31</f>
        <v>782.4</v>
      </c>
      <c r="L32" s="68" t="s">
        <v>466</v>
      </c>
      <c r="M32" s="69"/>
    </row>
    <row r="33" spans="3:25">
      <c r="C33" s="68" t="s">
        <v>515</v>
      </c>
      <c r="D33" s="69"/>
      <c r="F33" s="68" t="s">
        <v>509</v>
      </c>
      <c r="G33" s="69"/>
      <c r="I33" s="68" t="s">
        <v>506</v>
      </c>
      <c r="J33" s="69"/>
      <c r="L33" s="14" t="s">
        <v>468</v>
      </c>
      <c r="M33" s="15">
        <f>P23-S30</f>
        <v>360</v>
      </c>
    </row>
    <row r="34" spans="3:25">
      <c r="C34" s="14" t="s">
        <v>505</v>
      </c>
      <c r="D34" s="15">
        <v>2</v>
      </c>
      <c r="F34" s="14" t="s">
        <v>12</v>
      </c>
      <c r="G34" s="15">
        <f>5*D38</f>
        <v>25</v>
      </c>
      <c r="I34" s="14" t="s">
        <v>225</v>
      </c>
      <c r="J34" s="15">
        <f>8*D35</f>
        <v>40</v>
      </c>
      <c r="L34" s="14" t="s">
        <v>16</v>
      </c>
      <c r="M34" s="15">
        <f>M19-T30</f>
        <v>-162</v>
      </c>
    </row>
    <row r="35" spans="3:25">
      <c r="C35" s="14" t="s">
        <v>506</v>
      </c>
      <c r="D35" s="15">
        <v>5</v>
      </c>
      <c r="F35" s="14" t="s">
        <v>143</v>
      </c>
      <c r="G35" s="15">
        <f>10*D38</f>
        <v>50</v>
      </c>
      <c r="I35" s="14" t="s">
        <v>399</v>
      </c>
      <c r="J35" s="15">
        <f>10*D35</f>
        <v>50</v>
      </c>
      <c r="L35" s="14" t="s">
        <v>38</v>
      </c>
      <c r="M35" s="15">
        <f>M25-U30+AB30</f>
        <v>1416</v>
      </c>
    </row>
    <row r="36" spans="3:25">
      <c r="C36" s="14" t="s">
        <v>507</v>
      </c>
      <c r="D36" s="15">
        <v>16</v>
      </c>
      <c r="F36" s="14" t="s">
        <v>399</v>
      </c>
      <c r="G36" s="15">
        <f>50*D38</f>
        <v>250</v>
      </c>
      <c r="I36" s="14" t="s">
        <v>178</v>
      </c>
      <c r="J36" s="15">
        <f>4*D35</f>
        <v>20</v>
      </c>
      <c r="L36" s="14" t="s">
        <v>472</v>
      </c>
      <c r="M36" s="15">
        <f>Y30</f>
        <v>120</v>
      </c>
    </row>
    <row r="37" spans="3:25">
      <c r="C37" s="14" t="s">
        <v>508</v>
      </c>
      <c r="D37" s="15">
        <v>8</v>
      </c>
      <c r="F37" s="14" t="s">
        <v>11</v>
      </c>
      <c r="G37" s="15">
        <f>50*D38</f>
        <v>250</v>
      </c>
    </row>
    <row r="38" spans="3:25">
      <c r="C38" s="14" t="s">
        <v>509</v>
      </c>
      <c r="D38" s="15">
        <v>5</v>
      </c>
      <c r="L38" s="73" t="s">
        <v>474</v>
      </c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spans="3:25">
      <c r="C39" s="14" t="s">
        <v>510</v>
      </c>
      <c r="D39" s="15">
        <v>6</v>
      </c>
      <c r="F39" s="68" t="s">
        <v>505</v>
      </c>
      <c r="G39" s="69"/>
      <c r="I39" s="68" t="s">
        <v>507</v>
      </c>
      <c r="J39" s="69"/>
      <c r="L39" s="14" t="s">
        <v>59</v>
      </c>
      <c r="M39" s="16" t="s">
        <v>103</v>
      </c>
      <c r="N39" s="16" t="s">
        <v>145</v>
      </c>
      <c r="O39" s="16" t="s">
        <v>104</v>
      </c>
      <c r="P39" s="16" t="s">
        <v>147</v>
      </c>
      <c r="Q39" s="16" t="s">
        <v>328</v>
      </c>
      <c r="R39" s="16" t="s">
        <v>329</v>
      </c>
      <c r="S39" s="16" t="s">
        <v>304</v>
      </c>
      <c r="T39" s="31" t="s">
        <v>305</v>
      </c>
      <c r="U39" s="16" t="s">
        <v>332</v>
      </c>
      <c r="V39" s="16" t="s">
        <v>303</v>
      </c>
      <c r="W39" s="16" t="s">
        <v>471</v>
      </c>
      <c r="X39" s="16" t="s">
        <v>106</v>
      </c>
      <c r="Y39" s="31" t="s">
        <v>302</v>
      </c>
    </row>
    <row r="40" spans="3:25">
      <c r="C40" s="14" t="s">
        <v>511</v>
      </c>
      <c r="D40" s="15">
        <v>1</v>
      </c>
      <c r="F40" s="14" t="s">
        <v>225</v>
      </c>
      <c r="G40" s="15">
        <f>2*D34</f>
        <v>4</v>
      </c>
      <c r="I40" s="14" t="s">
        <v>516</v>
      </c>
      <c r="J40" s="15">
        <f>10*D36</f>
        <v>160</v>
      </c>
      <c r="L40" s="15" t="s">
        <v>469</v>
      </c>
      <c r="M40" s="15">
        <v>20</v>
      </c>
      <c r="N40" s="15" t="s">
        <v>470</v>
      </c>
      <c r="O40" s="15">
        <v>1.2</v>
      </c>
      <c r="P40" s="15" t="s">
        <v>189</v>
      </c>
      <c r="Q40" s="15">
        <v>2</v>
      </c>
      <c r="R40" s="15" t="s">
        <v>445</v>
      </c>
      <c r="S40" s="15">
        <f>SUM(M40*V40)</f>
        <v>120</v>
      </c>
      <c r="T40" s="15">
        <f>O40*V40</f>
        <v>7.1999999999999993</v>
      </c>
      <c r="U40" s="15">
        <f>SUM(Q40*V40)</f>
        <v>12</v>
      </c>
      <c r="V40" s="15">
        <v>6</v>
      </c>
      <c r="W40" s="15" t="s">
        <v>469</v>
      </c>
      <c r="X40" s="15">
        <v>0.4</v>
      </c>
      <c r="Y40" s="15">
        <f>X40*V40</f>
        <v>2.4000000000000004</v>
      </c>
    </row>
    <row r="41" spans="3:25">
      <c r="C41" s="14" t="s">
        <v>512</v>
      </c>
      <c r="D41" s="15">
        <v>2</v>
      </c>
      <c r="F41" s="14" t="s">
        <v>399</v>
      </c>
      <c r="G41" s="15">
        <f>8*D34</f>
        <v>16</v>
      </c>
      <c r="I41" s="14" t="s">
        <v>140</v>
      </c>
      <c r="J41" s="15">
        <f>10*D36</f>
        <v>160</v>
      </c>
    </row>
    <row r="42" spans="3:25">
      <c r="C42" s="14" t="s">
        <v>513</v>
      </c>
      <c r="D42" s="15">
        <v>1</v>
      </c>
      <c r="I42" s="14" t="s">
        <v>6</v>
      </c>
      <c r="J42" s="15">
        <f>30*D36</f>
        <v>480</v>
      </c>
      <c r="L42" s="68" t="s">
        <v>466</v>
      </c>
      <c r="M42" s="69"/>
      <c r="P42" s="14" t="s">
        <v>477</v>
      </c>
      <c r="Q42" s="15">
        <v>120</v>
      </c>
    </row>
    <row r="43" spans="3:25">
      <c r="C43" s="14" t="s">
        <v>514</v>
      </c>
      <c r="D43" s="15">
        <v>7</v>
      </c>
      <c r="F43" s="68" t="s">
        <v>508</v>
      </c>
      <c r="G43" s="69"/>
      <c r="I43" s="14" t="s">
        <v>86</v>
      </c>
      <c r="J43" s="15">
        <f>20*D36</f>
        <v>320</v>
      </c>
      <c r="L43" s="14" t="s">
        <v>472</v>
      </c>
      <c r="M43" s="15">
        <f>M36-S40</f>
        <v>0</v>
      </c>
      <c r="P43" s="14" t="s">
        <v>486</v>
      </c>
      <c r="Q43" s="15">
        <v>2.4</v>
      </c>
    </row>
    <row r="44" spans="3:25">
      <c r="F44" s="14" t="s">
        <v>516</v>
      </c>
      <c r="G44" s="15">
        <f>20*D37</f>
        <v>160</v>
      </c>
      <c r="L44" s="14" t="s">
        <v>189</v>
      </c>
      <c r="M44" s="15">
        <f>M26-T40</f>
        <v>46.8</v>
      </c>
    </row>
    <row r="45" spans="3:25">
      <c r="C45" s="68" t="s">
        <v>527</v>
      </c>
      <c r="D45" s="69"/>
      <c r="F45" s="14" t="s">
        <v>517</v>
      </c>
      <c r="G45" s="15">
        <f>10*D37</f>
        <v>80</v>
      </c>
      <c r="I45" s="68" t="s">
        <v>519</v>
      </c>
      <c r="J45" s="69"/>
      <c r="L45" s="14" t="s">
        <v>445</v>
      </c>
      <c r="M45" s="15">
        <f>M23-U40</f>
        <v>4</v>
      </c>
    </row>
    <row r="46" spans="3:25">
      <c r="C46" s="14" t="s">
        <v>12</v>
      </c>
      <c r="D46" s="15">
        <f>G34+G44+G53+J40</f>
        <v>395</v>
      </c>
      <c r="F46" s="14" t="s">
        <v>374</v>
      </c>
      <c r="G46" s="15">
        <f>50*D37</f>
        <v>400</v>
      </c>
      <c r="I46" s="14" t="s">
        <v>518</v>
      </c>
      <c r="J46" s="15">
        <v>25</v>
      </c>
      <c r="L46" s="14" t="s">
        <v>469</v>
      </c>
      <c r="M46" s="15">
        <f>Y40</f>
        <v>2.4000000000000004</v>
      </c>
    </row>
    <row r="47" spans="3:25">
      <c r="C47" s="14" t="s">
        <v>368</v>
      </c>
      <c r="D47" s="15">
        <f>J31</f>
        <v>600</v>
      </c>
      <c r="F47" s="14" t="s">
        <v>518</v>
      </c>
      <c r="G47" s="15">
        <f>5*D37</f>
        <v>40</v>
      </c>
      <c r="I47" s="14" t="s">
        <v>520</v>
      </c>
      <c r="J47" s="15">
        <v>100</v>
      </c>
      <c r="L47" s="14" t="s">
        <v>16</v>
      </c>
      <c r="M47" s="15">
        <f>M34</f>
        <v>-162</v>
      </c>
    </row>
    <row r="48" spans="3:25">
      <c r="C48" s="14" t="s">
        <v>16</v>
      </c>
      <c r="D48" s="15">
        <f>J27</f>
        <v>1500</v>
      </c>
      <c r="I48" s="14" t="s">
        <v>521</v>
      </c>
      <c r="J48" s="15">
        <v>10</v>
      </c>
      <c r="L48" s="14" t="s">
        <v>38</v>
      </c>
      <c r="M48" s="15">
        <f>M35</f>
        <v>1416</v>
      </c>
    </row>
    <row r="49" spans="3:14">
      <c r="C49" s="14" t="s">
        <v>143</v>
      </c>
      <c r="D49" s="15">
        <f>G35+G45+J28</f>
        <v>280</v>
      </c>
      <c r="F49" s="68" t="s">
        <v>513</v>
      </c>
      <c r="G49" s="69"/>
      <c r="I49" s="14" t="s">
        <v>460</v>
      </c>
      <c r="J49" s="15">
        <v>50</v>
      </c>
      <c r="L49" s="14" t="s">
        <v>462</v>
      </c>
      <c r="M49" s="15">
        <f>M22</f>
        <v>6</v>
      </c>
    </row>
    <row r="50" spans="3:14">
      <c r="C50" s="14" t="s">
        <v>399</v>
      </c>
      <c r="D50" s="15">
        <f>G36+G41+J30+J35</f>
        <v>916</v>
      </c>
      <c r="F50" s="14" t="s">
        <v>120</v>
      </c>
      <c r="G50" s="15">
        <f>200*D42</f>
        <v>200</v>
      </c>
      <c r="I50" s="14" t="s">
        <v>522</v>
      </c>
      <c r="J50" s="15">
        <v>20</v>
      </c>
      <c r="L50" s="14" t="s">
        <v>18</v>
      </c>
      <c r="M50" s="15">
        <f>M21</f>
        <v>60</v>
      </c>
    </row>
    <row r="51" spans="3:14">
      <c r="C51" s="14" t="s">
        <v>11</v>
      </c>
      <c r="D51" s="15">
        <f>G37+G54</f>
        <v>320</v>
      </c>
      <c r="F51" s="14" t="s">
        <v>14</v>
      </c>
      <c r="G51" s="15">
        <f>50*D42</f>
        <v>50</v>
      </c>
      <c r="I51" s="14" t="s">
        <v>287</v>
      </c>
      <c r="J51" s="15">
        <v>10</v>
      </c>
      <c r="L51" s="14" t="s">
        <v>3</v>
      </c>
      <c r="M51" s="15">
        <f>M20</f>
        <v>-176</v>
      </c>
    </row>
    <row r="52" spans="3:14">
      <c r="C52" s="14" t="s">
        <v>321</v>
      </c>
      <c r="D52" s="15">
        <f>G40+J34</f>
        <v>44</v>
      </c>
      <c r="F52" s="14" t="s">
        <v>189</v>
      </c>
      <c r="G52" s="15">
        <f>50*D42</f>
        <v>50</v>
      </c>
      <c r="L52" s="14" t="s">
        <v>465</v>
      </c>
      <c r="M52" s="15">
        <f>M24</f>
        <v>270</v>
      </c>
    </row>
    <row r="53" spans="3:14">
      <c r="C53" s="14" t="s">
        <v>43</v>
      </c>
      <c r="D53" s="15">
        <f>G46</f>
        <v>400</v>
      </c>
      <c r="F53" s="14" t="s">
        <v>12</v>
      </c>
      <c r="G53" s="15">
        <f>50*D42</f>
        <v>50</v>
      </c>
      <c r="L53" s="14" t="s">
        <v>476</v>
      </c>
      <c r="M53" s="15">
        <v>120</v>
      </c>
      <c r="N53" s="57" t="s">
        <v>478</v>
      </c>
    </row>
    <row r="54" spans="3:14">
      <c r="C54" s="14" t="s">
        <v>14</v>
      </c>
      <c r="D54" s="15">
        <f>G51</f>
        <v>50</v>
      </c>
      <c r="F54" s="14" t="s">
        <v>11</v>
      </c>
      <c r="G54" s="15">
        <v>70</v>
      </c>
    </row>
    <row r="55" spans="3:14">
      <c r="C55" s="14" t="s">
        <v>72</v>
      </c>
      <c r="D55" s="15">
        <f>J21+J42</f>
        <v>580</v>
      </c>
      <c r="F55" s="14" t="s">
        <v>3</v>
      </c>
      <c r="G55" s="15">
        <v>70</v>
      </c>
    </row>
    <row r="56" spans="3:14">
      <c r="C56" s="14" t="s">
        <v>189</v>
      </c>
      <c r="D56" s="15">
        <f>G52+J41</f>
        <v>210</v>
      </c>
    </row>
    <row r="57" spans="3:14">
      <c r="C57" s="14" t="s">
        <v>3</v>
      </c>
      <c r="D57" s="15">
        <f>G55</f>
        <v>70</v>
      </c>
    </row>
    <row r="58" spans="3:14">
      <c r="C58" s="14" t="s">
        <v>80</v>
      </c>
      <c r="D58" s="15">
        <f>J36</f>
        <v>20</v>
      </c>
    </row>
    <row r="59" spans="3:14">
      <c r="C59" s="14" t="s">
        <v>86</v>
      </c>
      <c r="D59" s="15">
        <f>J43</f>
        <v>320</v>
      </c>
    </row>
    <row r="60" spans="3:14">
      <c r="C60" s="14" t="s">
        <v>445</v>
      </c>
      <c r="D60" s="15">
        <f>J47</f>
        <v>100</v>
      </c>
    </row>
    <row r="61" spans="3:14">
      <c r="C61" s="61" t="s">
        <v>526</v>
      </c>
      <c r="D61" s="15">
        <f>J24+J51</f>
        <v>16</v>
      </c>
    </row>
    <row r="62" spans="3:14">
      <c r="C62" s="61" t="s">
        <v>518</v>
      </c>
      <c r="D62" s="15">
        <f>G47+J46</f>
        <v>65</v>
      </c>
    </row>
    <row r="63" spans="3:14">
      <c r="C63" s="61" t="s">
        <v>528</v>
      </c>
      <c r="D63" s="15">
        <f>J22+J48+J29</f>
        <v>50</v>
      </c>
    </row>
    <row r="64" spans="3:14">
      <c r="C64" s="61" t="s">
        <v>229</v>
      </c>
      <c r="D64" s="15">
        <f>J50+J23</f>
        <v>40</v>
      </c>
    </row>
    <row r="65" spans="3:28">
      <c r="C65" s="61" t="s">
        <v>460</v>
      </c>
      <c r="D65" s="15">
        <f>J49</f>
        <v>50</v>
      </c>
    </row>
    <row r="66" spans="3:28">
      <c r="O66" s="80" t="s">
        <v>484</v>
      </c>
      <c r="P66" s="81"/>
      <c r="Q66" s="81"/>
      <c r="R66" s="81"/>
    </row>
    <row r="67" spans="3:28">
      <c r="C67" s="73" t="s">
        <v>479</v>
      </c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</row>
    <row r="68" spans="3:28">
      <c r="C68" s="14" t="s">
        <v>59</v>
      </c>
      <c r="D68" s="16" t="s">
        <v>103</v>
      </c>
      <c r="E68" s="16" t="s">
        <v>145</v>
      </c>
      <c r="F68" s="16" t="s">
        <v>104</v>
      </c>
      <c r="G68" s="16" t="s">
        <v>147</v>
      </c>
      <c r="H68" s="16" t="s">
        <v>328</v>
      </c>
      <c r="I68" s="16" t="s">
        <v>329</v>
      </c>
      <c r="J68" s="16" t="s">
        <v>330</v>
      </c>
      <c r="K68" s="16" t="s">
        <v>331</v>
      </c>
      <c r="L68" s="16" t="s">
        <v>304</v>
      </c>
      <c r="M68" s="31" t="s">
        <v>305</v>
      </c>
      <c r="N68" s="16" t="s">
        <v>332</v>
      </c>
      <c r="O68" s="31" t="s">
        <v>333</v>
      </c>
      <c r="P68" s="16" t="s">
        <v>303</v>
      </c>
      <c r="Q68" s="16" t="s">
        <v>348</v>
      </c>
      <c r="R68" s="16" t="s">
        <v>481</v>
      </c>
      <c r="S68" s="31" t="s">
        <v>344</v>
      </c>
      <c r="T68" s="16" t="s">
        <v>349</v>
      </c>
      <c r="U68" s="16" t="s">
        <v>482</v>
      </c>
      <c r="V68" s="31" t="s">
        <v>344</v>
      </c>
    </row>
    <row r="69" spans="3:28">
      <c r="C69" s="15" t="s">
        <v>480</v>
      </c>
      <c r="D69" s="15">
        <v>37.5</v>
      </c>
      <c r="E69" s="15" t="s">
        <v>476</v>
      </c>
      <c r="F69" s="15">
        <v>25</v>
      </c>
      <c r="G69" s="15" t="s">
        <v>18</v>
      </c>
      <c r="H69" s="15">
        <v>15</v>
      </c>
      <c r="I69" s="15" t="s">
        <v>465</v>
      </c>
      <c r="J69" s="15">
        <v>15</v>
      </c>
      <c r="K69" s="15" t="s">
        <v>38</v>
      </c>
      <c r="L69" s="15">
        <f>SUM(D69*P69)</f>
        <v>90</v>
      </c>
      <c r="M69" s="15">
        <f>F69*P69</f>
        <v>60</v>
      </c>
      <c r="N69" s="15">
        <f>SUM(H69*P69)</f>
        <v>36</v>
      </c>
      <c r="O69" s="15">
        <f>P69*J69</f>
        <v>36</v>
      </c>
      <c r="P69" s="15">
        <v>2.4</v>
      </c>
      <c r="Q69" s="15">
        <v>50</v>
      </c>
      <c r="R69" s="15">
        <v>50</v>
      </c>
      <c r="S69" s="15">
        <f>R69*P69</f>
        <v>120</v>
      </c>
      <c r="T69" s="15" t="s">
        <v>10</v>
      </c>
      <c r="U69" s="15">
        <v>15</v>
      </c>
      <c r="V69" s="15">
        <f>U69*P69</f>
        <v>36</v>
      </c>
      <c r="W69" s="82" t="s">
        <v>483</v>
      </c>
      <c r="X69" s="82"/>
      <c r="Y69" s="82"/>
      <c r="Z69" s="82"/>
      <c r="AA69" s="82"/>
      <c r="AB69" s="82"/>
    </row>
    <row r="71" spans="3:28">
      <c r="L71" s="68" t="s">
        <v>466</v>
      </c>
      <c r="M71" s="69"/>
    </row>
    <row r="72" spans="3:28">
      <c r="L72" s="14" t="s">
        <v>445</v>
      </c>
      <c r="M72" s="15">
        <f>M45</f>
        <v>4</v>
      </c>
    </row>
    <row r="73" spans="3:28">
      <c r="L73" s="14" t="s">
        <v>16</v>
      </c>
      <c r="M73" s="15">
        <f>M47</f>
        <v>-162</v>
      </c>
    </row>
    <row r="74" spans="3:28">
      <c r="L74" s="14" t="s">
        <v>38</v>
      </c>
      <c r="M74" s="15">
        <f>M48-O69</f>
        <v>1380</v>
      </c>
      <c r="N74" t="s">
        <v>467</v>
      </c>
    </row>
    <row r="75" spans="3:28">
      <c r="L75" s="14" t="s">
        <v>462</v>
      </c>
      <c r="M75" s="15">
        <f>M49</f>
        <v>6</v>
      </c>
    </row>
    <row r="76" spans="3:28">
      <c r="L76" s="14" t="s">
        <v>18</v>
      </c>
      <c r="M76" s="15">
        <f>M50-M69</f>
        <v>0</v>
      </c>
    </row>
    <row r="77" spans="3:28">
      <c r="L77" s="14" t="s">
        <v>3</v>
      </c>
      <c r="M77" s="15">
        <f>M51</f>
        <v>-176</v>
      </c>
    </row>
    <row r="78" spans="3:28">
      <c r="L78" s="14" t="s">
        <v>465</v>
      </c>
      <c r="M78" s="15">
        <f>M52-N69</f>
        <v>234</v>
      </c>
    </row>
    <row r="79" spans="3:28">
      <c r="C79" s="15" t="s">
        <v>621</v>
      </c>
      <c r="D79" s="15">
        <v>15</v>
      </c>
      <c r="L79" s="14" t="s">
        <v>476</v>
      </c>
      <c r="M79" s="15">
        <f>M53-L69</f>
        <v>30</v>
      </c>
    </row>
    <row r="80" spans="3:28">
      <c r="C80" s="75" t="s">
        <v>619</v>
      </c>
      <c r="D80" s="76"/>
      <c r="E80" s="76"/>
      <c r="L80" s="14" t="s">
        <v>487</v>
      </c>
      <c r="M80" s="15">
        <f>S69</f>
        <v>120</v>
      </c>
    </row>
    <row r="81" spans="3:22">
      <c r="C81" s="14" t="s">
        <v>620</v>
      </c>
      <c r="D81" s="14" t="s">
        <v>419</v>
      </c>
      <c r="E81" s="14" t="s">
        <v>622</v>
      </c>
    </row>
    <row r="82" spans="3:22">
      <c r="C82" s="15" t="s">
        <v>16</v>
      </c>
      <c r="D82" s="15">
        <v>90</v>
      </c>
      <c r="E82" s="15">
        <f>D79*D82</f>
        <v>1350</v>
      </c>
      <c r="L82" s="73" t="s">
        <v>488</v>
      </c>
      <c r="M82" s="74"/>
      <c r="N82" s="74"/>
      <c r="O82" s="74"/>
      <c r="P82" s="74"/>
      <c r="Q82" s="74"/>
      <c r="R82" s="74"/>
      <c r="S82" s="74"/>
      <c r="T82" s="74"/>
      <c r="U82" s="74"/>
      <c r="V82" s="74"/>
    </row>
    <row r="83" spans="3:22">
      <c r="C83" s="15" t="s">
        <v>3</v>
      </c>
      <c r="D83" s="15">
        <v>20</v>
      </c>
      <c r="E83" s="15">
        <f>D83*D79</f>
        <v>300</v>
      </c>
      <c r="L83" s="14" t="s">
        <v>59</v>
      </c>
      <c r="M83" s="16" t="s">
        <v>103</v>
      </c>
      <c r="N83" s="16" t="s">
        <v>145</v>
      </c>
      <c r="O83" s="16" t="s">
        <v>104</v>
      </c>
      <c r="P83" s="16" t="s">
        <v>147</v>
      </c>
      <c r="Q83" s="16" t="s">
        <v>304</v>
      </c>
      <c r="R83" s="31" t="s">
        <v>305</v>
      </c>
      <c r="S83" s="16" t="s">
        <v>303</v>
      </c>
      <c r="T83" s="16" t="s">
        <v>348</v>
      </c>
      <c r="U83" s="16" t="s">
        <v>345</v>
      </c>
      <c r="V83" s="31" t="s">
        <v>344</v>
      </c>
    </row>
    <row r="84" spans="3:22">
      <c r="C84" s="15" t="s">
        <v>18</v>
      </c>
      <c r="D84" s="15">
        <v>30</v>
      </c>
      <c r="E84" s="15">
        <f>D84*D79</f>
        <v>450</v>
      </c>
      <c r="L84" s="15" t="s">
        <v>489</v>
      </c>
      <c r="M84" s="15">
        <v>25</v>
      </c>
      <c r="N84" s="15" t="s">
        <v>476</v>
      </c>
      <c r="O84" s="15">
        <v>100</v>
      </c>
      <c r="P84" s="15" t="s">
        <v>480</v>
      </c>
      <c r="Q84" s="15">
        <f>S84*M84</f>
        <v>30</v>
      </c>
      <c r="R84" s="15">
        <f>S84*O84</f>
        <v>120</v>
      </c>
      <c r="S84" s="15">
        <v>1.2</v>
      </c>
      <c r="T84" s="15" t="s">
        <v>490</v>
      </c>
      <c r="U84" s="15">
        <v>30</v>
      </c>
      <c r="V84" s="15">
        <f>U84*S84</f>
        <v>36</v>
      </c>
    </row>
    <row r="85" spans="3:22">
      <c r="C85" s="15" t="s">
        <v>462</v>
      </c>
      <c r="D85" s="15">
        <v>3</v>
      </c>
      <c r="E85" s="15">
        <f>D79*D85</f>
        <v>45</v>
      </c>
    </row>
    <row r="86" spans="3:22">
      <c r="C86" s="15" t="s">
        <v>445</v>
      </c>
      <c r="D86" s="15">
        <v>8</v>
      </c>
      <c r="E86" s="15">
        <f>D79*D86</f>
        <v>120</v>
      </c>
      <c r="L86" s="68" t="s">
        <v>466</v>
      </c>
      <c r="M86" s="69"/>
    </row>
    <row r="87" spans="3:22">
      <c r="C87" s="15" t="s">
        <v>38</v>
      </c>
      <c r="D87" s="15">
        <v>96</v>
      </c>
      <c r="E87" s="15">
        <f>D79*D87</f>
        <v>1440</v>
      </c>
      <c r="L87" s="14" t="s">
        <v>445</v>
      </c>
      <c r="M87" s="15">
        <f>M72</f>
        <v>4</v>
      </c>
    </row>
    <row r="88" spans="3:22">
      <c r="C88" s="15" t="s">
        <v>465</v>
      </c>
      <c r="D88" s="15">
        <v>18</v>
      </c>
      <c r="E88" s="15">
        <f>D79*D88</f>
        <v>270</v>
      </c>
      <c r="L88" s="14" t="s">
        <v>16</v>
      </c>
      <c r="M88" s="15">
        <f>M73</f>
        <v>-162</v>
      </c>
    </row>
    <row r="89" spans="3:22">
      <c r="L89" s="14" t="s">
        <v>462</v>
      </c>
      <c r="M89" s="15">
        <f>M75</f>
        <v>6</v>
      </c>
    </row>
    <row r="90" spans="3:22">
      <c r="L90" s="14" t="s">
        <v>3</v>
      </c>
      <c r="M90" s="15">
        <f>M77</f>
        <v>-176</v>
      </c>
    </row>
    <row r="91" spans="3:22">
      <c r="L91" s="14" t="s">
        <v>476</v>
      </c>
      <c r="M91" s="15">
        <f>M79-Q84</f>
        <v>0</v>
      </c>
    </row>
    <row r="92" spans="3:22">
      <c r="L92" s="14" t="s">
        <v>487</v>
      </c>
      <c r="M92" s="15">
        <f>M80-R84</f>
        <v>0</v>
      </c>
    </row>
    <row r="93" spans="3:22">
      <c r="L93" s="14" t="s">
        <v>490</v>
      </c>
      <c r="M93" s="15">
        <f>V84</f>
        <v>36</v>
      </c>
    </row>
    <row r="95" spans="3:22">
      <c r="L95" s="73" t="s">
        <v>492</v>
      </c>
      <c r="M95" s="74"/>
      <c r="N95" s="74"/>
      <c r="O95" s="74"/>
      <c r="P95" s="74"/>
      <c r="Q95" s="74"/>
      <c r="R95" s="74"/>
      <c r="S95" s="74"/>
      <c r="T95" s="74"/>
      <c r="U95" s="74"/>
      <c r="V95" s="74"/>
    </row>
    <row r="96" spans="3:22">
      <c r="L96" s="14" t="s">
        <v>59</v>
      </c>
      <c r="M96" s="16" t="s">
        <v>103</v>
      </c>
      <c r="N96" s="16" t="s">
        <v>145</v>
      </c>
      <c r="O96" s="16" t="s">
        <v>104</v>
      </c>
      <c r="P96" s="16" t="s">
        <v>147</v>
      </c>
      <c r="Q96" s="16" t="s">
        <v>304</v>
      </c>
      <c r="R96" s="31" t="s">
        <v>305</v>
      </c>
      <c r="S96" s="16" t="s">
        <v>303</v>
      </c>
      <c r="T96" s="16" t="s">
        <v>348</v>
      </c>
      <c r="U96" s="16" t="s">
        <v>345</v>
      </c>
      <c r="V96" s="31" t="s">
        <v>344</v>
      </c>
    </row>
    <row r="97" spans="3:22">
      <c r="L97" s="15" t="s">
        <v>491</v>
      </c>
      <c r="M97" s="15">
        <v>10</v>
      </c>
      <c r="N97" s="15" t="s">
        <v>490</v>
      </c>
      <c r="O97" s="15">
        <v>20</v>
      </c>
      <c r="P97" s="15" t="s">
        <v>16</v>
      </c>
      <c r="Q97" s="15">
        <f>S97*M97</f>
        <v>36</v>
      </c>
      <c r="R97" s="15">
        <f>S97*O97</f>
        <v>72</v>
      </c>
      <c r="S97" s="15">
        <v>3.6</v>
      </c>
      <c r="T97" s="15" t="s">
        <v>490</v>
      </c>
      <c r="U97" s="15">
        <v>5</v>
      </c>
      <c r="V97" s="15">
        <f>U97*S97</f>
        <v>18</v>
      </c>
    </row>
    <row r="99" spans="3:22">
      <c r="L99" s="55" t="s">
        <v>466</v>
      </c>
      <c r="M99" s="56"/>
    </row>
    <row r="100" spans="3:22">
      <c r="L100" s="14" t="s">
        <v>445</v>
      </c>
      <c r="M100" s="15">
        <f>M87</f>
        <v>4</v>
      </c>
    </row>
    <row r="101" spans="3:22">
      <c r="L101" s="14" t="s">
        <v>16</v>
      </c>
      <c r="M101" s="15">
        <f>M88-R97</f>
        <v>-234</v>
      </c>
    </row>
    <row r="102" spans="3:22">
      <c r="L102" s="14" t="s">
        <v>462</v>
      </c>
      <c r="M102" s="15">
        <f>M89</f>
        <v>6</v>
      </c>
    </row>
    <row r="103" spans="3:22">
      <c r="L103" s="14" t="s">
        <v>3</v>
      </c>
      <c r="M103" s="15">
        <f>M90</f>
        <v>-176</v>
      </c>
    </row>
    <row r="104" spans="3:22">
      <c r="L104" s="14" t="s">
        <v>490</v>
      </c>
      <c r="M104" s="15">
        <f>M93-Q97</f>
        <v>0</v>
      </c>
    </row>
    <row r="105" spans="3:22">
      <c r="L105" s="14" t="s">
        <v>491</v>
      </c>
      <c r="M105" s="15">
        <f>V97</f>
        <v>18</v>
      </c>
    </row>
    <row r="107" spans="3:22">
      <c r="C107" s="73" t="s">
        <v>493</v>
      </c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</row>
    <row r="108" spans="3:22">
      <c r="C108" s="14" t="s">
        <v>59</v>
      </c>
      <c r="D108" s="16" t="s">
        <v>103</v>
      </c>
      <c r="E108" s="16" t="s">
        <v>145</v>
      </c>
      <c r="F108" s="16" t="s">
        <v>104</v>
      </c>
      <c r="G108" s="16" t="s">
        <v>147</v>
      </c>
      <c r="H108" s="16" t="s">
        <v>328</v>
      </c>
      <c r="I108" s="16" t="s">
        <v>329</v>
      </c>
      <c r="J108" s="16" t="s">
        <v>330</v>
      </c>
      <c r="K108" s="16" t="s">
        <v>331</v>
      </c>
      <c r="L108" s="16" t="s">
        <v>304</v>
      </c>
      <c r="M108" s="31" t="s">
        <v>305</v>
      </c>
      <c r="N108" s="16" t="s">
        <v>332</v>
      </c>
      <c r="O108" s="31" t="s">
        <v>333</v>
      </c>
      <c r="P108" s="16" t="s">
        <v>303</v>
      </c>
      <c r="Q108" s="16" t="s">
        <v>106</v>
      </c>
      <c r="R108" s="31" t="s">
        <v>302</v>
      </c>
    </row>
    <row r="109" spans="3:22">
      <c r="C109" s="15" t="s">
        <v>493</v>
      </c>
      <c r="D109" s="15">
        <v>7.5</v>
      </c>
      <c r="E109" s="15" t="s">
        <v>494</v>
      </c>
      <c r="F109" s="15">
        <v>4.5</v>
      </c>
      <c r="G109" s="15" t="s">
        <v>3</v>
      </c>
      <c r="H109" s="15">
        <v>1.5</v>
      </c>
      <c r="I109" s="15" t="s">
        <v>445</v>
      </c>
      <c r="J109" s="15">
        <v>2.5</v>
      </c>
      <c r="K109" s="15" t="s">
        <v>495</v>
      </c>
      <c r="L109" s="15">
        <f>SUM(D109*P109)</f>
        <v>18</v>
      </c>
      <c r="M109" s="15">
        <f>F109*P109</f>
        <v>10.799999999999999</v>
      </c>
      <c r="N109" s="15">
        <f>SUM(H109*P109)</f>
        <v>3.5999999999999996</v>
      </c>
      <c r="O109" s="15">
        <f>J109*P109</f>
        <v>6</v>
      </c>
      <c r="P109" s="15">
        <v>2.4</v>
      </c>
      <c r="Q109" s="15">
        <v>0.25</v>
      </c>
      <c r="R109" s="15">
        <f>Q109*P109</f>
        <v>0.6</v>
      </c>
    </row>
    <row r="111" spans="3:22">
      <c r="L111" s="55" t="s">
        <v>466</v>
      </c>
      <c r="M111" s="56"/>
    </row>
    <row r="112" spans="3:22">
      <c r="L112" s="14" t="s">
        <v>445</v>
      </c>
      <c r="M112" s="15">
        <f>M100-N109</f>
        <v>0.40000000000000036</v>
      </c>
    </row>
    <row r="113" spans="12:15">
      <c r="L113" s="14" t="s">
        <v>462</v>
      </c>
      <c r="M113" s="15">
        <f>M102-O109</f>
        <v>0</v>
      </c>
    </row>
    <row r="114" spans="12:15">
      <c r="L114" s="14" t="s">
        <v>3</v>
      </c>
      <c r="M114" s="15">
        <f>M103-M109</f>
        <v>-186.8</v>
      </c>
    </row>
    <row r="115" spans="12:15">
      <c r="L115" s="14" t="s">
        <v>491</v>
      </c>
      <c r="M115" s="15">
        <f>M105-L109</f>
        <v>0</v>
      </c>
    </row>
    <row r="116" spans="12:15" ht="15.75">
      <c r="L116" s="14" t="s">
        <v>496</v>
      </c>
      <c r="M116" s="15">
        <f>R109</f>
        <v>0.6</v>
      </c>
      <c r="N116" s="78" t="s">
        <v>497</v>
      </c>
      <c r="O116" s="79"/>
    </row>
  </sheetData>
  <mergeCells count="37">
    <mergeCell ref="L14:X14"/>
    <mergeCell ref="L4:S4"/>
    <mergeCell ref="L18:M18"/>
    <mergeCell ref="O18:P18"/>
    <mergeCell ref="C3:D3"/>
    <mergeCell ref="I4:J4"/>
    <mergeCell ref="L9:V9"/>
    <mergeCell ref="C10:F10"/>
    <mergeCell ref="C14:F14"/>
    <mergeCell ref="W69:AB69"/>
    <mergeCell ref="O66:R66"/>
    <mergeCell ref="L28:AB28"/>
    <mergeCell ref="L32:M32"/>
    <mergeCell ref="L38:Y38"/>
    <mergeCell ref="L42:M42"/>
    <mergeCell ref="N116:O116"/>
    <mergeCell ref="Q27:S27"/>
    <mergeCell ref="L71:M71"/>
    <mergeCell ref="L82:V82"/>
    <mergeCell ref="L86:M86"/>
    <mergeCell ref="L95:V95"/>
    <mergeCell ref="C67:V67"/>
    <mergeCell ref="C33:D33"/>
    <mergeCell ref="F33:G33"/>
    <mergeCell ref="I33:J33"/>
    <mergeCell ref="F39:G39"/>
    <mergeCell ref="I39:J39"/>
    <mergeCell ref="C45:D45"/>
    <mergeCell ref="F43:G43"/>
    <mergeCell ref="C29:F29"/>
    <mergeCell ref="I45:J45"/>
    <mergeCell ref="I26:J26"/>
    <mergeCell ref="I19:J19"/>
    <mergeCell ref="F49:G49"/>
    <mergeCell ref="C107:R107"/>
    <mergeCell ref="C24:F24"/>
    <mergeCell ref="C80:E80"/>
  </mergeCells>
  <hyperlinks>
    <hyperlink ref="V27" r:id="rId1" xr:uid="{E28CDF37-41CC-4BA7-B10E-07E10D57CF95}"/>
  </hyperlinks>
  <pageMargins left="0.7" right="0.7" top="0.75" bottom="0.75" header="0.3" footer="0.3"/>
  <pageSetup orientation="portrait" horizontalDpi="90" verticalDpi="9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Y146"/>
  <sheetViews>
    <sheetView topLeftCell="F46" zoomScale="70" zoomScaleNormal="70" workbookViewId="0">
      <selection activeCell="N155" sqref="N155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21.57031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8.85546875" bestFit="1" customWidth="1"/>
    <col min="21" max="21" width="23.140625" bestFit="1" customWidth="1"/>
    <col min="22" max="22" width="14" bestFit="1" customWidth="1"/>
    <col min="23" max="23" width="16.140625" bestFit="1" customWidth="1"/>
    <col min="24" max="24" width="12.42578125" bestFit="1" customWidth="1"/>
  </cols>
  <sheetData>
    <row r="1" spans="3:22" ht="8.25" customHeight="1"/>
    <row r="2" spans="3:22" ht="8.25" customHeight="1"/>
    <row r="3" spans="3:22" ht="23.25">
      <c r="C3" s="77" t="s">
        <v>107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spans="3:22">
      <c r="C4" s="68" t="s">
        <v>159</v>
      </c>
      <c r="D4" s="69"/>
      <c r="E4" s="69"/>
      <c r="F4" s="69"/>
      <c r="G4" s="69"/>
      <c r="H4" s="69"/>
      <c r="I4" s="69"/>
      <c r="J4" s="69"/>
      <c r="L4" s="75" t="s">
        <v>185</v>
      </c>
      <c r="M4" s="76"/>
      <c r="N4" s="76"/>
      <c r="O4" s="76"/>
      <c r="P4" s="76"/>
      <c r="Q4" s="76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117</v>
      </c>
      <c r="I5" s="29" t="s">
        <v>91</v>
      </c>
      <c r="J5" s="29" t="s">
        <v>17</v>
      </c>
      <c r="L5" s="16" t="s">
        <v>186</v>
      </c>
      <c r="M5" s="16" t="s">
        <v>135</v>
      </c>
      <c r="N5" s="16" t="s">
        <v>136</v>
      </c>
      <c r="O5" s="16" t="s">
        <v>606</v>
      </c>
      <c r="P5" s="16" t="s">
        <v>387</v>
      </c>
      <c r="Q5" s="16" t="s">
        <v>603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146</v>
      </c>
      <c r="M6" s="15" t="s">
        <v>146</v>
      </c>
      <c r="N6" s="15" t="s">
        <v>188</v>
      </c>
      <c r="O6" s="15" t="s">
        <v>388</v>
      </c>
      <c r="P6" s="15" t="s">
        <v>146</v>
      </c>
      <c r="Q6" s="15" t="s">
        <v>146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388</v>
      </c>
      <c r="O7" s="15" t="s">
        <v>7</v>
      </c>
      <c r="P7" s="15" t="s">
        <v>65</v>
      </c>
      <c r="Q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  <c r="Q8" s="15"/>
    </row>
    <row r="9" spans="3:22">
      <c r="C9" s="15" t="s">
        <v>67</v>
      </c>
      <c r="D9" s="15">
        <f>E46</f>
        <v>8400</v>
      </c>
      <c r="E9" s="15">
        <f>E55</f>
        <v>3000</v>
      </c>
      <c r="F9" s="15">
        <f>E72</f>
        <v>6782.4</v>
      </c>
      <c r="G9" s="15">
        <f>E77</f>
        <v>1564.8</v>
      </c>
      <c r="H9" s="15">
        <f>E82</f>
        <v>1200</v>
      </c>
      <c r="I9" s="15">
        <f>E92</f>
        <v>1564.8</v>
      </c>
      <c r="J9" s="15">
        <f>E87</f>
        <v>1200</v>
      </c>
      <c r="K9" s="65" t="s">
        <v>406</v>
      </c>
      <c r="L9" s="15" t="s">
        <v>187</v>
      </c>
      <c r="M9" s="15" t="s">
        <v>187</v>
      </c>
      <c r="N9" s="15"/>
      <c r="O9" s="15"/>
      <c r="P9" s="15"/>
      <c r="Q9" s="15"/>
    </row>
    <row r="10" spans="3:22">
      <c r="L10" s="15" t="s">
        <v>16</v>
      </c>
      <c r="M10" s="15" t="s">
        <v>16</v>
      </c>
      <c r="N10" s="15"/>
      <c r="O10" s="15"/>
      <c r="P10" s="15"/>
      <c r="Q10" s="15"/>
    </row>
    <row r="11" spans="3:22">
      <c r="L11" s="15" t="s">
        <v>18</v>
      </c>
      <c r="M11" s="15" t="s">
        <v>18</v>
      </c>
      <c r="N11" s="15"/>
      <c r="O11" s="15"/>
      <c r="P11" s="15"/>
      <c r="Q11" s="15"/>
    </row>
    <row r="12" spans="3:22">
      <c r="F12" s="34"/>
    </row>
    <row r="13" spans="3:22">
      <c r="C13" s="73" t="s">
        <v>108</v>
      </c>
      <c r="D13" s="74"/>
      <c r="E13" s="74"/>
      <c r="F13" s="74"/>
      <c r="G13" s="74"/>
      <c r="I13" s="73" t="s">
        <v>294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</row>
    <row r="14" spans="3:22">
      <c r="C14" s="16" t="s">
        <v>59</v>
      </c>
      <c r="D14" s="16" t="s">
        <v>66</v>
      </c>
      <c r="E14" s="35" t="s">
        <v>180</v>
      </c>
      <c r="F14" s="35" t="s">
        <v>337</v>
      </c>
      <c r="I14" s="14" t="s">
        <v>59</v>
      </c>
      <c r="J14" s="16" t="s">
        <v>103</v>
      </c>
      <c r="K14" s="16" t="s">
        <v>145</v>
      </c>
      <c r="L14" s="16" t="s">
        <v>104</v>
      </c>
      <c r="M14" s="16" t="s">
        <v>147</v>
      </c>
      <c r="N14" s="16" t="s">
        <v>304</v>
      </c>
      <c r="O14" s="31" t="s">
        <v>305</v>
      </c>
      <c r="P14" s="16" t="s">
        <v>303</v>
      </c>
      <c r="Q14" s="16" t="s">
        <v>348</v>
      </c>
      <c r="R14" s="16" t="s">
        <v>345</v>
      </c>
      <c r="S14" s="31" t="s">
        <v>344</v>
      </c>
      <c r="T14" s="16" t="s">
        <v>349</v>
      </c>
      <c r="U14" s="16" t="s">
        <v>346</v>
      </c>
      <c r="V14" s="31" t="s">
        <v>347</v>
      </c>
    </row>
    <row r="15" spans="3:22">
      <c r="C15" s="15" t="s">
        <v>16</v>
      </c>
      <c r="D15" s="15">
        <f>SUM((F9/45)*15)</f>
        <v>2260.8000000000002</v>
      </c>
      <c r="E15" s="36" t="s">
        <v>183</v>
      </c>
      <c r="F15" s="36">
        <v>2</v>
      </c>
      <c r="I15" s="15" t="s">
        <v>146</v>
      </c>
      <c r="J15" s="15">
        <v>30</v>
      </c>
      <c r="K15" s="15" t="s">
        <v>1</v>
      </c>
      <c r="L15" s="15"/>
      <c r="M15" s="15"/>
      <c r="N15" s="15">
        <f t="shared" ref="N15:N21" si="0">SUM(J15*P15)</f>
        <v>2160</v>
      </c>
      <c r="O15" s="15"/>
      <c r="P15" s="15">
        <v>72</v>
      </c>
      <c r="Q15" s="15" t="s">
        <v>146</v>
      </c>
      <c r="R15" s="15">
        <v>30</v>
      </c>
      <c r="S15" s="15">
        <f t="shared" ref="S15:S21" si="1">R15*P15</f>
        <v>2160</v>
      </c>
      <c r="T15" s="15"/>
      <c r="U15" s="15"/>
      <c r="V15" s="15"/>
    </row>
    <row r="16" spans="3:22">
      <c r="C16" s="15" t="s">
        <v>65</v>
      </c>
      <c r="D16" s="15">
        <f>SUM((E9/50)*100)</f>
        <v>6000</v>
      </c>
      <c r="E16" s="36" t="s">
        <v>182</v>
      </c>
      <c r="F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5">
      <c r="C17" s="15" t="s">
        <v>62</v>
      </c>
      <c r="D17" s="15">
        <f>SUM((G9/40)*60)</f>
        <v>2347.1999999999998</v>
      </c>
      <c r="E17" s="67" t="s">
        <v>605</v>
      </c>
      <c r="F17" s="36">
        <v>2</v>
      </c>
      <c r="I17" s="15" t="s">
        <v>389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188</v>
      </c>
      <c r="R17" s="15">
        <v>22.5</v>
      </c>
      <c r="S17" s="15">
        <f t="shared" si="1"/>
        <v>180</v>
      </c>
      <c r="T17" s="15"/>
      <c r="U17" s="15"/>
      <c r="V17" s="15"/>
    </row>
    <row r="18" spans="3:25">
      <c r="C18" s="17" t="s">
        <v>64</v>
      </c>
      <c r="D18" s="15">
        <f>SUM(D9-(E9/2)-G9)</f>
        <v>5335.2</v>
      </c>
      <c r="E18" s="36">
        <v>0</v>
      </c>
      <c r="F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6763.5000000000009</v>
      </c>
      <c r="O18" s="15"/>
      <c r="P18" s="15">
        <v>150.30000000000001</v>
      </c>
      <c r="Q18" s="15" t="s">
        <v>16</v>
      </c>
      <c r="R18" s="15">
        <v>15</v>
      </c>
      <c r="S18" s="15">
        <f t="shared" si="1"/>
        <v>2254.5</v>
      </c>
      <c r="T18" s="15"/>
      <c r="U18" s="15"/>
      <c r="V18" s="15"/>
    </row>
    <row r="19" spans="3:25">
      <c r="C19" s="15" t="s">
        <v>63</v>
      </c>
      <c r="D19" s="15">
        <f>SUM((D18/30)*30)</f>
        <v>5335.2</v>
      </c>
      <c r="E19" s="36" t="s">
        <v>181</v>
      </c>
      <c r="F19" s="36">
        <v>4</v>
      </c>
      <c r="I19" s="15" t="s">
        <v>390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3000</v>
      </c>
      <c r="O19" s="15">
        <f>L19*P19</f>
        <v>1500</v>
      </c>
      <c r="P19" s="15">
        <v>60</v>
      </c>
      <c r="Q19" s="15" t="s">
        <v>65</v>
      </c>
      <c r="R19" s="15">
        <v>100</v>
      </c>
      <c r="S19" s="15">
        <f t="shared" si="1"/>
        <v>6000</v>
      </c>
      <c r="T19" s="15"/>
      <c r="U19" s="15"/>
      <c r="V19" s="15"/>
    </row>
    <row r="20" spans="3:25">
      <c r="C20" s="17" t="s">
        <v>148</v>
      </c>
      <c r="D20" s="17">
        <f>SUM((I9/45)*15)</f>
        <v>521.6</v>
      </c>
      <c r="E20" s="36" t="s">
        <v>184</v>
      </c>
      <c r="F20" s="36">
        <v>0</v>
      </c>
      <c r="I20" s="15" t="s">
        <v>391</v>
      </c>
      <c r="J20" s="15">
        <v>40</v>
      </c>
      <c r="K20" s="15" t="s">
        <v>7</v>
      </c>
      <c r="L20" s="15">
        <v>40</v>
      </c>
      <c r="M20" s="15" t="s">
        <v>146</v>
      </c>
      <c r="N20" s="15">
        <f t="shared" si="0"/>
        <v>1560</v>
      </c>
      <c r="O20" s="15">
        <f>L20*P20</f>
        <v>1560</v>
      </c>
      <c r="P20" s="15">
        <v>39</v>
      </c>
      <c r="Q20" s="15" t="s">
        <v>62</v>
      </c>
      <c r="R20" s="15">
        <v>60</v>
      </c>
      <c r="S20" s="15">
        <f t="shared" si="1"/>
        <v>2340</v>
      </c>
      <c r="T20" s="15"/>
      <c r="U20" s="15"/>
      <c r="V20" s="15"/>
    </row>
    <row r="21" spans="3:25">
      <c r="C21" s="17" t="s">
        <v>18</v>
      </c>
      <c r="D21" s="17">
        <v>1500</v>
      </c>
      <c r="E21" s="36" t="s">
        <v>339</v>
      </c>
      <c r="F21" s="36">
        <v>2</v>
      </c>
      <c r="I21" s="15" t="s">
        <v>148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148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5">
      <c r="C22" s="17" t="s">
        <v>150</v>
      </c>
      <c r="D22" s="17">
        <v>180</v>
      </c>
      <c r="E22" s="36" t="s">
        <v>338</v>
      </c>
      <c r="F22" s="36">
        <v>1</v>
      </c>
      <c r="T22" s="18"/>
      <c r="U22" s="18"/>
      <c r="V22" s="18"/>
    </row>
    <row r="23" spans="3:25">
      <c r="I23" s="68" t="s">
        <v>307</v>
      </c>
      <c r="J23" s="69"/>
      <c r="L23" s="68" t="s">
        <v>312</v>
      </c>
      <c r="M23" s="69"/>
      <c r="O23" s="75" t="s">
        <v>149</v>
      </c>
      <c r="P23" s="76"/>
      <c r="R23" s="73" t="s">
        <v>607</v>
      </c>
      <c r="S23" s="74"/>
      <c r="T23" s="74"/>
      <c r="U23" s="74"/>
      <c r="V23" s="74"/>
      <c r="W23" s="74"/>
      <c r="X23" s="74"/>
      <c r="Y23" s="74"/>
    </row>
    <row r="24" spans="3:25">
      <c r="C24" s="68" t="s">
        <v>109</v>
      </c>
      <c r="D24" s="69"/>
      <c r="E24" s="69"/>
      <c r="F24" s="69"/>
      <c r="I24" s="14" t="s">
        <v>306</v>
      </c>
      <c r="J24" s="15">
        <f>S15-N20</f>
        <v>600</v>
      </c>
      <c r="L24" s="14" t="s">
        <v>1</v>
      </c>
      <c r="M24" s="15">
        <f>SUM(D9-(N15+O19)+O31)</f>
        <v>7140</v>
      </c>
      <c r="O24" s="30" t="s">
        <v>155</v>
      </c>
      <c r="P24" s="30">
        <v>0.5</v>
      </c>
      <c r="R24" s="14" t="s">
        <v>59</v>
      </c>
      <c r="S24" s="16" t="s">
        <v>103</v>
      </c>
      <c r="T24" s="16" t="s">
        <v>145</v>
      </c>
      <c r="U24" s="16" t="s">
        <v>304</v>
      </c>
      <c r="V24" s="16" t="s">
        <v>303</v>
      </c>
      <c r="W24" s="16" t="s">
        <v>348</v>
      </c>
      <c r="X24" s="16" t="s">
        <v>345</v>
      </c>
      <c r="Y24" s="31" t="s">
        <v>344</v>
      </c>
    </row>
    <row r="25" spans="3:25">
      <c r="C25" s="70" t="s">
        <v>23</v>
      </c>
      <c r="D25" s="71"/>
      <c r="E25" s="71"/>
      <c r="F25" s="72"/>
      <c r="I25" s="14" t="s">
        <v>311</v>
      </c>
      <c r="J25" s="15">
        <f>S20</f>
        <v>2340</v>
      </c>
      <c r="L25" s="14" t="s">
        <v>4</v>
      </c>
      <c r="M25" s="15">
        <f>E9-N19</f>
        <v>0</v>
      </c>
      <c r="O25" s="30" t="s">
        <v>154</v>
      </c>
      <c r="P25" s="30">
        <v>0.35</v>
      </c>
      <c r="R25" s="15" t="s">
        <v>607</v>
      </c>
      <c r="S25" s="15">
        <v>300</v>
      </c>
      <c r="T25" s="15" t="s">
        <v>65</v>
      </c>
      <c r="U25" s="15">
        <f>SUM(S25*V25)</f>
        <v>3600</v>
      </c>
      <c r="V25" s="15">
        <v>12</v>
      </c>
      <c r="W25" s="15" t="s">
        <v>608</v>
      </c>
      <c r="X25" s="15">
        <v>50</v>
      </c>
      <c r="Y25" s="15">
        <f>X25*V25</f>
        <v>600</v>
      </c>
    </row>
    <row r="26" spans="3:25">
      <c r="C26" s="15" t="s">
        <v>110</v>
      </c>
      <c r="D26" s="15" t="s">
        <v>111</v>
      </c>
      <c r="E26" s="15" t="s">
        <v>112</v>
      </c>
      <c r="F26" s="15" t="s">
        <v>392</v>
      </c>
      <c r="I26" s="14" t="s">
        <v>309</v>
      </c>
      <c r="J26" s="15">
        <f>S19-U25</f>
        <v>2400</v>
      </c>
      <c r="L26" s="14" t="s">
        <v>7</v>
      </c>
      <c r="M26" s="15">
        <f>G9-N20</f>
        <v>4.7999999999999545</v>
      </c>
      <c r="O26" s="30" t="s">
        <v>153</v>
      </c>
      <c r="P26" s="30">
        <v>0.65</v>
      </c>
    </row>
    <row r="27" spans="3:25">
      <c r="C27" s="15">
        <v>30</v>
      </c>
      <c r="D27" s="15">
        <v>2.5</v>
      </c>
      <c r="E27" s="15">
        <f>C27*D27*F27</f>
        <v>300</v>
      </c>
      <c r="F27" s="15">
        <v>4</v>
      </c>
      <c r="I27" s="14" t="s">
        <v>310</v>
      </c>
      <c r="J27" s="15">
        <f>S18</f>
        <v>2254.5</v>
      </c>
      <c r="L27" s="14" t="s">
        <v>8</v>
      </c>
      <c r="M27" s="15">
        <f>F9-N18</f>
        <v>18.899999999998727</v>
      </c>
      <c r="O27" s="30" t="s">
        <v>152</v>
      </c>
      <c r="P27" s="30">
        <v>0.8</v>
      </c>
    </row>
    <row r="28" spans="3:25">
      <c r="C28" s="15">
        <v>30</v>
      </c>
      <c r="D28" s="15">
        <v>2.5</v>
      </c>
      <c r="E28" s="15">
        <f t="shared" ref="E28:E45" si="2">C28*D28*F28</f>
        <v>300</v>
      </c>
      <c r="F28" s="15">
        <v>4</v>
      </c>
      <c r="I28" s="14" t="s">
        <v>393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151</v>
      </c>
      <c r="P28" s="30">
        <v>0.2</v>
      </c>
    </row>
    <row r="29" spans="3:25">
      <c r="C29" s="15">
        <v>30</v>
      </c>
      <c r="D29" s="15">
        <v>2.5</v>
      </c>
      <c r="E29" s="15">
        <f t="shared" si="2"/>
        <v>300</v>
      </c>
      <c r="F29" s="15">
        <v>4</v>
      </c>
      <c r="I29" s="14" t="s">
        <v>394</v>
      </c>
      <c r="J29" s="15">
        <f>S17</f>
        <v>180</v>
      </c>
      <c r="L29" s="14" t="s">
        <v>13</v>
      </c>
      <c r="M29" s="15">
        <f>SUM(H9-(N16+N17))</f>
        <v>0</v>
      </c>
      <c r="O29" s="32" t="s">
        <v>156</v>
      </c>
      <c r="P29" s="33">
        <v>0.85</v>
      </c>
    </row>
    <row r="30" spans="3:25">
      <c r="C30" s="15">
        <v>30</v>
      </c>
      <c r="D30" s="15">
        <v>2.5</v>
      </c>
      <c r="E30" s="15">
        <f t="shared" si="2"/>
        <v>300</v>
      </c>
      <c r="F30" s="15">
        <v>4</v>
      </c>
      <c r="I30" s="14" t="s">
        <v>148</v>
      </c>
      <c r="J30" s="15">
        <f>S21</f>
        <v>520.20000000000005</v>
      </c>
      <c r="O30" s="32" t="s">
        <v>157</v>
      </c>
      <c r="P30" s="33">
        <v>0.15</v>
      </c>
    </row>
    <row r="31" spans="3:25">
      <c r="C31" s="15">
        <v>30</v>
      </c>
      <c r="D31" s="15">
        <v>2.5</v>
      </c>
      <c r="E31" s="15">
        <f t="shared" si="2"/>
        <v>300</v>
      </c>
      <c r="F31" s="15">
        <v>4</v>
      </c>
      <c r="N31" s="14" t="s">
        <v>397</v>
      </c>
      <c r="O31" s="15">
        <f>E104</f>
        <v>2400</v>
      </c>
    </row>
    <row r="32" spans="3:25">
      <c r="C32" s="15">
        <v>30</v>
      </c>
      <c r="D32" s="15">
        <v>2.5</v>
      </c>
      <c r="E32" s="15">
        <f t="shared" si="2"/>
        <v>300</v>
      </c>
      <c r="F32" s="15">
        <v>4</v>
      </c>
      <c r="I32" s="73" t="s">
        <v>395</v>
      </c>
      <c r="J32" s="74"/>
      <c r="K32" s="74"/>
      <c r="L32" s="74"/>
      <c r="M32" s="74"/>
      <c r="N32" s="74"/>
      <c r="O32" s="74"/>
      <c r="P32" s="74"/>
    </row>
    <row r="33" spans="3:19">
      <c r="C33" s="15">
        <v>30</v>
      </c>
      <c r="D33" s="15">
        <v>2.5</v>
      </c>
      <c r="E33" s="15">
        <f t="shared" si="2"/>
        <v>300</v>
      </c>
      <c r="F33" s="15">
        <v>4</v>
      </c>
      <c r="I33" s="14" t="s">
        <v>59</v>
      </c>
      <c r="J33" s="16" t="s">
        <v>103</v>
      </c>
      <c r="K33" s="16" t="s">
        <v>145</v>
      </c>
      <c r="L33" s="16" t="s">
        <v>304</v>
      </c>
      <c r="M33" s="16" t="s">
        <v>303</v>
      </c>
      <c r="N33" s="16" t="s">
        <v>348</v>
      </c>
      <c r="O33" s="16" t="s">
        <v>345</v>
      </c>
      <c r="P33" s="31" t="s">
        <v>344</v>
      </c>
    </row>
    <row r="34" spans="3:19">
      <c r="C34" s="15">
        <v>30</v>
      </c>
      <c r="D34" s="15">
        <v>2.5</v>
      </c>
      <c r="E34" s="15">
        <f t="shared" si="2"/>
        <v>300</v>
      </c>
      <c r="F34" s="15">
        <v>4</v>
      </c>
      <c r="I34" s="15" t="s">
        <v>146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146</v>
      </c>
      <c r="O34" s="15">
        <v>30</v>
      </c>
      <c r="P34" s="15">
        <f>O34*M34</f>
        <v>495</v>
      </c>
    </row>
    <row r="35" spans="3:19" ht="15.75">
      <c r="C35" s="15">
        <v>30</v>
      </c>
      <c r="D35" s="15">
        <v>2.5</v>
      </c>
      <c r="E35" s="15">
        <f t="shared" si="2"/>
        <v>300</v>
      </c>
      <c r="F35" s="15">
        <v>4</v>
      </c>
      <c r="I35" s="15" t="s">
        <v>93</v>
      </c>
      <c r="J35" s="15">
        <v>15</v>
      </c>
      <c r="K35" s="15" t="s">
        <v>146</v>
      </c>
      <c r="L35" s="15">
        <f>J35*M35</f>
        <v>120</v>
      </c>
      <c r="M35" s="15">
        <v>8</v>
      </c>
      <c r="N35" s="49" t="s">
        <v>398</v>
      </c>
      <c r="O35" s="15">
        <v>15</v>
      </c>
      <c r="P35" s="15">
        <f t="shared" ref="P35:P38" si="3">O35*M35</f>
        <v>120</v>
      </c>
    </row>
    <row r="36" spans="3:19" ht="15.75">
      <c r="C36" s="15">
        <v>30</v>
      </c>
      <c r="D36" s="15">
        <v>2.5</v>
      </c>
      <c r="E36" s="15">
        <f t="shared" si="2"/>
        <v>300</v>
      </c>
      <c r="F36" s="15">
        <v>4</v>
      </c>
      <c r="I36" s="15" t="s">
        <v>94</v>
      </c>
      <c r="J36" s="15">
        <v>33.369999999999997</v>
      </c>
      <c r="K36" s="15" t="s">
        <v>146</v>
      </c>
      <c r="L36" s="15">
        <f>J36*M36</f>
        <v>133.47999999999999</v>
      </c>
      <c r="M36" s="15">
        <v>4</v>
      </c>
      <c r="N36" s="49" t="s">
        <v>399</v>
      </c>
      <c r="O36" s="15">
        <v>30</v>
      </c>
      <c r="P36" s="15">
        <f t="shared" si="3"/>
        <v>120</v>
      </c>
    </row>
    <row r="37" spans="3:19" ht="15.75">
      <c r="C37" s="15">
        <v>60</v>
      </c>
      <c r="D37" s="15">
        <v>2.5</v>
      </c>
      <c r="E37" s="15">
        <f t="shared" si="2"/>
        <v>600</v>
      </c>
      <c r="F37" s="15">
        <v>4</v>
      </c>
      <c r="I37" s="15" t="s">
        <v>95</v>
      </c>
      <c r="J37" s="15">
        <v>30</v>
      </c>
      <c r="K37" s="15" t="s">
        <v>146</v>
      </c>
      <c r="L37" s="15">
        <f>J37*M37</f>
        <v>120</v>
      </c>
      <c r="M37" s="15">
        <v>4</v>
      </c>
      <c r="N37" s="49" t="s">
        <v>314</v>
      </c>
      <c r="O37" s="15">
        <v>20</v>
      </c>
      <c r="P37" s="15">
        <f t="shared" si="3"/>
        <v>80</v>
      </c>
    </row>
    <row r="38" spans="3:19" ht="15.75">
      <c r="C38" s="15">
        <v>60</v>
      </c>
      <c r="D38" s="15">
        <v>2.5</v>
      </c>
      <c r="E38" s="15">
        <f t="shared" si="2"/>
        <v>600</v>
      </c>
      <c r="F38" s="15">
        <v>4</v>
      </c>
      <c r="I38" s="15" t="s">
        <v>96</v>
      </c>
      <c r="J38" s="15">
        <v>12.5</v>
      </c>
      <c r="K38" s="15" t="s">
        <v>146</v>
      </c>
      <c r="L38" s="15">
        <f>J38*M38</f>
        <v>125</v>
      </c>
      <c r="M38" s="15">
        <v>10</v>
      </c>
      <c r="N38" s="49" t="s">
        <v>400</v>
      </c>
      <c r="O38" s="15">
        <v>50</v>
      </c>
      <c r="P38" s="15">
        <f t="shared" si="3"/>
        <v>500</v>
      </c>
    </row>
    <row r="39" spans="3:19">
      <c r="C39" s="15">
        <v>60</v>
      </c>
      <c r="D39" s="15">
        <v>2.5</v>
      </c>
      <c r="E39" s="15">
        <f t="shared" si="2"/>
        <v>600</v>
      </c>
      <c r="F39" s="15">
        <v>4</v>
      </c>
    </row>
    <row r="40" spans="3:19">
      <c r="C40" s="15">
        <v>60</v>
      </c>
      <c r="D40" s="15">
        <v>2.5</v>
      </c>
      <c r="E40" s="15">
        <f t="shared" si="2"/>
        <v>600</v>
      </c>
      <c r="F40" s="15">
        <v>4</v>
      </c>
      <c r="I40" s="68" t="s">
        <v>401</v>
      </c>
      <c r="J40" s="69"/>
      <c r="L40" s="68" t="s">
        <v>312</v>
      </c>
      <c r="M40" s="69"/>
    </row>
    <row r="41" spans="3:19">
      <c r="C41" s="15">
        <v>60</v>
      </c>
      <c r="D41" s="15">
        <v>2.5</v>
      </c>
      <c r="E41" s="15">
        <f t="shared" si="2"/>
        <v>600</v>
      </c>
      <c r="F41" s="15">
        <v>4</v>
      </c>
      <c r="I41" s="14" t="s">
        <v>402</v>
      </c>
      <c r="J41" s="15">
        <f>P35</f>
        <v>120</v>
      </c>
      <c r="L41" s="14" t="s">
        <v>1</v>
      </c>
      <c r="M41" s="15">
        <f>M24-L34</f>
        <v>6645</v>
      </c>
    </row>
    <row r="42" spans="3:19">
      <c r="C42" s="15">
        <v>60</v>
      </c>
      <c r="D42" s="15">
        <v>2.5</v>
      </c>
      <c r="E42" s="15">
        <f t="shared" si="2"/>
        <v>600</v>
      </c>
      <c r="F42" s="15">
        <v>4</v>
      </c>
      <c r="I42" s="14" t="s">
        <v>403</v>
      </c>
      <c r="J42" s="15">
        <f>P36</f>
        <v>120</v>
      </c>
    </row>
    <row r="43" spans="3:19">
      <c r="C43" s="15">
        <v>60</v>
      </c>
      <c r="D43" s="15">
        <v>2.5</v>
      </c>
      <c r="E43" s="15">
        <f t="shared" si="2"/>
        <v>600</v>
      </c>
      <c r="F43" s="15">
        <v>4</v>
      </c>
      <c r="I43" s="14" t="s">
        <v>404</v>
      </c>
      <c r="J43" s="15">
        <f>P37</f>
        <v>80</v>
      </c>
    </row>
    <row r="44" spans="3:19">
      <c r="C44" s="15">
        <v>60</v>
      </c>
      <c r="D44" s="15">
        <v>2.5</v>
      </c>
      <c r="E44" s="15">
        <f t="shared" si="2"/>
        <v>600</v>
      </c>
      <c r="F44" s="15">
        <v>4</v>
      </c>
      <c r="I44" s="14" t="s">
        <v>405</v>
      </c>
      <c r="J44" s="15">
        <f>P38</f>
        <v>500</v>
      </c>
    </row>
    <row r="45" spans="3:19">
      <c r="C45" s="15">
        <v>60</v>
      </c>
      <c r="D45" s="15">
        <v>2.5</v>
      </c>
      <c r="E45" s="15">
        <f t="shared" si="2"/>
        <v>600</v>
      </c>
      <c r="F45" s="15">
        <v>4</v>
      </c>
    </row>
    <row r="46" spans="3:19">
      <c r="C46" s="15" t="s">
        <v>105</v>
      </c>
      <c r="D46" s="15">
        <v>19</v>
      </c>
      <c r="E46" s="15">
        <f>SUM(E27:E45)</f>
        <v>8400</v>
      </c>
      <c r="F46" s="15"/>
    </row>
    <row r="47" spans="3:19">
      <c r="C47" s="70" t="s">
        <v>24</v>
      </c>
      <c r="D47" s="71"/>
      <c r="E47" s="71"/>
      <c r="F47" s="72"/>
      <c r="I47" s="73" t="s">
        <v>609</v>
      </c>
      <c r="J47" s="74"/>
      <c r="K47" s="74"/>
      <c r="L47" s="74"/>
      <c r="M47" s="74"/>
      <c r="N47" s="74"/>
      <c r="O47" s="74"/>
      <c r="P47" s="74"/>
      <c r="Q47" s="74"/>
      <c r="R47" s="74"/>
      <c r="S47" s="74"/>
    </row>
    <row r="48" spans="3:19">
      <c r="C48" s="15" t="s">
        <v>110</v>
      </c>
      <c r="D48" s="15" t="s">
        <v>111</v>
      </c>
      <c r="E48" s="15" t="s">
        <v>112</v>
      </c>
      <c r="F48" s="15" t="s">
        <v>392</v>
      </c>
      <c r="I48" s="14" t="s">
        <v>59</v>
      </c>
      <c r="J48" s="16" t="s">
        <v>103</v>
      </c>
      <c r="K48" s="16" t="s">
        <v>145</v>
      </c>
      <c r="L48" s="16" t="s">
        <v>104</v>
      </c>
      <c r="M48" s="16" t="s">
        <v>147</v>
      </c>
      <c r="N48" s="16" t="s">
        <v>304</v>
      </c>
      <c r="O48" s="31" t="s">
        <v>305</v>
      </c>
      <c r="P48" s="16" t="s">
        <v>303</v>
      </c>
      <c r="Q48" s="16" t="s">
        <v>348</v>
      </c>
      <c r="R48" s="16" t="s">
        <v>345</v>
      </c>
      <c r="S48" s="31" t="s">
        <v>344</v>
      </c>
    </row>
    <row r="49" spans="3:19">
      <c r="C49" s="15">
        <v>60</v>
      </c>
      <c r="D49" s="15">
        <v>2.5</v>
      </c>
      <c r="E49" s="15">
        <f>C49*D49*F49</f>
        <v>600</v>
      </c>
      <c r="F49" s="15">
        <v>4</v>
      </c>
      <c r="I49" s="15" t="s">
        <v>146</v>
      </c>
      <c r="J49" s="15">
        <v>30</v>
      </c>
      <c r="K49" s="15" t="s">
        <v>1</v>
      </c>
      <c r="L49" s="15"/>
      <c r="M49" s="15"/>
      <c r="N49" s="15">
        <f t="shared" ref="N49" si="4">SUM(J49*P49)</f>
        <v>6600</v>
      </c>
      <c r="O49" s="15"/>
      <c r="P49" s="15">
        <v>220</v>
      </c>
      <c r="Q49" s="15" t="s">
        <v>146</v>
      </c>
      <c r="R49" s="15">
        <v>30</v>
      </c>
      <c r="S49" s="15">
        <f t="shared" ref="S49" si="5">R49*P49</f>
        <v>6600</v>
      </c>
    </row>
    <row r="50" spans="3:19">
      <c r="C50" s="15">
        <v>60</v>
      </c>
      <c r="D50" s="15">
        <v>2.5</v>
      </c>
      <c r="E50" s="15">
        <f t="shared" ref="E50:E54" si="6">C50*D50*F50</f>
        <v>600</v>
      </c>
      <c r="F50" s="15">
        <v>4</v>
      </c>
    </row>
    <row r="51" spans="3:19">
      <c r="C51" s="15">
        <v>60</v>
      </c>
      <c r="D51" s="15">
        <v>2.5</v>
      </c>
      <c r="E51" s="15">
        <f t="shared" si="6"/>
        <v>600</v>
      </c>
      <c r="F51" s="15">
        <v>4</v>
      </c>
      <c r="I51" s="68" t="s">
        <v>307</v>
      </c>
      <c r="J51" s="69"/>
      <c r="L51" s="68" t="s">
        <v>312</v>
      </c>
      <c r="M51" s="69"/>
    </row>
    <row r="52" spans="3:19">
      <c r="C52" s="15">
        <v>30</v>
      </c>
      <c r="D52" s="15">
        <v>2.5</v>
      </c>
      <c r="E52" s="15">
        <f t="shared" si="6"/>
        <v>300</v>
      </c>
      <c r="F52" s="15">
        <v>4</v>
      </c>
      <c r="I52" s="14" t="s">
        <v>306</v>
      </c>
      <c r="J52" s="15">
        <f>J24+S49</f>
        <v>7200</v>
      </c>
      <c r="L52" s="14" t="s">
        <v>1</v>
      </c>
      <c r="M52" s="15">
        <f>M41-N49</f>
        <v>45</v>
      </c>
    </row>
    <row r="53" spans="3:19">
      <c r="C53" s="15">
        <v>30</v>
      </c>
      <c r="D53" s="15">
        <v>2.5</v>
      </c>
      <c r="E53" s="15">
        <f t="shared" si="6"/>
        <v>300</v>
      </c>
      <c r="F53" s="15">
        <v>4</v>
      </c>
    </row>
    <row r="54" spans="3:19">
      <c r="C54" s="15">
        <v>60</v>
      </c>
      <c r="D54" s="15">
        <v>2.5</v>
      </c>
      <c r="E54" s="15">
        <f t="shared" si="6"/>
        <v>600</v>
      </c>
      <c r="F54" s="15">
        <v>4</v>
      </c>
      <c r="I54" s="73" t="s">
        <v>610</v>
      </c>
      <c r="J54" s="74"/>
      <c r="K54" s="74"/>
      <c r="L54" s="74"/>
      <c r="M54" s="74"/>
      <c r="N54" s="74"/>
      <c r="O54" s="74"/>
      <c r="P54" s="74"/>
      <c r="Q54" s="74"/>
      <c r="R54" s="74"/>
      <c r="S54" s="74"/>
    </row>
    <row r="55" spans="3:19">
      <c r="C55" s="15" t="s">
        <v>105</v>
      </c>
      <c r="D55" s="15"/>
      <c r="E55" s="15">
        <f>SUM(E49:E54)</f>
        <v>3000</v>
      </c>
      <c r="F55" s="15"/>
      <c r="I55" s="14" t="s">
        <v>59</v>
      </c>
      <c r="J55" s="16" t="s">
        <v>103</v>
      </c>
      <c r="K55" s="16" t="s">
        <v>145</v>
      </c>
      <c r="L55" s="16" t="s">
        <v>104</v>
      </c>
      <c r="M55" s="16" t="s">
        <v>147</v>
      </c>
      <c r="N55" s="16" t="s">
        <v>304</v>
      </c>
      <c r="O55" s="31" t="s">
        <v>305</v>
      </c>
      <c r="P55" s="16" t="s">
        <v>303</v>
      </c>
      <c r="Q55" s="16" t="s">
        <v>348</v>
      </c>
      <c r="R55" s="16" t="s">
        <v>345</v>
      </c>
      <c r="S55" s="31" t="s">
        <v>344</v>
      </c>
    </row>
    <row r="56" spans="3:19">
      <c r="C56" s="70" t="s">
        <v>8</v>
      </c>
      <c r="D56" s="71"/>
      <c r="E56" s="71"/>
      <c r="F56" s="72"/>
      <c r="I56" s="15" t="s">
        <v>315</v>
      </c>
      <c r="J56" s="15">
        <v>12.5</v>
      </c>
      <c r="K56" s="15" t="s">
        <v>146</v>
      </c>
      <c r="L56" s="15"/>
      <c r="M56" s="15"/>
      <c r="N56" s="15">
        <f>SUM(J56*P56)</f>
        <v>1111.125</v>
      </c>
      <c r="O56" s="15"/>
      <c r="P56" s="15">
        <v>88.89</v>
      </c>
      <c r="Q56" s="15" t="s">
        <v>146</v>
      </c>
      <c r="R56" s="15">
        <v>22.5</v>
      </c>
      <c r="S56" s="15">
        <f>R56*P56</f>
        <v>2000.0250000000001</v>
      </c>
    </row>
    <row r="57" spans="3:19">
      <c r="C57" s="15" t="s">
        <v>110</v>
      </c>
      <c r="D57" s="15" t="s">
        <v>111</v>
      </c>
      <c r="E57" s="15" t="s">
        <v>112</v>
      </c>
      <c r="F57" s="15" t="s">
        <v>392</v>
      </c>
      <c r="I57" s="15" t="s">
        <v>314</v>
      </c>
      <c r="J57" s="15">
        <v>30</v>
      </c>
      <c r="K57" s="15" t="s">
        <v>146</v>
      </c>
      <c r="L57" s="15"/>
      <c r="M57" s="15"/>
      <c r="N57" s="15">
        <f>SUM(J57*P57)</f>
        <v>1500</v>
      </c>
      <c r="O57" s="15"/>
      <c r="P57" s="15">
        <v>50</v>
      </c>
      <c r="Q57" s="15" t="s">
        <v>146</v>
      </c>
      <c r="R57" s="15">
        <v>20</v>
      </c>
      <c r="S57" s="15">
        <f>R57*P57</f>
        <v>1000</v>
      </c>
    </row>
    <row r="58" spans="3:19">
      <c r="C58" s="15">
        <v>30</v>
      </c>
      <c r="D58" s="15">
        <v>2.5</v>
      </c>
      <c r="E58" s="15">
        <f>C58*D58*F58</f>
        <v>300</v>
      </c>
      <c r="F58" s="15">
        <v>4</v>
      </c>
      <c r="I58" s="15" t="s">
        <v>611</v>
      </c>
      <c r="J58" s="15">
        <v>37.5</v>
      </c>
      <c r="K58" s="15" t="s">
        <v>120</v>
      </c>
      <c r="L58" s="15">
        <v>18.75</v>
      </c>
      <c r="M58" s="15" t="s">
        <v>314</v>
      </c>
      <c r="N58" s="15">
        <f>SUM(J58*P58)</f>
        <v>1999.875</v>
      </c>
      <c r="O58" s="15">
        <f>SUM(L58*P58)</f>
        <v>999.9375</v>
      </c>
      <c r="P58" s="15">
        <v>53.33</v>
      </c>
      <c r="Q58" s="15" t="s">
        <v>225</v>
      </c>
      <c r="R58" s="15">
        <v>5.625</v>
      </c>
      <c r="S58" s="15">
        <f>P58*R58</f>
        <v>299.98124999999999</v>
      </c>
    </row>
    <row r="59" spans="3:19">
      <c r="C59" s="15">
        <v>30</v>
      </c>
      <c r="D59" s="15">
        <v>2.5</v>
      </c>
      <c r="E59" s="15">
        <f t="shared" ref="E59:E65" si="7">C59*D59*F59</f>
        <v>300</v>
      </c>
      <c r="F59" s="15">
        <v>4</v>
      </c>
    </row>
    <row r="60" spans="3:19">
      <c r="C60" s="15">
        <v>30</v>
      </c>
      <c r="D60" s="15">
        <v>2.5</v>
      </c>
      <c r="E60" s="15">
        <f t="shared" si="7"/>
        <v>300</v>
      </c>
      <c r="F60" s="15">
        <v>4</v>
      </c>
    </row>
    <row r="61" spans="3:19">
      <c r="C61" s="15">
        <v>30</v>
      </c>
      <c r="D61" s="15">
        <v>2.5</v>
      </c>
      <c r="E61" s="15">
        <f t="shared" si="7"/>
        <v>300</v>
      </c>
      <c r="F61" s="15">
        <v>4</v>
      </c>
      <c r="I61" s="68" t="s">
        <v>307</v>
      </c>
      <c r="J61" s="69"/>
    </row>
    <row r="62" spans="3:19">
      <c r="C62" s="15">
        <v>30</v>
      </c>
      <c r="D62" s="15">
        <v>2.5</v>
      </c>
      <c r="E62" s="15">
        <f t="shared" si="7"/>
        <v>300</v>
      </c>
      <c r="F62" s="15">
        <v>4</v>
      </c>
      <c r="I62" s="14" t="s">
        <v>306</v>
      </c>
      <c r="J62" s="15">
        <f>J52-N56-N57-J24</f>
        <v>3988.875</v>
      </c>
      <c r="K62" s="66" t="s">
        <v>612</v>
      </c>
    </row>
    <row r="63" spans="3:19">
      <c r="C63" s="15">
        <v>30</v>
      </c>
      <c r="D63" s="15">
        <v>2.5</v>
      </c>
      <c r="E63" s="15">
        <f t="shared" si="7"/>
        <v>300</v>
      </c>
      <c r="F63" s="15">
        <v>4</v>
      </c>
      <c r="I63" s="14" t="s">
        <v>225</v>
      </c>
      <c r="J63" s="15">
        <f>S58</f>
        <v>299.98124999999999</v>
      </c>
    </row>
    <row r="64" spans="3:19">
      <c r="C64" s="15">
        <v>60</v>
      </c>
      <c r="D64" s="15">
        <v>2.5</v>
      </c>
      <c r="E64" s="15">
        <f t="shared" si="7"/>
        <v>600</v>
      </c>
      <c r="F64" s="15">
        <v>4</v>
      </c>
    </row>
    <row r="65" spans="3:18">
      <c r="C65" s="15">
        <v>60</v>
      </c>
      <c r="D65" s="15">
        <v>2.5</v>
      </c>
      <c r="E65" s="15">
        <f t="shared" si="7"/>
        <v>600</v>
      </c>
      <c r="F65" s="15">
        <v>4</v>
      </c>
      <c r="I65" s="73" t="s">
        <v>158</v>
      </c>
      <c r="J65" s="74"/>
      <c r="K65" s="74"/>
      <c r="L65" s="74"/>
      <c r="M65" s="74"/>
      <c r="N65" s="74"/>
      <c r="O65" s="74"/>
      <c r="P65" s="74"/>
      <c r="Q65" s="74"/>
    </row>
    <row r="66" spans="3:18">
      <c r="C66" s="15">
        <v>60</v>
      </c>
      <c r="D66" s="15">
        <v>2.5</v>
      </c>
      <c r="E66" s="15">
        <f>C66*D66*F66</f>
        <v>600</v>
      </c>
      <c r="F66" s="15">
        <v>4</v>
      </c>
      <c r="I66" s="16" t="s">
        <v>59</v>
      </c>
      <c r="J66" s="16" t="s">
        <v>103</v>
      </c>
      <c r="K66" s="16" t="s">
        <v>145</v>
      </c>
      <c r="L66" s="16" t="s">
        <v>104</v>
      </c>
      <c r="M66" s="16" t="s">
        <v>147</v>
      </c>
      <c r="N66" s="16" t="s">
        <v>304</v>
      </c>
      <c r="O66" s="31" t="s">
        <v>305</v>
      </c>
      <c r="P66" s="16" t="s">
        <v>106</v>
      </c>
      <c r="Q66" s="31" t="s">
        <v>407</v>
      </c>
      <c r="R66" s="31" t="s">
        <v>344</v>
      </c>
    </row>
    <row r="67" spans="3:18" ht="15.75">
      <c r="C67" s="15">
        <v>60</v>
      </c>
      <c r="D67" s="15">
        <v>2.5</v>
      </c>
      <c r="E67" s="15">
        <f>C67*D67*F67</f>
        <v>600</v>
      </c>
      <c r="F67" s="15">
        <v>4</v>
      </c>
      <c r="I67" s="15" t="s">
        <v>315</v>
      </c>
      <c r="J67" s="15">
        <v>12.5</v>
      </c>
      <c r="K67" s="15" t="s">
        <v>146</v>
      </c>
      <c r="L67" s="15"/>
      <c r="M67" s="15"/>
      <c r="N67" s="15">
        <f>J67*Q67</f>
        <v>250</v>
      </c>
      <c r="O67" s="15"/>
      <c r="P67" s="15">
        <v>22.5</v>
      </c>
      <c r="Q67" s="37">
        <v>20</v>
      </c>
      <c r="R67" s="15">
        <f t="shared" ref="R67:R74" si="8">P67*Q67</f>
        <v>450</v>
      </c>
    </row>
    <row r="68" spans="3:18" ht="15.75">
      <c r="C68" s="15">
        <v>60</v>
      </c>
      <c r="D68" s="15">
        <v>2.5</v>
      </c>
      <c r="E68" s="15">
        <f>C68*D68*F68</f>
        <v>600</v>
      </c>
      <c r="F68" s="15">
        <v>4</v>
      </c>
      <c r="I68" s="15" t="s">
        <v>314</v>
      </c>
      <c r="J68" s="15">
        <v>30</v>
      </c>
      <c r="K68" s="15" t="s">
        <v>146</v>
      </c>
      <c r="L68" s="15"/>
      <c r="M68" s="15"/>
      <c r="N68" s="15">
        <f>J68*Q68</f>
        <v>337.5</v>
      </c>
      <c r="O68" s="15"/>
      <c r="P68" s="15">
        <v>20</v>
      </c>
      <c r="Q68" s="37">
        <v>11.25</v>
      </c>
      <c r="R68" s="15">
        <f t="shared" si="8"/>
        <v>225</v>
      </c>
    </row>
    <row r="69" spans="3:18" ht="15.75">
      <c r="C69" s="15">
        <v>60</v>
      </c>
      <c r="D69" s="15">
        <v>2.5</v>
      </c>
      <c r="E69" s="15">
        <f>C69*D69*F69</f>
        <v>600</v>
      </c>
      <c r="F69" s="15">
        <v>4</v>
      </c>
      <c r="I69" s="15" t="s">
        <v>97</v>
      </c>
      <c r="J69" s="15">
        <v>37.5</v>
      </c>
      <c r="K69" s="15" t="s">
        <v>120</v>
      </c>
      <c r="L69" s="15" t="s">
        <v>314</v>
      </c>
      <c r="M69" s="15">
        <v>18.75</v>
      </c>
      <c r="N69" s="15">
        <f>J69*Q69</f>
        <v>450</v>
      </c>
      <c r="O69" s="15">
        <f>M69*Q69</f>
        <v>225</v>
      </c>
      <c r="P69" s="15">
        <v>5.625</v>
      </c>
      <c r="Q69" s="37">
        <v>12</v>
      </c>
      <c r="R69" s="15">
        <f t="shared" si="8"/>
        <v>67.5</v>
      </c>
    </row>
    <row r="70" spans="3:18" ht="15.75">
      <c r="C70" s="15">
        <v>60</v>
      </c>
      <c r="D70" s="15">
        <v>2.5</v>
      </c>
      <c r="E70" s="15">
        <v>600</v>
      </c>
      <c r="F70" s="15">
        <v>4</v>
      </c>
      <c r="I70" s="15" t="s">
        <v>98</v>
      </c>
      <c r="J70" s="15">
        <v>30</v>
      </c>
      <c r="K70" s="15" t="s">
        <v>62</v>
      </c>
      <c r="L70" s="15"/>
      <c r="M70" s="15"/>
      <c r="N70" s="15">
        <f>J70*Q70</f>
        <v>1560</v>
      </c>
      <c r="O70" s="15"/>
      <c r="P70" s="15">
        <v>20</v>
      </c>
      <c r="Q70" s="37">
        <v>52</v>
      </c>
      <c r="R70" s="15">
        <f t="shared" si="8"/>
        <v>1040</v>
      </c>
    </row>
    <row r="71" spans="3:18" ht="15.75">
      <c r="C71" s="15">
        <v>120</v>
      </c>
      <c r="D71" s="15">
        <v>1.63</v>
      </c>
      <c r="E71" s="15">
        <f>C71*D71*F71</f>
        <v>782.4</v>
      </c>
      <c r="F71" s="15">
        <v>4</v>
      </c>
      <c r="I71" s="15" t="s">
        <v>99</v>
      </c>
      <c r="J71" s="15">
        <v>60</v>
      </c>
      <c r="K71" s="15" t="s">
        <v>62</v>
      </c>
      <c r="L71" s="15"/>
      <c r="M71" s="15"/>
      <c r="N71" s="15">
        <f>J71*Q71</f>
        <v>780</v>
      </c>
      <c r="O71" s="15"/>
      <c r="P71" s="15">
        <v>15</v>
      </c>
      <c r="Q71" s="37">
        <v>13</v>
      </c>
      <c r="R71" s="15">
        <f t="shared" si="8"/>
        <v>195</v>
      </c>
    </row>
    <row r="72" spans="3:18" ht="15.75">
      <c r="C72" s="15" t="s">
        <v>105</v>
      </c>
      <c r="D72" s="15"/>
      <c r="E72" s="15">
        <f>SUM(E58:E71)</f>
        <v>6782.4</v>
      </c>
      <c r="F72" s="15"/>
      <c r="I72" s="15" t="s">
        <v>100</v>
      </c>
      <c r="J72" s="15">
        <v>20</v>
      </c>
      <c r="K72" s="15" t="s">
        <v>65</v>
      </c>
      <c r="L72" s="15"/>
      <c r="M72" s="15"/>
      <c r="N72" s="15">
        <f t="shared" ref="N72:N74" si="9">J72*Q72</f>
        <v>1200</v>
      </c>
      <c r="O72" s="15"/>
      <c r="P72" s="15">
        <v>10</v>
      </c>
      <c r="Q72" s="37">
        <v>60</v>
      </c>
      <c r="R72" s="15">
        <f t="shared" si="8"/>
        <v>600</v>
      </c>
    </row>
    <row r="73" spans="3:18" ht="15.75">
      <c r="C73" s="70" t="s">
        <v>7</v>
      </c>
      <c r="D73" s="71"/>
      <c r="E73" s="71"/>
      <c r="F73" s="72"/>
      <c r="I73" s="15" t="s">
        <v>101</v>
      </c>
      <c r="J73" s="15">
        <v>12</v>
      </c>
      <c r="K73" s="15" t="s">
        <v>65</v>
      </c>
      <c r="L73" s="15">
        <v>3</v>
      </c>
      <c r="M73" s="15" t="s">
        <v>148</v>
      </c>
      <c r="N73" s="15">
        <f t="shared" si="9"/>
        <v>192</v>
      </c>
      <c r="O73" s="15">
        <f>L73*Q73</f>
        <v>48</v>
      </c>
      <c r="P73" s="15">
        <v>90</v>
      </c>
      <c r="Q73" s="37">
        <v>16</v>
      </c>
      <c r="R73" s="15">
        <f t="shared" si="8"/>
        <v>1440</v>
      </c>
    </row>
    <row r="74" spans="3:18" ht="15.75">
      <c r="C74" s="15" t="s">
        <v>110</v>
      </c>
      <c r="D74" s="15" t="s">
        <v>111</v>
      </c>
      <c r="E74" s="15" t="s">
        <v>112</v>
      </c>
      <c r="F74" s="15" t="s">
        <v>392</v>
      </c>
      <c r="I74" s="15" t="s">
        <v>102</v>
      </c>
      <c r="J74" s="15">
        <v>37.5</v>
      </c>
      <c r="K74" s="15" t="s">
        <v>65</v>
      </c>
      <c r="L74" s="15">
        <v>7.5</v>
      </c>
      <c r="M74" s="15" t="s">
        <v>148</v>
      </c>
      <c r="N74" s="15">
        <f t="shared" si="9"/>
        <v>525</v>
      </c>
      <c r="O74" s="15">
        <f>L74*Q74</f>
        <v>105</v>
      </c>
      <c r="P74" s="15">
        <v>90</v>
      </c>
      <c r="Q74" s="37">
        <v>14</v>
      </c>
      <c r="R74" s="15">
        <f t="shared" si="8"/>
        <v>1260</v>
      </c>
    </row>
    <row r="75" spans="3:18">
      <c r="C75" s="15">
        <v>120</v>
      </c>
      <c r="D75" s="15">
        <v>1.63</v>
      </c>
      <c r="E75" s="15">
        <f>C75*D75*F75</f>
        <v>782.4</v>
      </c>
      <c r="F75" s="15">
        <v>4</v>
      </c>
    </row>
    <row r="76" spans="3:18">
      <c r="C76" s="15">
        <v>120</v>
      </c>
      <c r="D76" s="15">
        <v>1.63</v>
      </c>
      <c r="E76" s="15">
        <f>C76*D76*F76</f>
        <v>782.4</v>
      </c>
      <c r="F76" s="15">
        <v>4</v>
      </c>
      <c r="I76" s="68" t="s">
        <v>316</v>
      </c>
      <c r="J76" s="69"/>
      <c r="L76" s="68" t="s">
        <v>317</v>
      </c>
      <c r="M76" s="69"/>
    </row>
    <row r="77" spans="3:18">
      <c r="C77" s="15" t="s">
        <v>105</v>
      </c>
      <c r="D77" s="15"/>
      <c r="E77" s="15">
        <f>SUM(E75:E76)</f>
        <v>1564.8</v>
      </c>
      <c r="F77" s="15"/>
      <c r="I77" s="14" t="s">
        <v>408</v>
      </c>
      <c r="J77" s="15">
        <f t="shared" ref="J77:J82" si="10">R69</f>
        <v>67.5</v>
      </c>
      <c r="L77" s="14" t="s">
        <v>146</v>
      </c>
      <c r="M77" s="15">
        <f>SUM(J24-(N67+N68))</f>
        <v>12.5</v>
      </c>
    </row>
    <row r="78" spans="3:18">
      <c r="C78" s="70" t="s">
        <v>117</v>
      </c>
      <c r="D78" s="71"/>
      <c r="E78" s="71"/>
      <c r="F78" s="72"/>
      <c r="I78" s="14" t="s">
        <v>72</v>
      </c>
      <c r="J78" s="15">
        <f t="shared" si="10"/>
        <v>1040</v>
      </c>
      <c r="L78" s="14" t="s">
        <v>65</v>
      </c>
      <c r="M78" s="15">
        <f>SUM(J26-(N72+N73+N74))</f>
        <v>483</v>
      </c>
    </row>
    <row r="79" spans="3:18">
      <c r="C79" s="15" t="s">
        <v>110</v>
      </c>
      <c r="D79" s="15" t="s">
        <v>111</v>
      </c>
      <c r="E79" s="15" t="s">
        <v>112</v>
      </c>
      <c r="F79" s="15" t="s">
        <v>392</v>
      </c>
      <c r="I79" s="14" t="s">
        <v>409</v>
      </c>
      <c r="J79" s="15">
        <f t="shared" si="10"/>
        <v>195</v>
      </c>
      <c r="L79" s="14" t="s">
        <v>62</v>
      </c>
      <c r="M79" s="15">
        <f>SUM(J25-(N70+N71))</f>
        <v>0</v>
      </c>
    </row>
    <row r="80" spans="3:18">
      <c r="C80" s="15">
        <v>60</v>
      </c>
      <c r="D80" s="15">
        <v>2.5</v>
      </c>
      <c r="E80" s="15">
        <f>C80*D80*F80</f>
        <v>600</v>
      </c>
      <c r="F80" s="15">
        <v>4</v>
      </c>
      <c r="I80" s="14" t="s">
        <v>86</v>
      </c>
      <c r="J80" s="15">
        <f t="shared" si="10"/>
        <v>600</v>
      </c>
      <c r="L80" s="14" t="s">
        <v>148</v>
      </c>
      <c r="M80" s="15">
        <f>SUM(J30-(O73+O74))</f>
        <v>367.20000000000005</v>
      </c>
    </row>
    <row r="81" spans="3:18">
      <c r="C81" s="15">
        <v>60</v>
      </c>
      <c r="D81" s="15">
        <v>2.5</v>
      </c>
      <c r="E81" s="15">
        <f>C81*D81*F81</f>
        <v>600</v>
      </c>
      <c r="F81" s="15">
        <v>4</v>
      </c>
      <c r="I81" s="14" t="s">
        <v>120</v>
      </c>
      <c r="J81" s="15">
        <f t="shared" si="10"/>
        <v>1440</v>
      </c>
      <c r="L81" s="14" t="s">
        <v>16</v>
      </c>
      <c r="M81" s="15">
        <f>J27</f>
        <v>2254.5</v>
      </c>
    </row>
    <row r="82" spans="3:18">
      <c r="C82" s="15" t="s">
        <v>105</v>
      </c>
      <c r="D82" s="15"/>
      <c r="E82" s="15">
        <f>SUM(E80:E81)</f>
        <v>1200</v>
      </c>
      <c r="F82" s="15"/>
      <c r="I82" s="14" t="s">
        <v>121</v>
      </c>
      <c r="J82" s="15">
        <f t="shared" si="10"/>
        <v>1260</v>
      </c>
      <c r="L82" s="14" t="s">
        <v>18</v>
      </c>
      <c r="M82" s="15">
        <f>J28</f>
        <v>1500</v>
      </c>
    </row>
    <row r="83" spans="3:18">
      <c r="C83" s="70" t="s">
        <v>17</v>
      </c>
      <c r="D83" s="71"/>
      <c r="E83" s="71"/>
      <c r="F83" s="72"/>
      <c r="L83" s="14" t="s">
        <v>389</v>
      </c>
      <c r="M83" s="15">
        <f>J29</f>
        <v>180</v>
      </c>
    </row>
    <row r="84" spans="3:18">
      <c r="C84" s="15" t="s">
        <v>110</v>
      </c>
      <c r="D84" s="15" t="s">
        <v>111</v>
      </c>
      <c r="E84" s="15" t="s">
        <v>112</v>
      </c>
      <c r="F84" s="15" t="s">
        <v>392</v>
      </c>
    </row>
    <row r="85" spans="3:18">
      <c r="C85" s="15">
        <v>60</v>
      </c>
      <c r="D85" s="15">
        <v>2.5</v>
      </c>
      <c r="E85" s="15">
        <f>C85*D85*F85</f>
        <v>600</v>
      </c>
      <c r="F85" s="15">
        <v>4</v>
      </c>
      <c r="I85" s="30" t="s">
        <v>173</v>
      </c>
      <c r="J85" s="30" t="s">
        <v>172</v>
      </c>
      <c r="K85" s="30" t="s">
        <v>170</v>
      </c>
      <c r="L85" s="30" t="s">
        <v>174</v>
      </c>
      <c r="M85" s="30" t="s">
        <v>172</v>
      </c>
      <c r="N85" s="30" t="s">
        <v>177</v>
      </c>
      <c r="O85" s="30" t="s">
        <v>171</v>
      </c>
    </row>
    <row r="86" spans="3:18">
      <c r="C86" s="15">
        <v>60</v>
      </c>
      <c r="D86" s="15">
        <v>2.5</v>
      </c>
      <c r="E86" s="15">
        <f>C86*D86*F86</f>
        <v>600</v>
      </c>
      <c r="F86" s="15">
        <v>4</v>
      </c>
      <c r="I86" s="30" t="s">
        <v>168</v>
      </c>
      <c r="J86" s="30">
        <v>0.5</v>
      </c>
      <c r="K86" s="30">
        <f>ROUNDDOWN(SUM((M82*0.5)/27.5),0)</f>
        <v>27</v>
      </c>
      <c r="L86" s="30" t="s">
        <v>169</v>
      </c>
      <c r="M86" s="30">
        <v>1</v>
      </c>
      <c r="N86" s="30">
        <f>ROUNDDOWN(SUM((J80*1)/27.5),0)</f>
        <v>21</v>
      </c>
      <c r="O86" s="30">
        <f>IF(K86&gt;N86,N86,K86)</f>
        <v>21</v>
      </c>
    </row>
    <row r="87" spans="3:18">
      <c r="C87" s="15" t="s">
        <v>105</v>
      </c>
      <c r="D87" s="15"/>
      <c r="E87" s="15">
        <f>SUM(E85:E86)</f>
        <v>1200</v>
      </c>
      <c r="F87" s="15"/>
      <c r="I87" s="30" t="s">
        <v>167</v>
      </c>
      <c r="J87" s="30">
        <v>0.7</v>
      </c>
      <c r="K87" s="30">
        <f>ROUNDDOWN(SUM((D15*J87)/20),0)</f>
        <v>79</v>
      </c>
      <c r="L87" s="30" t="s">
        <v>165</v>
      </c>
      <c r="M87" s="30">
        <v>0.25</v>
      </c>
      <c r="N87" s="30">
        <f>ROUNDDOWN(SUM((J78*M87)/28),0)</f>
        <v>9</v>
      </c>
      <c r="O87" s="30">
        <f t="shared" ref="O87:O89" si="11">IF(K87&gt;N87,N87,K87)</f>
        <v>9</v>
      </c>
    </row>
    <row r="88" spans="3:18">
      <c r="C88" s="70" t="s">
        <v>91</v>
      </c>
      <c r="D88" s="71"/>
      <c r="E88" s="71"/>
      <c r="F88" s="72"/>
      <c r="I88" s="30" t="s">
        <v>166</v>
      </c>
      <c r="J88" s="30">
        <v>1</v>
      </c>
      <c r="K88" s="30">
        <f>ROUNDDOWN(SUM((R69*1)/2),0)</f>
        <v>33</v>
      </c>
      <c r="L88" s="30" t="s">
        <v>164</v>
      </c>
      <c r="M88" s="30">
        <v>0.15</v>
      </c>
      <c r="N88" s="30">
        <f>ROUNDDOWN(SUM((J78*M88)/10),0)</f>
        <v>15</v>
      </c>
      <c r="O88" s="30">
        <f t="shared" si="11"/>
        <v>15</v>
      </c>
    </row>
    <row r="89" spans="3:18">
      <c r="C89" s="15" t="s">
        <v>110</v>
      </c>
      <c r="D89" s="15" t="s">
        <v>111</v>
      </c>
      <c r="E89" s="15" t="s">
        <v>112</v>
      </c>
      <c r="F89" s="15" t="s">
        <v>392</v>
      </c>
      <c r="I89" s="30" t="s">
        <v>161</v>
      </c>
      <c r="J89" s="30">
        <v>0.8</v>
      </c>
      <c r="K89" s="30">
        <f>ROUNDDOWN(SUM((R73*J89)/40),0)</f>
        <v>28</v>
      </c>
      <c r="L89" s="30" t="s">
        <v>162</v>
      </c>
      <c r="M89" s="30">
        <v>0.25</v>
      </c>
      <c r="N89" s="30">
        <f>ROUNDDOWN(SUM((J78*M89)/15),0)</f>
        <v>17</v>
      </c>
      <c r="O89" s="30">
        <f t="shared" si="11"/>
        <v>17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30" t="s">
        <v>160</v>
      </c>
      <c r="J90" s="30">
        <v>0.2</v>
      </c>
      <c r="K90" s="30">
        <f>ROUNDDOWN(SUM((R73*J90)/30),0)</f>
        <v>9</v>
      </c>
      <c r="L90" s="30" t="s">
        <v>163</v>
      </c>
      <c r="M90" s="30">
        <v>0.17</v>
      </c>
      <c r="N90" s="30">
        <f>ROUNDDOWN(SUM((J78*M90)/10),0)</f>
        <v>17</v>
      </c>
      <c r="O90" s="30">
        <v>16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30" t="s">
        <v>175</v>
      </c>
      <c r="J91" s="30">
        <v>1</v>
      </c>
      <c r="K91" s="30">
        <v>2</v>
      </c>
      <c r="L91" s="30" t="s">
        <v>176</v>
      </c>
      <c r="M91" s="30">
        <v>1</v>
      </c>
      <c r="N91" s="30">
        <f>SUM(O90/2)</f>
        <v>8</v>
      </c>
      <c r="O91" s="30">
        <v>8</v>
      </c>
    </row>
    <row r="92" spans="3:18">
      <c r="C92" s="15" t="s">
        <v>105</v>
      </c>
      <c r="D92" s="15"/>
      <c r="E92" s="15">
        <f>SUM(E90:E91)</f>
        <v>1564.8</v>
      </c>
      <c r="F92" s="15"/>
    </row>
    <row r="93" spans="3:18">
      <c r="C93" s="68" t="s">
        <v>396</v>
      </c>
      <c r="D93" s="69"/>
      <c r="E93" s="69"/>
      <c r="F93" s="69"/>
    </row>
    <row r="94" spans="3:18">
      <c r="C94" s="70" t="s">
        <v>23</v>
      </c>
      <c r="D94" s="71"/>
      <c r="E94" s="71"/>
      <c r="F94" s="72"/>
      <c r="I94" s="73" t="s">
        <v>336</v>
      </c>
      <c r="J94" s="74"/>
      <c r="K94" s="74"/>
      <c r="L94" s="74"/>
      <c r="M94" s="74"/>
      <c r="N94" s="74"/>
      <c r="O94" s="74"/>
      <c r="P94" s="74"/>
      <c r="Q94" s="74"/>
      <c r="R94" s="74"/>
    </row>
    <row r="95" spans="3:18">
      <c r="C95" s="15" t="s">
        <v>110</v>
      </c>
      <c r="D95" s="15" t="s">
        <v>111</v>
      </c>
      <c r="E95" s="15" t="s">
        <v>112</v>
      </c>
      <c r="F95" s="15" t="s">
        <v>392</v>
      </c>
      <c r="I95" s="16" t="s">
        <v>59</v>
      </c>
      <c r="J95" s="16" t="s">
        <v>103</v>
      </c>
      <c r="K95" s="16" t="s">
        <v>145</v>
      </c>
      <c r="L95" s="16" t="s">
        <v>104</v>
      </c>
      <c r="M95" s="16" t="s">
        <v>147</v>
      </c>
      <c r="N95" s="16" t="s">
        <v>304</v>
      </c>
      <c r="O95" s="31" t="s">
        <v>305</v>
      </c>
      <c r="P95" s="16" t="s">
        <v>106</v>
      </c>
      <c r="Q95" s="31" t="s">
        <v>407</v>
      </c>
      <c r="R95" s="31" t="s">
        <v>344</v>
      </c>
    </row>
    <row r="96" spans="3:18" ht="15.75">
      <c r="C96" s="15">
        <v>30</v>
      </c>
      <c r="D96" s="15">
        <v>2.5</v>
      </c>
      <c r="E96" s="15">
        <f>C96*D96*F96</f>
        <v>300</v>
      </c>
      <c r="F96" s="15">
        <v>4</v>
      </c>
      <c r="I96" s="15" t="s">
        <v>138</v>
      </c>
      <c r="J96" s="15">
        <v>27.5</v>
      </c>
      <c r="K96" s="15" t="s">
        <v>18</v>
      </c>
      <c r="L96" s="15">
        <v>27.5</v>
      </c>
      <c r="M96" s="15" t="s">
        <v>86</v>
      </c>
      <c r="N96" s="15">
        <f>J96*Q96</f>
        <v>600.04999999999995</v>
      </c>
      <c r="O96" s="15">
        <f>L96*Q96</f>
        <v>600.04999999999995</v>
      </c>
      <c r="P96" s="15">
        <v>12.5</v>
      </c>
      <c r="Q96" s="37">
        <v>21.82</v>
      </c>
      <c r="R96" s="15">
        <f t="shared" ref="R96:R101" si="12">P96*Q96</f>
        <v>272.75</v>
      </c>
    </row>
    <row r="97" spans="3:18" ht="15.75">
      <c r="C97" s="15">
        <v>30</v>
      </c>
      <c r="D97" s="15">
        <v>2.5</v>
      </c>
      <c r="E97" s="15">
        <f t="shared" ref="E97:E99" si="13">C97*D97*F97</f>
        <v>300</v>
      </c>
      <c r="F97" s="15">
        <v>4</v>
      </c>
      <c r="I97" s="15" t="s">
        <v>189</v>
      </c>
      <c r="J97" s="15">
        <v>28</v>
      </c>
      <c r="K97" s="15" t="s">
        <v>6</v>
      </c>
      <c r="L97" s="15">
        <v>20</v>
      </c>
      <c r="M97" s="15" t="s">
        <v>16</v>
      </c>
      <c r="N97" s="15">
        <f>J97*Q97</f>
        <v>280</v>
      </c>
      <c r="O97" s="15">
        <f t="shared" ref="O97:O101" si="14">L97*Q97</f>
        <v>200</v>
      </c>
      <c r="P97" s="15">
        <v>4</v>
      </c>
      <c r="Q97" s="37">
        <v>10</v>
      </c>
      <c r="R97" s="15">
        <f t="shared" si="12"/>
        <v>40</v>
      </c>
    </row>
    <row r="98" spans="3:18" ht="15.75">
      <c r="C98" s="15">
        <v>30</v>
      </c>
      <c r="D98" s="15">
        <v>2.5</v>
      </c>
      <c r="E98" s="15">
        <f t="shared" si="13"/>
        <v>300</v>
      </c>
      <c r="F98" s="15">
        <v>4</v>
      </c>
      <c r="I98" s="15" t="s">
        <v>139</v>
      </c>
      <c r="J98" s="15">
        <v>10</v>
      </c>
      <c r="K98" s="15" t="s">
        <v>6</v>
      </c>
      <c r="L98" s="15">
        <v>2</v>
      </c>
      <c r="M98" s="15" t="s">
        <v>225</v>
      </c>
      <c r="N98" s="15">
        <f>J98*Q98</f>
        <v>140</v>
      </c>
      <c r="O98" s="15">
        <f t="shared" si="14"/>
        <v>28</v>
      </c>
      <c r="P98" s="15">
        <v>3</v>
      </c>
      <c r="Q98" s="37">
        <v>14</v>
      </c>
      <c r="R98" s="15">
        <f t="shared" si="12"/>
        <v>42</v>
      </c>
    </row>
    <row r="99" spans="3:18" ht="15.75">
      <c r="C99" s="15">
        <v>30</v>
      </c>
      <c r="D99" s="15">
        <v>2.5</v>
      </c>
      <c r="E99" s="15">
        <f t="shared" si="13"/>
        <v>300</v>
      </c>
      <c r="F99" s="15">
        <v>4</v>
      </c>
      <c r="I99" s="15" t="s">
        <v>20</v>
      </c>
      <c r="J99" s="15">
        <v>15</v>
      </c>
      <c r="K99" s="15" t="s">
        <v>6</v>
      </c>
      <c r="L99" s="15">
        <v>40</v>
      </c>
      <c r="M99" s="15" t="s">
        <v>120</v>
      </c>
      <c r="N99" s="15">
        <f>J99*Q99</f>
        <v>291</v>
      </c>
      <c r="O99" s="15">
        <f t="shared" si="14"/>
        <v>776</v>
      </c>
      <c r="P99" s="15">
        <v>5</v>
      </c>
      <c r="Q99" s="37">
        <v>19.399999999999999</v>
      </c>
      <c r="R99" s="15">
        <f t="shared" si="12"/>
        <v>97</v>
      </c>
    </row>
    <row r="100" spans="3:18" ht="15.75">
      <c r="C100" s="15">
        <v>30</v>
      </c>
      <c r="D100" s="15">
        <v>2.5</v>
      </c>
      <c r="E100" s="15">
        <f t="shared" ref="E100:E102" si="15">C100*D100*F100</f>
        <v>300</v>
      </c>
      <c r="F100" s="15">
        <v>4</v>
      </c>
      <c r="I100" s="15" t="s">
        <v>410</v>
      </c>
      <c r="J100" s="15">
        <v>10</v>
      </c>
      <c r="K100" s="15" t="s">
        <v>6</v>
      </c>
      <c r="L100" s="15">
        <v>30</v>
      </c>
      <c r="M100" s="15" t="s">
        <v>120</v>
      </c>
      <c r="N100" s="15">
        <f>J100*Q100</f>
        <v>194</v>
      </c>
      <c r="O100" s="15">
        <f t="shared" si="14"/>
        <v>582</v>
      </c>
      <c r="P100" s="15">
        <v>5</v>
      </c>
      <c r="Q100" s="37">
        <v>19.399999999999999</v>
      </c>
      <c r="R100" s="15">
        <f t="shared" si="12"/>
        <v>97</v>
      </c>
    </row>
    <row r="101" spans="3:18" ht="15.75">
      <c r="C101" s="15">
        <v>30</v>
      </c>
      <c r="D101" s="15">
        <v>2.5</v>
      </c>
      <c r="E101" s="15">
        <f t="shared" si="15"/>
        <v>300</v>
      </c>
      <c r="F101" s="15">
        <v>4</v>
      </c>
      <c r="I101" s="15" t="s">
        <v>12</v>
      </c>
      <c r="J101" s="15">
        <v>10</v>
      </c>
      <c r="K101" s="15" t="s">
        <v>179</v>
      </c>
      <c r="L101" s="15">
        <v>10</v>
      </c>
      <c r="M101" s="15" t="s">
        <v>178</v>
      </c>
      <c r="N101" s="15">
        <f t="shared" ref="N101" si="16">J101*Q101</f>
        <v>97</v>
      </c>
      <c r="O101" s="15">
        <f t="shared" si="14"/>
        <v>97</v>
      </c>
      <c r="P101" s="15">
        <v>5</v>
      </c>
      <c r="Q101" s="37">
        <v>9.6999999999999993</v>
      </c>
      <c r="R101" s="15">
        <f t="shared" si="12"/>
        <v>48.5</v>
      </c>
    </row>
    <row r="102" spans="3:18">
      <c r="C102" s="15">
        <v>30</v>
      </c>
      <c r="D102" s="15">
        <v>2.5</v>
      </c>
      <c r="E102" s="15">
        <f t="shared" si="15"/>
        <v>300</v>
      </c>
      <c r="F102" s="15">
        <v>4</v>
      </c>
    </row>
    <row r="103" spans="3:18">
      <c r="C103" s="15">
        <v>30</v>
      </c>
      <c r="D103" s="15">
        <v>2.5</v>
      </c>
      <c r="E103" s="15">
        <f>C103*D103*F103</f>
        <v>300</v>
      </c>
      <c r="F103" s="15">
        <v>4</v>
      </c>
      <c r="I103" s="68" t="s">
        <v>322</v>
      </c>
      <c r="J103" s="69"/>
      <c r="L103" s="68" t="s">
        <v>317</v>
      </c>
      <c r="M103" s="69"/>
    </row>
    <row r="104" spans="3:18">
      <c r="C104" s="15" t="s">
        <v>105</v>
      </c>
      <c r="D104" s="15">
        <v>19</v>
      </c>
      <c r="E104" s="15">
        <f>SUM(E96:E103)</f>
        <v>2400</v>
      </c>
      <c r="F104" s="15"/>
      <c r="I104" s="14" t="s">
        <v>408</v>
      </c>
      <c r="J104" s="15">
        <f>J77-R98+J63</f>
        <v>325.48124999999999</v>
      </c>
      <c r="L104" s="14" t="s">
        <v>65</v>
      </c>
      <c r="M104" s="15">
        <f>M78</f>
        <v>483</v>
      </c>
    </row>
    <row r="105" spans="3:18">
      <c r="I105" s="14" t="s">
        <v>72</v>
      </c>
      <c r="J105" s="15">
        <f>SUM(J78-(N97+N98+N99+N100))</f>
        <v>135</v>
      </c>
      <c r="L105" s="14" t="s">
        <v>148</v>
      </c>
      <c r="M105" s="15">
        <f>M80</f>
        <v>367.20000000000005</v>
      </c>
    </row>
    <row r="106" spans="3:18">
      <c r="C106" s="68" t="s">
        <v>602</v>
      </c>
      <c r="D106" s="69"/>
      <c r="E106" s="69"/>
      <c r="I106" s="14" t="s">
        <v>3</v>
      </c>
      <c r="J106" s="15">
        <f>J79</f>
        <v>195</v>
      </c>
    </row>
    <row r="107" spans="3:18">
      <c r="C107" s="14" t="s">
        <v>601</v>
      </c>
      <c r="D107" s="14" t="s">
        <v>59</v>
      </c>
      <c r="E107" s="14" t="s">
        <v>66</v>
      </c>
      <c r="I107" s="14" t="s">
        <v>120</v>
      </c>
      <c r="J107" s="15">
        <f>SUM(J81-(O99+O100))</f>
        <v>82</v>
      </c>
    </row>
    <row r="108" spans="3:18">
      <c r="C108" s="15">
        <v>1</v>
      </c>
      <c r="D108" s="15" t="s">
        <v>7</v>
      </c>
      <c r="E108" s="15">
        <v>780</v>
      </c>
      <c r="F108" s="52" t="s">
        <v>604</v>
      </c>
      <c r="I108" s="14" t="s">
        <v>121</v>
      </c>
      <c r="J108" s="15">
        <f>J82</f>
        <v>1260</v>
      </c>
    </row>
    <row r="109" spans="3:18">
      <c r="C109" s="15">
        <v>2</v>
      </c>
      <c r="D109" s="15" t="s">
        <v>7</v>
      </c>
      <c r="E109" s="15">
        <v>780</v>
      </c>
      <c r="F109" s="52" t="s">
        <v>604</v>
      </c>
      <c r="I109" s="14" t="s">
        <v>19</v>
      </c>
      <c r="J109" s="15">
        <f>J80-O96</f>
        <v>-4.9999999999954525E-2</v>
      </c>
    </row>
    <row r="110" spans="3:18">
      <c r="C110" s="15">
        <v>3</v>
      </c>
      <c r="D110" s="15" t="s">
        <v>17</v>
      </c>
      <c r="E110" s="15">
        <v>600</v>
      </c>
      <c r="F110" s="52" t="s">
        <v>604</v>
      </c>
      <c r="I110" s="14" t="s">
        <v>18</v>
      </c>
      <c r="J110" s="15">
        <f>M82-N96</f>
        <v>899.95</v>
      </c>
    </row>
    <row r="111" spans="3:18">
      <c r="C111" s="15">
        <v>4</v>
      </c>
      <c r="D111" s="15" t="s">
        <v>17</v>
      </c>
      <c r="E111" s="15">
        <v>600</v>
      </c>
      <c r="F111" s="52" t="s">
        <v>604</v>
      </c>
      <c r="I111" s="14" t="s">
        <v>389</v>
      </c>
      <c r="J111" s="15">
        <f>M83</f>
        <v>180</v>
      </c>
    </row>
    <row r="112" spans="3:18">
      <c r="C112" s="15">
        <v>5</v>
      </c>
      <c r="D112" s="15" t="s">
        <v>117</v>
      </c>
      <c r="E112" s="15">
        <v>600</v>
      </c>
      <c r="F112" s="52" t="s">
        <v>604</v>
      </c>
      <c r="I112" s="14" t="s">
        <v>16</v>
      </c>
      <c r="J112" s="15">
        <f>M81-O97</f>
        <v>2054.5</v>
      </c>
    </row>
    <row r="113" spans="3:24">
      <c r="C113" s="15">
        <v>6</v>
      </c>
      <c r="D113" s="15" t="s">
        <v>23</v>
      </c>
      <c r="E113" s="15">
        <v>600</v>
      </c>
      <c r="F113" s="52" t="s">
        <v>604</v>
      </c>
      <c r="I113" s="14" t="s">
        <v>138</v>
      </c>
      <c r="J113" s="15">
        <f>R96</f>
        <v>272.75</v>
      </c>
    </row>
    <row r="114" spans="3:24">
      <c r="C114" s="15">
        <v>7</v>
      </c>
      <c r="D114" s="15" t="s">
        <v>23</v>
      </c>
      <c r="E114" s="15">
        <v>600</v>
      </c>
      <c r="F114" s="52" t="s">
        <v>604</v>
      </c>
      <c r="I114" s="14" t="s">
        <v>189</v>
      </c>
      <c r="J114" s="15">
        <f>R97</f>
        <v>40</v>
      </c>
    </row>
    <row r="115" spans="3:24">
      <c r="C115" s="15">
        <v>8</v>
      </c>
      <c r="D115" s="15" t="s">
        <v>117</v>
      </c>
      <c r="E115" s="15">
        <v>600</v>
      </c>
      <c r="F115" s="52" t="s">
        <v>604</v>
      </c>
      <c r="I115" s="14" t="s">
        <v>139</v>
      </c>
      <c r="J115" s="15">
        <f>R98</f>
        <v>42</v>
      </c>
    </row>
    <row r="116" spans="3:24">
      <c r="C116" s="15">
        <v>9</v>
      </c>
      <c r="D116" s="15" t="s">
        <v>23</v>
      </c>
      <c r="E116" s="15">
        <v>600</v>
      </c>
      <c r="F116" s="52" t="s">
        <v>604</v>
      </c>
      <c r="I116" s="14" t="s">
        <v>20</v>
      </c>
      <c r="J116" s="15">
        <f>R99-N101</f>
        <v>0</v>
      </c>
    </row>
    <row r="117" spans="3:24">
      <c r="C117" s="15">
        <v>10</v>
      </c>
      <c r="D117" s="15" t="s">
        <v>23</v>
      </c>
      <c r="E117" s="15">
        <v>600</v>
      </c>
      <c r="F117" s="52" t="s">
        <v>604</v>
      </c>
      <c r="I117" s="14" t="s">
        <v>80</v>
      </c>
      <c r="J117" s="15">
        <f>R100-O101</f>
        <v>0</v>
      </c>
    </row>
    <row r="118" spans="3:24">
      <c r="C118" s="15">
        <v>11</v>
      </c>
      <c r="D118" s="15" t="s">
        <v>23</v>
      </c>
      <c r="E118" s="15">
        <v>600</v>
      </c>
      <c r="F118" s="52" t="s">
        <v>604</v>
      </c>
      <c r="I118" s="14" t="s">
        <v>12</v>
      </c>
      <c r="J118" s="15">
        <f>R101</f>
        <v>48.5</v>
      </c>
    </row>
    <row r="119" spans="3:24">
      <c r="C119" s="15">
        <v>12</v>
      </c>
      <c r="D119" s="15" t="s">
        <v>23</v>
      </c>
      <c r="E119" s="15">
        <v>600</v>
      </c>
      <c r="F119" s="52" t="s">
        <v>604</v>
      </c>
    </row>
    <row r="120" spans="3:24">
      <c r="C120" s="15">
        <v>13</v>
      </c>
      <c r="D120" s="15" t="s">
        <v>23</v>
      </c>
      <c r="E120" s="15">
        <v>600</v>
      </c>
      <c r="F120" s="52" t="s">
        <v>613</v>
      </c>
      <c r="I120" s="73" t="s">
        <v>326</v>
      </c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</row>
    <row r="121" spans="3:24">
      <c r="C121" s="15">
        <v>14</v>
      </c>
      <c r="D121" s="15" t="s">
        <v>23</v>
      </c>
      <c r="E121" s="15">
        <v>600</v>
      </c>
      <c r="F121" s="52" t="s">
        <v>613</v>
      </c>
      <c r="I121" s="14" t="s">
        <v>59</v>
      </c>
      <c r="J121" s="16" t="s">
        <v>103</v>
      </c>
      <c r="K121" s="16" t="s">
        <v>145</v>
      </c>
      <c r="L121" s="16" t="s">
        <v>104</v>
      </c>
      <c r="M121" s="16" t="s">
        <v>147</v>
      </c>
      <c r="N121" s="16" t="s">
        <v>328</v>
      </c>
      <c r="O121" s="16" t="s">
        <v>329</v>
      </c>
      <c r="P121" s="16" t="s">
        <v>330</v>
      </c>
      <c r="Q121" s="16" t="s">
        <v>331</v>
      </c>
      <c r="R121" s="16" t="s">
        <v>106</v>
      </c>
      <c r="S121" s="16" t="s">
        <v>303</v>
      </c>
      <c r="T121" s="16" t="s">
        <v>304</v>
      </c>
      <c r="U121" s="31" t="s">
        <v>305</v>
      </c>
      <c r="V121" s="16" t="s">
        <v>332</v>
      </c>
      <c r="W121" s="31" t="s">
        <v>333</v>
      </c>
      <c r="X121" s="31" t="s">
        <v>302</v>
      </c>
    </row>
    <row r="122" spans="3:24">
      <c r="C122" s="15">
        <v>15</v>
      </c>
      <c r="D122" s="15" t="s">
        <v>23</v>
      </c>
      <c r="E122" s="15">
        <v>600</v>
      </c>
      <c r="F122" s="52" t="s">
        <v>613</v>
      </c>
      <c r="I122" s="15" t="s">
        <v>327</v>
      </c>
      <c r="J122" s="15">
        <v>7.5</v>
      </c>
      <c r="K122" s="15" t="s">
        <v>319</v>
      </c>
      <c r="L122" s="15">
        <v>9.375</v>
      </c>
      <c r="M122" s="15" t="s">
        <v>324</v>
      </c>
      <c r="N122" s="15">
        <v>20.625</v>
      </c>
      <c r="O122" s="15" t="s">
        <v>16</v>
      </c>
      <c r="P122" s="15">
        <v>33.75</v>
      </c>
      <c r="Q122" s="15" t="s">
        <v>72</v>
      </c>
      <c r="R122" s="15">
        <v>2.8125</v>
      </c>
      <c r="S122" s="15">
        <v>4</v>
      </c>
      <c r="T122" s="15">
        <f>SUM(J122*S122)</f>
        <v>30</v>
      </c>
      <c r="U122" s="15">
        <f>L122*S122</f>
        <v>37.5</v>
      </c>
      <c r="V122" s="15">
        <f>SUM(N122*S122)</f>
        <v>82.5</v>
      </c>
      <c r="W122" s="15">
        <f>P122*S122</f>
        <v>135</v>
      </c>
      <c r="X122" s="15">
        <f>R122*S122</f>
        <v>11.25</v>
      </c>
    </row>
    <row r="123" spans="3:24">
      <c r="C123" s="15">
        <v>16</v>
      </c>
      <c r="D123" s="15" t="s">
        <v>23</v>
      </c>
      <c r="E123" s="15">
        <v>600</v>
      </c>
      <c r="F123" s="52" t="s">
        <v>613</v>
      </c>
      <c r="I123" s="15" t="s">
        <v>76</v>
      </c>
      <c r="J123" s="15">
        <v>105</v>
      </c>
      <c r="K123" s="15" t="s">
        <v>121</v>
      </c>
      <c r="L123" s="15">
        <v>45</v>
      </c>
      <c r="M123" s="15" t="s">
        <v>14</v>
      </c>
      <c r="N123" s="15">
        <v>26.25</v>
      </c>
      <c r="O123" s="15" t="s">
        <v>138</v>
      </c>
      <c r="P123" s="15"/>
      <c r="Q123" s="15"/>
      <c r="R123" s="15">
        <v>3.75</v>
      </c>
      <c r="S123" s="15">
        <v>4</v>
      </c>
      <c r="T123" s="15">
        <f>SUM(J123*S123)</f>
        <v>420</v>
      </c>
      <c r="U123" s="15">
        <f>L123*S123</f>
        <v>180</v>
      </c>
      <c r="V123" s="15">
        <f>SUM(N123*S123)</f>
        <v>105</v>
      </c>
      <c r="W123" s="15"/>
      <c r="X123" s="15">
        <f>R123*S123</f>
        <v>15</v>
      </c>
    </row>
    <row r="124" spans="3:24">
      <c r="C124" s="15">
        <v>17</v>
      </c>
      <c r="D124" s="15" t="s">
        <v>23</v>
      </c>
      <c r="E124" s="15">
        <v>600</v>
      </c>
      <c r="F124" s="52" t="s">
        <v>613</v>
      </c>
      <c r="I124" s="15" t="s">
        <v>411</v>
      </c>
      <c r="J124" s="15">
        <v>90</v>
      </c>
      <c r="K124" s="15" t="s">
        <v>121</v>
      </c>
      <c r="L124" s="15">
        <v>37.5</v>
      </c>
      <c r="M124" s="15" t="s">
        <v>18</v>
      </c>
      <c r="N124" s="15">
        <v>3</v>
      </c>
      <c r="O124" s="15" t="s">
        <v>138</v>
      </c>
      <c r="P124" s="15"/>
      <c r="Q124" s="15"/>
      <c r="R124" s="15">
        <v>3</v>
      </c>
      <c r="S124" s="15">
        <v>9.33</v>
      </c>
      <c r="T124" s="15">
        <f>SUM(J124*S124)</f>
        <v>839.7</v>
      </c>
      <c r="U124" s="15">
        <f>L124*S124</f>
        <v>349.875</v>
      </c>
      <c r="V124" s="15">
        <f>SUM(N124*S124)</f>
        <v>27.990000000000002</v>
      </c>
      <c r="W124" s="15"/>
      <c r="X124" s="15">
        <f>R124*S124</f>
        <v>27.990000000000002</v>
      </c>
    </row>
    <row r="125" spans="3:24">
      <c r="C125" s="15">
        <v>18</v>
      </c>
      <c r="D125" s="15" t="s">
        <v>23</v>
      </c>
      <c r="E125" s="15">
        <v>600</v>
      </c>
      <c r="F125" s="52" t="s">
        <v>604</v>
      </c>
    </row>
    <row r="126" spans="3:24">
      <c r="C126" s="15">
        <v>19</v>
      </c>
      <c r="D126" s="15" t="s">
        <v>23</v>
      </c>
      <c r="E126" s="15">
        <v>600</v>
      </c>
      <c r="F126" s="52" t="s">
        <v>604</v>
      </c>
      <c r="I126" s="68" t="s">
        <v>412</v>
      </c>
      <c r="J126" s="69"/>
    </row>
    <row r="127" spans="3:24">
      <c r="C127" s="15">
        <v>20</v>
      </c>
      <c r="D127" s="15" t="s">
        <v>23</v>
      </c>
      <c r="E127" s="15">
        <v>600</v>
      </c>
      <c r="F127" s="52" t="s">
        <v>604</v>
      </c>
      <c r="I127" s="14" t="s">
        <v>72</v>
      </c>
      <c r="J127" s="51">
        <f>J105-W122</f>
        <v>0</v>
      </c>
    </row>
    <row r="128" spans="3:24">
      <c r="C128" s="15">
        <v>21</v>
      </c>
      <c r="D128" s="15" t="s">
        <v>24</v>
      </c>
      <c r="E128" s="15">
        <v>600</v>
      </c>
      <c r="F128" s="52" t="s">
        <v>604</v>
      </c>
      <c r="I128" s="14" t="s">
        <v>189</v>
      </c>
      <c r="J128" s="51">
        <f>J114-U122</f>
        <v>2.5</v>
      </c>
    </row>
    <row r="129" spans="3:11">
      <c r="C129" s="15">
        <v>22</v>
      </c>
      <c r="D129" s="15" t="s">
        <v>24</v>
      </c>
      <c r="E129" s="15">
        <v>600</v>
      </c>
      <c r="F129" s="52" t="s">
        <v>604</v>
      </c>
      <c r="I129" s="14" t="s">
        <v>121</v>
      </c>
      <c r="J129" s="51">
        <f>SUM(J108-(T123+T124))</f>
        <v>0.29999999999995453</v>
      </c>
    </row>
    <row r="130" spans="3:11">
      <c r="C130" s="15">
        <v>23</v>
      </c>
      <c r="D130" s="15" t="s">
        <v>24</v>
      </c>
      <c r="E130" s="15">
        <v>600</v>
      </c>
      <c r="F130" s="52" t="s">
        <v>604</v>
      </c>
      <c r="I130" s="14" t="s">
        <v>139</v>
      </c>
      <c r="J130" s="51">
        <f>J115-T122</f>
        <v>12</v>
      </c>
    </row>
    <row r="131" spans="3:11">
      <c r="C131" s="15">
        <v>24</v>
      </c>
      <c r="D131" s="15" t="s">
        <v>24</v>
      </c>
      <c r="E131" s="15">
        <v>600</v>
      </c>
      <c r="F131" s="52" t="s">
        <v>604</v>
      </c>
    </row>
    <row r="132" spans="3:11">
      <c r="C132" s="15">
        <v>25</v>
      </c>
      <c r="D132" s="15" t="s">
        <v>24</v>
      </c>
      <c r="E132" s="15">
        <v>600</v>
      </c>
      <c r="F132" s="52" t="s">
        <v>604</v>
      </c>
      <c r="I132" s="14" t="s">
        <v>408</v>
      </c>
      <c r="J132" s="52">
        <f>J104</f>
        <v>325.48124999999999</v>
      </c>
    </row>
    <row r="133" spans="3:11">
      <c r="C133" s="15">
        <v>26</v>
      </c>
      <c r="D133" s="15" t="s">
        <v>8</v>
      </c>
      <c r="E133" s="15">
        <v>600</v>
      </c>
      <c r="F133" s="52" t="s">
        <v>604</v>
      </c>
      <c r="I133" s="14" t="s">
        <v>3</v>
      </c>
      <c r="J133" s="52">
        <f>J106</f>
        <v>195</v>
      </c>
    </row>
    <row r="134" spans="3:11">
      <c r="C134" s="15">
        <v>27</v>
      </c>
      <c r="D134" s="15" t="s">
        <v>8</v>
      </c>
      <c r="E134" s="15">
        <v>600</v>
      </c>
      <c r="F134" s="52" t="s">
        <v>604</v>
      </c>
      <c r="I134" s="14" t="s">
        <v>120</v>
      </c>
      <c r="J134" s="52">
        <f>J107</f>
        <v>82</v>
      </c>
    </row>
    <row r="135" spans="3:11">
      <c r="C135" s="15">
        <v>28</v>
      </c>
      <c r="D135" s="15" t="s">
        <v>8</v>
      </c>
      <c r="E135" s="15">
        <v>780</v>
      </c>
      <c r="F135" s="52" t="s">
        <v>604</v>
      </c>
      <c r="I135" s="14" t="s">
        <v>12</v>
      </c>
      <c r="J135" s="52">
        <f>J118</f>
        <v>48.5</v>
      </c>
    </row>
    <row r="136" spans="3:11">
      <c r="C136" s="15">
        <v>29</v>
      </c>
      <c r="D136" s="15" t="s">
        <v>8</v>
      </c>
      <c r="E136" s="15">
        <v>600</v>
      </c>
      <c r="F136" s="52" t="s">
        <v>604</v>
      </c>
      <c r="I136" s="14" t="s">
        <v>138</v>
      </c>
      <c r="J136" s="52">
        <f>SUM(J113-(V123+V124))</f>
        <v>139.76</v>
      </c>
    </row>
    <row r="137" spans="3:11">
      <c r="C137" s="15">
        <v>30</v>
      </c>
      <c r="D137" s="15" t="s">
        <v>8</v>
      </c>
      <c r="E137" s="15">
        <v>600</v>
      </c>
      <c r="F137" s="52" t="s">
        <v>604</v>
      </c>
      <c r="I137" s="14" t="s">
        <v>143</v>
      </c>
      <c r="J137" s="52">
        <f>X122</f>
        <v>11.25</v>
      </c>
    </row>
    <row r="138" spans="3:11">
      <c r="C138" s="15">
        <v>31</v>
      </c>
      <c r="D138" s="15" t="s">
        <v>8</v>
      </c>
      <c r="E138" s="15">
        <v>600</v>
      </c>
      <c r="F138" s="52" t="s">
        <v>604</v>
      </c>
      <c r="I138" s="14" t="s">
        <v>76</v>
      </c>
      <c r="J138" s="52">
        <f>X123</f>
        <v>15</v>
      </c>
    </row>
    <row r="139" spans="3:11">
      <c r="C139" s="15">
        <v>32</v>
      </c>
      <c r="D139" s="15" t="s">
        <v>8</v>
      </c>
      <c r="E139" s="15">
        <v>600</v>
      </c>
      <c r="F139" s="52" t="s">
        <v>604</v>
      </c>
      <c r="I139" s="14" t="s">
        <v>411</v>
      </c>
      <c r="J139" s="52">
        <f>X124</f>
        <v>27.990000000000002</v>
      </c>
    </row>
    <row r="140" spans="3:11">
      <c r="C140" s="15">
        <v>33</v>
      </c>
      <c r="D140" s="15" t="s">
        <v>8</v>
      </c>
      <c r="E140" s="15">
        <v>600</v>
      </c>
      <c r="F140" s="52" t="s">
        <v>604</v>
      </c>
      <c r="I140" s="14" t="s">
        <v>65</v>
      </c>
      <c r="J140" s="52">
        <f>M78</f>
        <v>483</v>
      </c>
      <c r="K140" t="s">
        <v>420</v>
      </c>
    </row>
    <row r="141" spans="3:11">
      <c r="C141" s="15">
        <v>34</v>
      </c>
      <c r="D141" s="15" t="s">
        <v>8</v>
      </c>
      <c r="E141" s="15">
        <v>600</v>
      </c>
      <c r="F141" s="52" t="s">
        <v>604</v>
      </c>
      <c r="I141" s="14" t="s">
        <v>16</v>
      </c>
      <c r="J141" s="52">
        <f>J112-W122</f>
        <v>1919.5</v>
      </c>
    </row>
    <row r="142" spans="3:11">
      <c r="C142" s="15">
        <v>35</v>
      </c>
      <c r="D142" s="15" t="s">
        <v>8</v>
      </c>
      <c r="E142" s="15">
        <v>600</v>
      </c>
      <c r="F142" s="52" t="s">
        <v>604</v>
      </c>
      <c r="I142" s="14" t="s">
        <v>389</v>
      </c>
      <c r="J142" s="52">
        <f>J111</f>
        <v>180</v>
      </c>
    </row>
    <row r="143" spans="3:11">
      <c r="C143" s="15">
        <v>36</v>
      </c>
      <c r="D143" s="15" t="s">
        <v>8</v>
      </c>
      <c r="E143" s="15">
        <v>600</v>
      </c>
      <c r="F143" s="52" t="s">
        <v>604</v>
      </c>
      <c r="I143" s="14" t="s">
        <v>14</v>
      </c>
      <c r="J143" s="52">
        <f>-U123</f>
        <v>-180</v>
      </c>
    </row>
    <row r="144" spans="3:11">
      <c r="I144" s="14" t="s">
        <v>18</v>
      </c>
      <c r="J144" s="52">
        <f>J110-U124</f>
        <v>550.07500000000005</v>
      </c>
    </row>
    <row r="145" spans="9:11">
      <c r="I145" s="47" t="s">
        <v>148</v>
      </c>
      <c r="J145" s="52">
        <f>M80</f>
        <v>367.20000000000005</v>
      </c>
      <c r="K145" t="s">
        <v>420</v>
      </c>
    </row>
    <row r="146" spans="9:11">
      <c r="I146" s="47" t="s">
        <v>608</v>
      </c>
      <c r="J146" s="52">
        <f>Y25</f>
        <v>600</v>
      </c>
    </row>
  </sheetData>
  <mergeCells count="36">
    <mergeCell ref="I51:J51"/>
    <mergeCell ref="I47:S47"/>
    <mergeCell ref="I54:S54"/>
    <mergeCell ref="L23:M23"/>
    <mergeCell ref="I120:X120"/>
    <mergeCell ref="I126:J126"/>
    <mergeCell ref="C93:F93"/>
    <mergeCell ref="C94:F94"/>
    <mergeCell ref="I40:J40"/>
    <mergeCell ref="L40:M40"/>
    <mergeCell ref="I103:J103"/>
    <mergeCell ref="L103:M103"/>
    <mergeCell ref="C88:F88"/>
    <mergeCell ref="C83:F83"/>
    <mergeCell ref="C78:F78"/>
    <mergeCell ref="C73:F73"/>
    <mergeCell ref="I94:R94"/>
    <mergeCell ref="C106:E106"/>
    <mergeCell ref="I61:J61"/>
    <mergeCell ref="L51:M51"/>
    <mergeCell ref="L4:Q4"/>
    <mergeCell ref="C3:U3"/>
    <mergeCell ref="I32:P32"/>
    <mergeCell ref="I65:Q65"/>
    <mergeCell ref="I76:J76"/>
    <mergeCell ref="L76:M76"/>
    <mergeCell ref="C24:F24"/>
    <mergeCell ref="C25:F25"/>
    <mergeCell ref="O23:P23"/>
    <mergeCell ref="C4:J4"/>
    <mergeCell ref="C47:F47"/>
    <mergeCell ref="C56:F56"/>
    <mergeCell ref="C13:G13"/>
    <mergeCell ref="I13:V13"/>
    <mergeCell ref="I23:J23"/>
    <mergeCell ref="R23:Y23"/>
  </mergeCells>
  <phoneticPr fontId="12" type="noConversion"/>
  <hyperlinks>
    <hyperlink ref="E17" r:id="rId1" xr:uid="{185B9E80-AF4C-40F7-8663-3F514E7F841D}"/>
    <hyperlink ref="E16" r:id="rId2" xr:uid="{BCAA26CE-D6B5-4194-9ADA-905BDC2DE11F}"/>
    <hyperlink ref="E15" r:id="rId3" xr:uid="{3BA93377-CEBD-40C0-B62C-1D34448DA57D}"/>
    <hyperlink ref="E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sheetPr>
    <tabColor theme="9" tint="-0.249977111117893"/>
  </sheetPr>
  <dimension ref="C2:Z68"/>
  <sheetViews>
    <sheetView zoomScale="70" zoomScaleNormal="70" workbookViewId="0">
      <selection activeCell="C57" sqref="C57"/>
    </sheetView>
  </sheetViews>
  <sheetFormatPr defaultRowHeight="15"/>
  <cols>
    <col min="3" max="3" width="36.28515625" bestFit="1" customWidth="1"/>
    <col min="4" max="4" width="15.85546875" bestFit="1" customWidth="1"/>
    <col min="5" max="5" width="34.42578125" bestFit="1" customWidth="1"/>
    <col min="6" max="6" width="12.140625" bestFit="1" customWidth="1"/>
    <col min="8" max="8" width="20.28515625" bestFit="1" customWidth="1"/>
    <col min="11" max="11" width="35.85546875" bestFit="1" customWidth="1"/>
    <col min="12" max="12" width="8.28515625" bestFit="1" customWidth="1"/>
    <col min="13" max="13" width="42.85546875" bestFit="1" customWidth="1"/>
    <col min="14" max="14" width="28.140625" bestFit="1" customWidth="1"/>
    <col min="15" max="15" width="25.140625" bestFit="1" customWidth="1"/>
    <col min="16" max="16" width="33.85546875" bestFit="1" customWidth="1"/>
    <col min="17" max="17" width="37.85546875" bestFit="1" customWidth="1"/>
    <col min="18" max="18" width="42.85546875" bestFit="1" customWidth="1"/>
    <col min="19" max="20" width="29" bestFit="1" customWidth="1"/>
    <col min="21" max="21" width="16.28515625" bestFit="1" customWidth="1"/>
    <col min="22" max="22" width="30.5703125" bestFit="1" customWidth="1"/>
    <col min="23" max="23" width="27.7109375" bestFit="1" customWidth="1"/>
    <col min="24" max="25" width="13.85546875" bestFit="1" customWidth="1"/>
    <col min="26" max="26" width="7.42578125" bestFit="1" customWidth="1"/>
  </cols>
  <sheetData>
    <row r="2" spans="3:23">
      <c r="C2" s="75" t="s">
        <v>503</v>
      </c>
      <c r="D2" s="76"/>
      <c r="H2" s="68" t="s">
        <v>434</v>
      </c>
      <c r="I2" s="69"/>
      <c r="K2" s="73" t="s">
        <v>313</v>
      </c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3:23">
      <c r="C3" s="14" t="s">
        <v>59</v>
      </c>
      <c r="D3" s="14" t="s">
        <v>276</v>
      </c>
      <c r="H3" s="14" t="s">
        <v>59</v>
      </c>
      <c r="I3" s="14" t="s">
        <v>66</v>
      </c>
      <c r="K3" s="14" t="s">
        <v>59</v>
      </c>
      <c r="L3" s="16" t="s">
        <v>103</v>
      </c>
      <c r="M3" s="16" t="s">
        <v>145</v>
      </c>
      <c r="N3" s="16" t="s">
        <v>104</v>
      </c>
      <c r="O3" s="16" t="s">
        <v>147</v>
      </c>
      <c r="P3" s="16" t="s">
        <v>304</v>
      </c>
      <c r="Q3" s="31" t="s">
        <v>305</v>
      </c>
      <c r="R3" s="16" t="s">
        <v>303</v>
      </c>
      <c r="S3" s="16" t="s">
        <v>348</v>
      </c>
      <c r="T3" s="16" t="s">
        <v>345</v>
      </c>
      <c r="U3" s="31" t="s">
        <v>344</v>
      </c>
    </row>
    <row r="4" spans="3:23">
      <c r="C4" s="15" t="s">
        <v>55</v>
      </c>
      <c r="D4" s="15">
        <v>7</v>
      </c>
      <c r="H4" s="15" t="s">
        <v>374</v>
      </c>
      <c r="I4" s="15">
        <f>OverallResourcesGrassHub!G23</f>
        <v>324</v>
      </c>
      <c r="K4" s="15" t="s">
        <v>459</v>
      </c>
      <c r="L4" s="15">
        <v>240</v>
      </c>
      <c r="M4" s="15" t="s">
        <v>276</v>
      </c>
      <c r="N4" s="15">
        <v>60</v>
      </c>
      <c r="O4" s="15" t="s">
        <v>532</v>
      </c>
      <c r="P4" s="15">
        <f>R4*L4</f>
        <v>240</v>
      </c>
      <c r="Q4" s="15">
        <f>R4*N4</f>
        <v>60</v>
      </c>
      <c r="R4" s="15">
        <v>1</v>
      </c>
      <c r="S4" s="15" t="s">
        <v>459</v>
      </c>
      <c r="T4" s="15">
        <v>60</v>
      </c>
      <c r="U4" s="15">
        <f>T4*R4</f>
        <v>60</v>
      </c>
    </row>
    <row r="5" spans="3:23">
      <c r="C5" s="15" t="s">
        <v>502</v>
      </c>
      <c r="D5" s="15">
        <f>F16</f>
        <v>2100</v>
      </c>
      <c r="H5" s="15" t="s">
        <v>188</v>
      </c>
      <c r="I5" s="15">
        <f>OverallResourcesGrassHub!D13+OverallResourcesGrassHub!G18</f>
        <v>882.97500000000002</v>
      </c>
    </row>
    <row r="6" spans="3:23">
      <c r="H6" s="68" t="s">
        <v>550</v>
      </c>
      <c r="I6" s="69"/>
      <c r="K6" s="68" t="s">
        <v>466</v>
      </c>
      <c r="L6" s="69"/>
      <c r="N6" s="68" t="s">
        <v>312</v>
      </c>
      <c r="O6" s="69"/>
    </row>
    <row r="7" spans="3:23" ht="15.75">
      <c r="C7" s="70" t="s">
        <v>276</v>
      </c>
      <c r="D7" s="71"/>
      <c r="E7" s="71"/>
      <c r="F7" s="72"/>
      <c r="H7" s="15" t="s">
        <v>462</v>
      </c>
      <c r="I7" s="15">
        <f>OverallResourcesGrassHub!G24-3</f>
        <v>45</v>
      </c>
      <c r="K7" s="14" t="s">
        <v>276</v>
      </c>
      <c r="L7" s="15">
        <f>D5-P4</f>
        <v>1860</v>
      </c>
      <c r="N7" s="14" t="s">
        <v>532</v>
      </c>
      <c r="O7" s="37">
        <f>I11-Q4</f>
        <v>0</v>
      </c>
      <c r="P7" t="s">
        <v>558</v>
      </c>
    </row>
    <row r="8" spans="3:23">
      <c r="C8" s="15" t="s">
        <v>110</v>
      </c>
      <c r="D8" s="15" t="s">
        <v>111</v>
      </c>
      <c r="E8" s="15" t="s">
        <v>293</v>
      </c>
      <c r="F8" s="15" t="s">
        <v>112</v>
      </c>
      <c r="H8" s="15" t="s">
        <v>12</v>
      </c>
      <c r="I8" s="15">
        <v>40</v>
      </c>
      <c r="K8" s="14" t="s">
        <v>459</v>
      </c>
      <c r="L8" s="15">
        <f>U4</f>
        <v>60</v>
      </c>
    </row>
    <row r="9" spans="3:23">
      <c r="C9" s="15">
        <v>120</v>
      </c>
      <c r="D9" s="15">
        <v>2.5</v>
      </c>
      <c r="E9" s="15">
        <v>1</v>
      </c>
      <c r="F9" s="15">
        <f t="shared" ref="F9:F15" si="0">C9*D9*E9</f>
        <v>300</v>
      </c>
      <c r="H9" s="45" t="s">
        <v>191</v>
      </c>
      <c r="I9" s="15">
        <v>58.77</v>
      </c>
    </row>
    <row r="10" spans="3:23">
      <c r="C10" s="15">
        <v>120</v>
      </c>
      <c r="D10" s="15">
        <v>2.5</v>
      </c>
      <c r="E10" s="15">
        <v>1</v>
      </c>
      <c r="F10" s="15">
        <f t="shared" si="0"/>
        <v>300</v>
      </c>
      <c r="H10" s="15" t="s">
        <v>143</v>
      </c>
      <c r="I10" s="15">
        <f>OverallResourcesGrassHub!D8+OverallResourcesGrassHub!G6</f>
        <v>67.921875</v>
      </c>
      <c r="K10" s="30" t="s">
        <v>173</v>
      </c>
      <c r="L10" s="30" t="s">
        <v>172</v>
      </c>
      <c r="M10" s="30" t="s">
        <v>170</v>
      </c>
      <c r="N10" s="30" t="s">
        <v>174</v>
      </c>
      <c r="O10" s="30" t="s">
        <v>172</v>
      </c>
      <c r="P10" s="30" t="s">
        <v>177</v>
      </c>
      <c r="Q10" s="30" t="s">
        <v>535</v>
      </c>
      <c r="R10" s="30" t="s">
        <v>172</v>
      </c>
      <c r="S10" s="30" t="s">
        <v>543</v>
      </c>
      <c r="T10" s="30" t="s">
        <v>538</v>
      </c>
    </row>
    <row r="11" spans="3:23">
      <c r="C11" s="15">
        <v>120</v>
      </c>
      <c r="D11" s="15">
        <v>2.5</v>
      </c>
      <c r="E11" s="15">
        <v>1</v>
      </c>
      <c r="F11" s="15">
        <f t="shared" si="0"/>
        <v>300</v>
      </c>
      <c r="H11" s="15" t="s">
        <v>532</v>
      </c>
      <c r="I11" s="15">
        <f>OverallResourcesGrassHub!G25</f>
        <v>60</v>
      </c>
      <c r="K11" s="30" t="s">
        <v>536</v>
      </c>
      <c r="L11" s="30">
        <v>1</v>
      </c>
      <c r="M11" s="30">
        <f>SUM((I4*L11)/75)</f>
        <v>4.32</v>
      </c>
      <c r="N11" s="30" t="s">
        <v>537</v>
      </c>
      <c r="O11" s="30">
        <v>1</v>
      </c>
      <c r="P11" s="30">
        <f>SUM((I10*O11)/1.5)</f>
        <v>45.28125</v>
      </c>
      <c r="Q11" s="30" t="s">
        <v>541</v>
      </c>
      <c r="R11" s="30">
        <v>0.5</v>
      </c>
      <c r="S11" s="30">
        <f>SUM((L7*R11)/37.5)</f>
        <v>24.8</v>
      </c>
      <c r="T11" s="30">
        <f>MIN(S11,P11,M11)</f>
        <v>4.32</v>
      </c>
    </row>
    <row r="12" spans="3:23">
      <c r="C12" s="15">
        <v>120</v>
      </c>
      <c r="D12" s="15">
        <v>2.5</v>
      </c>
      <c r="E12" s="15">
        <v>1</v>
      </c>
      <c r="F12" s="15">
        <f t="shared" si="0"/>
        <v>300</v>
      </c>
      <c r="H12" s="15" t="s">
        <v>76</v>
      </c>
      <c r="I12" s="15">
        <v>51.412500000000001</v>
      </c>
      <c r="K12" s="30" t="s">
        <v>539</v>
      </c>
      <c r="L12" s="30">
        <v>0.4</v>
      </c>
      <c r="M12" s="30">
        <f>SUM((I7*L12)/9.375)</f>
        <v>1.92</v>
      </c>
      <c r="N12" s="30" t="s">
        <v>540</v>
      </c>
      <c r="O12" s="30">
        <v>1</v>
      </c>
      <c r="P12" s="30">
        <f>SUM((I8*O12)/1.875)</f>
        <v>21.333333333333332</v>
      </c>
      <c r="Q12" s="30" t="s">
        <v>542</v>
      </c>
      <c r="R12" s="30">
        <v>0.5</v>
      </c>
      <c r="S12" s="30">
        <f>SUM((L7*R12)/45)</f>
        <v>20.666666666666668</v>
      </c>
      <c r="T12" s="30">
        <f>MIN(S12,P12,M12)</f>
        <v>1.92</v>
      </c>
    </row>
    <row r="13" spans="3:23">
      <c r="C13" s="15">
        <v>120</v>
      </c>
      <c r="D13" s="15">
        <v>2.5</v>
      </c>
      <c r="E13" s="15">
        <v>1</v>
      </c>
      <c r="F13" s="15">
        <f t="shared" si="0"/>
        <v>300</v>
      </c>
      <c r="H13" s="15" t="s">
        <v>445</v>
      </c>
      <c r="I13" s="15">
        <v>70.239999999999995</v>
      </c>
      <c r="K13" s="30" t="s">
        <v>546</v>
      </c>
      <c r="L13" s="30">
        <v>1</v>
      </c>
      <c r="M13" s="30">
        <f>SUM((I5*L13)/45)</f>
        <v>19.621666666666666</v>
      </c>
      <c r="N13" s="30" t="s">
        <v>544</v>
      </c>
      <c r="O13" s="30">
        <v>1</v>
      </c>
      <c r="P13" s="30">
        <f>SUM((I9*O13)/7.5)</f>
        <v>7.8360000000000003</v>
      </c>
      <c r="Q13" s="30" t="s">
        <v>545</v>
      </c>
      <c r="R13" s="30">
        <v>0.6</v>
      </c>
      <c r="S13" s="30">
        <f>SUM((I7*R13)/15)</f>
        <v>1.8</v>
      </c>
      <c r="T13" s="30">
        <f>MIN(S13,P13,M13)</f>
        <v>1.8</v>
      </c>
    </row>
    <row r="14" spans="3:23">
      <c r="C14" s="15">
        <v>120</v>
      </c>
      <c r="D14" s="15">
        <v>2.5</v>
      </c>
      <c r="E14" s="15">
        <v>1</v>
      </c>
      <c r="F14" s="15">
        <f t="shared" si="0"/>
        <v>300</v>
      </c>
      <c r="H14" s="15" t="s">
        <v>20</v>
      </c>
      <c r="I14" s="15">
        <v>116.76</v>
      </c>
    </row>
    <row r="15" spans="3:23">
      <c r="C15" s="15">
        <v>120</v>
      </c>
      <c r="D15" s="15">
        <v>2.5</v>
      </c>
      <c r="E15" s="15">
        <v>1</v>
      </c>
      <c r="F15" s="15">
        <f t="shared" si="0"/>
        <v>300</v>
      </c>
      <c r="H15" s="15" t="s">
        <v>120</v>
      </c>
      <c r="I15" s="15">
        <v>780</v>
      </c>
      <c r="K15" s="73" t="s">
        <v>326</v>
      </c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</row>
    <row r="16" spans="3:23">
      <c r="C16" s="15" t="s">
        <v>105</v>
      </c>
      <c r="D16" s="15"/>
      <c r="E16" s="15"/>
      <c r="F16" s="15">
        <f>SUM(F9:F15)</f>
        <v>2100</v>
      </c>
      <c r="H16" s="15" t="s">
        <v>548</v>
      </c>
      <c r="I16" s="15">
        <v>400</v>
      </c>
      <c r="K16" s="14" t="s">
        <v>59</v>
      </c>
      <c r="L16" s="16" t="s">
        <v>103</v>
      </c>
      <c r="M16" s="16" t="s">
        <v>145</v>
      </c>
      <c r="N16" s="16" t="s">
        <v>104</v>
      </c>
      <c r="O16" s="16" t="s">
        <v>147</v>
      </c>
      <c r="P16" s="16" t="s">
        <v>328</v>
      </c>
      <c r="Q16" s="16" t="s">
        <v>329</v>
      </c>
      <c r="R16" s="16" t="s">
        <v>304</v>
      </c>
      <c r="S16" s="31" t="s">
        <v>305</v>
      </c>
      <c r="T16" s="16" t="s">
        <v>332</v>
      </c>
      <c r="U16" s="16" t="s">
        <v>303</v>
      </c>
      <c r="V16" s="16" t="s">
        <v>106</v>
      </c>
      <c r="W16" s="31" t="s">
        <v>302</v>
      </c>
    </row>
    <row r="17" spans="3:23">
      <c r="K17" s="15" t="s">
        <v>460</v>
      </c>
      <c r="L17" s="15">
        <v>45</v>
      </c>
      <c r="M17" s="15" t="s">
        <v>276</v>
      </c>
      <c r="N17" s="15">
        <v>9.375</v>
      </c>
      <c r="O17" s="15" t="s">
        <v>462</v>
      </c>
      <c r="P17" s="15">
        <v>1.875</v>
      </c>
      <c r="Q17" s="15" t="s">
        <v>516</v>
      </c>
      <c r="R17" s="15">
        <f>SUM(L17*U17)</f>
        <v>72</v>
      </c>
      <c r="S17" s="15">
        <f>N17*U17</f>
        <v>15</v>
      </c>
      <c r="T17" s="15">
        <f>SUM(P17*U17)</f>
        <v>3</v>
      </c>
      <c r="U17" s="15">
        <v>1.6</v>
      </c>
      <c r="V17" s="15">
        <v>3.75</v>
      </c>
      <c r="W17" s="15">
        <f>V17*U17</f>
        <v>6</v>
      </c>
    </row>
    <row r="18" spans="3:23">
      <c r="K18" s="15" t="s">
        <v>522</v>
      </c>
      <c r="L18" s="15">
        <v>37.5</v>
      </c>
      <c r="M18" s="15" t="s">
        <v>276</v>
      </c>
      <c r="N18" s="15">
        <v>1.5</v>
      </c>
      <c r="O18" s="15" t="s">
        <v>517</v>
      </c>
      <c r="P18" s="15">
        <v>75</v>
      </c>
      <c r="Q18" s="15" t="s">
        <v>43</v>
      </c>
      <c r="R18" s="15">
        <f>SUM(L18*U18)</f>
        <v>162</v>
      </c>
      <c r="S18" s="15">
        <f>N18*U18</f>
        <v>6.48</v>
      </c>
      <c r="T18" s="15">
        <f>SUM(P18*U18)</f>
        <v>324</v>
      </c>
      <c r="U18" s="15">
        <f>T11</f>
        <v>4.32</v>
      </c>
      <c r="V18" s="15">
        <v>1.5</v>
      </c>
      <c r="W18" s="15">
        <f>V18*U18</f>
        <v>6.48</v>
      </c>
    </row>
    <row r="19" spans="3:23" ht="28.5">
      <c r="C19" s="60" t="s">
        <v>553</v>
      </c>
      <c r="K19" s="15" t="s">
        <v>534</v>
      </c>
      <c r="L19" s="15">
        <v>45</v>
      </c>
      <c r="M19" s="15" t="s">
        <v>188</v>
      </c>
      <c r="N19" s="15">
        <v>15</v>
      </c>
      <c r="O19" s="15" t="s">
        <v>462</v>
      </c>
      <c r="P19" s="15">
        <v>7.5</v>
      </c>
      <c r="Q19" s="15" t="s">
        <v>549</v>
      </c>
      <c r="R19" s="15">
        <f>SUM(L19*U19)</f>
        <v>81</v>
      </c>
      <c r="S19" s="15">
        <f>N19*U19</f>
        <v>27</v>
      </c>
      <c r="T19" s="15">
        <f>SUM(P19*U19)</f>
        <v>13.5</v>
      </c>
      <c r="U19" s="15">
        <f>T13</f>
        <v>1.8</v>
      </c>
      <c r="V19" s="15">
        <v>3.75</v>
      </c>
      <c r="W19" s="15">
        <f>V19*U19</f>
        <v>6.75</v>
      </c>
    </row>
    <row r="20" spans="3:23" ht="21">
      <c r="C20" s="40" t="s">
        <v>554</v>
      </c>
    </row>
    <row r="21" spans="3:23" ht="18.75">
      <c r="C21" s="26" t="s">
        <v>211</v>
      </c>
      <c r="K21" s="68" t="s">
        <v>547</v>
      </c>
      <c r="L21" s="69"/>
      <c r="N21" s="68" t="s">
        <v>312</v>
      </c>
      <c r="O21" s="69"/>
    </row>
    <row r="22" spans="3:23" ht="15.75">
      <c r="K22" s="14" t="s">
        <v>459</v>
      </c>
      <c r="L22" s="15">
        <f>L8</f>
        <v>60</v>
      </c>
      <c r="N22" s="14" t="s">
        <v>276</v>
      </c>
      <c r="O22" s="37">
        <f>SUM(L7-(R17+R18))</f>
        <v>1626</v>
      </c>
    </row>
    <row r="23" spans="3:23" ht="28.5">
      <c r="C23" s="40" t="s">
        <v>557</v>
      </c>
      <c r="E23" s="62" t="s">
        <v>585</v>
      </c>
      <c r="K23" s="14" t="s">
        <v>228</v>
      </c>
      <c r="L23" s="15">
        <f>W17</f>
        <v>6</v>
      </c>
      <c r="N23" s="14" t="s">
        <v>12</v>
      </c>
      <c r="O23" s="37">
        <f>I8-T17</f>
        <v>37</v>
      </c>
    </row>
    <row r="24" spans="3:23" ht="18.75">
      <c r="C24" s="24" t="s">
        <v>532</v>
      </c>
      <c r="E24" s="25" t="s">
        <v>20</v>
      </c>
      <c r="K24" s="14" t="s">
        <v>229</v>
      </c>
      <c r="L24" s="15">
        <f>W18</f>
        <v>6.48</v>
      </c>
    </row>
    <row r="25" spans="3:23" ht="18.75">
      <c r="C25" s="25" t="s">
        <v>462</v>
      </c>
      <c r="E25" s="26" t="s">
        <v>445</v>
      </c>
      <c r="K25" s="29" t="s">
        <v>534</v>
      </c>
      <c r="L25" s="15">
        <f>W19</f>
        <v>6.75</v>
      </c>
    </row>
    <row r="26" spans="3:23" ht="18.75">
      <c r="C26" s="27" t="s">
        <v>12</v>
      </c>
      <c r="E26" s="26" t="s">
        <v>76</v>
      </c>
    </row>
    <row r="27" spans="3:23" ht="18.75">
      <c r="C27" s="26" t="s">
        <v>88</v>
      </c>
      <c r="E27" s="24" t="s">
        <v>120</v>
      </c>
      <c r="K27" s="73" t="s">
        <v>448</v>
      </c>
      <c r="L27" s="74"/>
      <c r="M27" s="74"/>
      <c r="N27" s="74"/>
      <c r="O27" s="74"/>
      <c r="P27" s="74"/>
      <c r="Q27" s="74"/>
      <c r="R27" s="74"/>
      <c r="S27" s="74"/>
      <c r="T27" s="74"/>
    </row>
    <row r="28" spans="3:23" ht="18.75">
      <c r="C28" s="26" t="s">
        <v>127</v>
      </c>
      <c r="K28" s="14" t="s">
        <v>59</v>
      </c>
      <c r="L28" s="16" t="s">
        <v>103</v>
      </c>
      <c r="M28" s="16" t="s">
        <v>145</v>
      </c>
      <c r="N28" s="16" t="s">
        <v>104</v>
      </c>
      <c r="O28" s="16" t="s">
        <v>147</v>
      </c>
      <c r="P28" s="16" t="s">
        <v>304</v>
      </c>
      <c r="Q28" s="31" t="s">
        <v>305</v>
      </c>
      <c r="R28" s="16" t="s">
        <v>303</v>
      </c>
      <c r="S28" s="16" t="s">
        <v>106</v>
      </c>
      <c r="T28" s="31" t="s">
        <v>302</v>
      </c>
    </row>
    <row r="29" spans="3:23">
      <c r="K29" s="15" t="s">
        <v>530</v>
      </c>
      <c r="L29" s="15">
        <v>1</v>
      </c>
      <c r="M29" s="15" t="s">
        <v>522</v>
      </c>
      <c r="N29" s="15">
        <v>2</v>
      </c>
      <c r="O29" s="15" t="s">
        <v>534</v>
      </c>
      <c r="P29" s="15">
        <f>SUM(L29*R29)</f>
        <v>3</v>
      </c>
      <c r="Q29" s="15">
        <f>N29*R29</f>
        <v>6</v>
      </c>
      <c r="R29" s="15">
        <v>3</v>
      </c>
      <c r="S29" s="15">
        <v>1</v>
      </c>
      <c r="T29" s="15">
        <f>S29*R29</f>
        <v>3</v>
      </c>
    </row>
    <row r="30" spans="3:23" ht="21">
      <c r="C30" s="40" t="s">
        <v>586</v>
      </c>
    </row>
    <row r="31" spans="3:23" ht="18.75">
      <c r="C31" s="26" t="s">
        <v>460</v>
      </c>
      <c r="K31" s="14" t="s">
        <v>530</v>
      </c>
      <c r="L31" s="15">
        <f>T29</f>
        <v>3</v>
      </c>
    </row>
    <row r="32" spans="3:23" ht="18.75">
      <c r="C32" s="54" t="s">
        <v>229</v>
      </c>
    </row>
    <row r="33" spans="3:26" ht="18.75">
      <c r="C33" s="54" t="s">
        <v>218</v>
      </c>
      <c r="K33" s="30" t="s">
        <v>173</v>
      </c>
      <c r="L33" s="30" t="s">
        <v>172</v>
      </c>
      <c r="M33" s="30" t="s">
        <v>170</v>
      </c>
      <c r="N33" s="30" t="s">
        <v>174</v>
      </c>
      <c r="O33" s="30" t="s">
        <v>172</v>
      </c>
      <c r="P33" s="30" t="s">
        <v>177</v>
      </c>
      <c r="Q33" s="30" t="s">
        <v>535</v>
      </c>
      <c r="R33" s="30" t="s">
        <v>172</v>
      </c>
      <c r="S33" s="30" t="s">
        <v>543</v>
      </c>
      <c r="T33" s="30" t="s">
        <v>572</v>
      </c>
      <c r="U33" s="30" t="s">
        <v>172</v>
      </c>
      <c r="V33" s="30" t="s">
        <v>573</v>
      </c>
      <c r="W33" s="30" t="s">
        <v>579</v>
      </c>
    </row>
    <row r="34" spans="3:26" ht="18.75">
      <c r="C34" s="54" t="s">
        <v>556</v>
      </c>
      <c r="K34" s="30" t="s">
        <v>574</v>
      </c>
      <c r="L34" s="30">
        <v>1</v>
      </c>
      <c r="M34" s="30">
        <f>SUM((L34*I12)/3.6)</f>
        <v>14.28125</v>
      </c>
      <c r="N34" s="30" t="s">
        <v>575</v>
      </c>
      <c r="O34" s="30">
        <v>1</v>
      </c>
      <c r="P34" s="30">
        <f>SUM((I16*O34)/24)</f>
        <v>16.666666666666668</v>
      </c>
      <c r="Q34" s="30" t="s">
        <v>577</v>
      </c>
      <c r="R34" s="30">
        <v>1</v>
      </c>
      <c r="S34" s="30">
        <f>SUM((I13*R34)/2.4)</f>
        <v>29.266666666666666</v>
      </c>
      <c r="T34" s="30" t="s">
        <v>578</v>
      </c>
      <c r="U34" s="30">
        <v>1</v>
      </c>
      <c r="V34" s="30">
        <f>SUM((I15*U34)/54)</f>
        <v>14.444444444444445</v>
      </c>
      <c r="W34" s="30">
        <f>MIN(M34,P34,S34,V34)</f>
        <v>14.28125</v>
      </c>
    </row>
    <row r="35" spans="3:26" ht="18.75">
      <c r="C35" s="54" t="s">
        <v>526</v>
      </c>
      <c r="K35" s="30" t="s">
        <v>581</v>
      </c>
      <c r="L35" s="30">
        <v>0.5</v>
      </c>
      <c r="M35" s="30">
        <f>SUM((I8*L35)/7.5)</f>
        <v>2.6666666666666665</v>
      </c>
      <c r="N35" s="30" t="s">
        <v>582</v>
      </c>
      <c r="O35" s="30">
        <v>1</v>
      </c>
      <c r="P35" s="30">
        <f>SUM((L31*O35)/1.875)</f>
        <v>1.6</v>
      </c>
      <c r="Q35" s="30" t="s">
        <v>583</v>
      </c>
      <c r="R35" s="30">
        <v>1</v>
      </c>
      <c r="S35" s="30">
        <f>SUM((L22*R35)/45)</f>
        <v>1.3333333333333333</v>
      </c>
      <c r="T35" s="30" t="s">
        <v>584</v>
      </c>
      <c r="U35" s="30">
        <v>0.25</v>
      </c>
      <c r="V35" s="30">
        <f>SUM((I14*U35)/15)</f>
        <v>1.9460000000000002</v>
      </c>
      <c r="W35" s="30">
        <f>MIN(M35,P35,S35,V35)</f>
        <v>1.3333333333333333</v>
      </c>
    </row>
    <row r="36" spans="3:26" ht="18.75">
      <c r="C36" s="54" t="s">
        <v>569</v>
      </c>
    </row>
    <row r="37" spans="3:26">
      <c r="K37" s="73" t="s">
        <v>571</v>
      </c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3:26">
      <c r="K38" s="14" t="s">
        <v>59</v>
      </c>
      <c r="L38" s="16" t="s">
        <v>103</v>
      </c>
      <c r="M38" s="16" t="s">
        <v>145</v>
      </c>
      <c r="N38" s="16" t="s">
        <v>104</v>
      </c>
      <c r="O38" s="16" t="s">
        <v>147</v>
      </c>
      <c r="P38" s="16" t="s">
        <v>328</v>
      </c>
      <c r="Q38" s="16" t="s">
        <v>329</v>
      </c>
      <c r="R38" s="16" t="s">
        <v>330</v>
      </c>
      <c r="S38" s="16" t="s">
        <v>331</v>
      </c>
      <c r="T38" s="16" t="s">
        <v>106</v>
      </c>
      <c r="U38" s="16" t="s">
        <v>303</v>
      </c>
      <c r="V38" s="16" t="s">
        <v>304</v>
      </c>
      <c r="W38" s="31" t="s">
        <v>305</v>
      </c>
      <c r="X38" s="16" t="s">
        <v>332</v>
      </c>
      <c r="Y38" s="31" t="s">
        <v>333</v>
      </c>
      <c r="Z38" s="31" t="s">
        <v>302</v>
      </c>
    </row>
    <row r="39" spans="3:26">
      <c r="K39" s="15" t="s">
        <v>569</v>
      </c>
      <c r="L39" s="15">
        <v>3.6</v>
      </c>
      <c r="M39" s="15" t="s">
        <v>76</v>
      </c>
      <c r="N39" s="15">
        <v>2.4</v>
      </c>
      <c r="O39" s="15" t="s">
        <v>445</v>
      </c>
      <c r="P39" s="15">
        <v>24</v>
      </c>
      <c r="Q39" s="15" t="s">
        <v>211</v>
      </c>
      <c r="R39" s="15">
        <v>54</v>
      </c>
      <c r="S39" s="15" t="s">
        <v>120</v>
      </c>
      <c r="T39" s="15">
        <v>2.4</v>
      </c>
      <c r="U39" s="15">
        <f>W34</f>
        <v>14.28125</v>
      </c>
      <c r="V39" s="15">
        <f>SUM(L39*U39)</f>
        <v>51.412500000000001</v>
      </c>
      <c r="W39" s="15">
        <f>N39*U39</f>
        <v>34.274999999999999</v>
      </c>
      <c r="X39" s="15">
        <f>SUM(P39*U39)</f>
        <v>342.75</v>
      </c>
      <c r="Y39" s="15">
        <f>R39*U39</f>
        <v>771.1875</v>
      </c>
      <c r="Z39" s="15">
        <f>T39*U39</f>
        <v>34.274999999999999</v>
      </c>
    </row>
    <row r="40" spans="3:26">
      <c r="K40" s="15" t="s">
        <v>526</v>
      </c>
      <c r="L40" s="15">
        <v>7.5</v>
      </c>
      <c r="M40" s="15" t="s">
        <v>12</v>
      </c>
      <c r="N40" s="15">
        <v>1.875</v>
      </c>
      <c r="O40" s="15" t="s">
        <v>530</v>
      </c>
      <c r="P40" s="15">
        <v>45</v>
      </c>
      <c r="Q40" s="15" t="s">
        <v>284</v>
      </c>
      <c r="R40" s="15">
        <v>15</v>
      </c>
      <c r="S40" s="15" t="s">
        <v>179</v>
      </c>
      <c r="T40" s="15">
        <v>3.75</v>
      </c>
      <c r="U40" s="15">
        <f>W35</f>
        <v>1.3333333333333333</v>
      </c>
      <c r="V40" s="15">
        <f>SUM(L40*U40)</f>
        <v>10</v>
      </c>
      <c r="W40" s="15">
        <f>N40*U40</f>
        <v>2.5</v>
      </c>
      <c r="X40" s="15">
        <f>SUM(P40*U40)</f>
        <v>60</v>
      </c>
      <c r="Y40" s="15">
        <f>R40*U40</f>
        <v>20</v>
      </c>
      <c r="Z40" s="15">
        <f>T40*U40</f>
        <v>5</v>
      </c>
    </row>
    <row r="42" spans="3:26">
      <c r="K42" s="68" t="s">
        <v>439</v>
      </c>
      <c r="L42" s="69"/>
    </row>
    <row r="43" spans="3:26" ht="21">
      <c r="K43" s="14" t="s">
        <v>459</v>
      </c>
      <c r="L43" s="15">
        <f>L22-X40</f>
        <v>0</v>
      </c>
      <c r="M43" s="40" t="s">
        <v>570</v>
      </c>
    </row>
    <row r="44" spans="3:26">
      <c r="K44" s="14" t="s">
        <v>228</v>
      </c>
      <c r="L44" s="15">
        <f>L23</f>
        <v>6</v>
      </c>
    </row>
    <row r="45" spans="3:26">
      <c r="K45" s="14" t="s">
        <v>229</v>
      </c>
      <c r="L45" s="15">
        <f>L24-P29</f>
        <v>3.4800000000000004</v>
      </c>
    </row>
    <row r="46" spans="3:26">
      <c r="K46" s="14" t="s">
        <v>534</v>
      </c>
      <c r="L46" s="15">
        <f>L25-Q29</f>
        <v>0.75</v>
      </c>
    </row>
    <row r="47" spans="3:26" ht="21">
      <c r="K47" s="14" t="s">
        <v>530</v>
      </c>
      <c r="L47" s="15">
        <f>L31-W40</f>
        <v>0.5</v>
      </c>
      <c r="M47" s="40" t="s">
        <v>570</v>
      </c>
    </row>
    <row r="48" spans="3:26">
      <c r="K48" s="14" t="s">
        <v>462</v>
      </c>
      <c r="L48" s="15">
        <f>I7-S17-S19</f>
        <v>3</v>
      </c>
    </row>
    <row r="49" spans="11:12">
      <c r="K49" s="14" t="s">
        <v>374</v>
      </c>
      <c r="L49" s="15">
        <f>I4-T18</f>
        <v>0</v>
      </c>
    </row>
    <row r="50" spans="11:12">
      <c r="K50" s="14" t="s">
        <v>143</v>
      </c>
      <c r="L50" s="15">
        <f>I10-S18</f>
        <v>61.441874999999996</v>
      </c>
    </row>
    <row r="51" spans="11:12">
      <c r="K51" s="14" t="s">
        <v>188</v>
      </c>
      <c r="L51" s="15">
        <f>I5-R19</f>
        <v>801.97500000000002</v>
      </c>
    </row>
    <row r="52" spans="11:12">
      <c r="K52" s="14" t="s">
        <v>12</v>
      </c>
      <c r="L52" s="15">
        <f>I8-T17-V40</f>
        <v>27</v>
      </c>
    </row>
    <row r="53" spans="11:12">
      <c r="K53" s="14" t="s">
        <v>191</v>
      </c>
      <c r="L53" s="15">
        <f>I9-T19</f>
        <v>45.27</v>
      </c>
    </row>
    <row r="54" spans="11:12">
      <c r="K54" s="14" t="s">
        <v>580</v>
      </c>
      <c r="L54" s="15">
        <f>I13-W39</f>
        <v>35.964999999999996</v>
      </c>
    </row>
    <row r="55" spans="11:12">
      <c r="K55" s="14" t="s">
        <v>211</v>
      </c>
      <c r="L55" s="15">
        <f>I16-X39</f>
        <v>57.25</v>
      </c>
    </row>
    <row r="56" spans="11:12">
      <c r="K56" s="14" t="s">
        <v>120</v>
      </c>
      <c r="L56" s="15">
        <f>I15-Y39</f>
        <v>8.8125</v>
      </c>
    </row>
    <row r="57" spans="11:12">
      <c r="K57" s="14" t="s">
        <v>76</v>
      </c>
      <c r="L57" s="15">
        <f>I12-V39</f>
        <v>0</v>
      </c>
    </row>
    <row r="58" spans="11:12">
      <c r="K58" s="14" t="s">
        <v>20</v>
      </c>
      <c r="L58" s="15">
        <f>I14-Y40</f>
        <v>96.76</v>
      </c>
    </row>
    <row r="59" spans="11:12">
      <c r="K59" s="14" t="s">
        <v>526</v>
      </c>
      <c r="L59" s="15">
        <f>Z40</f>
        <v>5</v>
      </c>
    </row>
    <row r="60" spans="11:12">
      <c r="K60" s="14" t="s">
        <v>569</v>
      </c>
      <c r="L60" s="15">
        <f>Z39</f>
        <v>34.274999999999999</v>
      </c>
    </row>
    <row r="68" spans="10:10">
      <c r="J68" t="s">
        <v>587</v>
      </c>
    </row>
  </sheetData>
  <mergeCells count="13">
    <mergeCell ref="C2:D2"/>
    <mergeCell ref="H2:I2"/>
    <mergeCell ref="K2:U2"/>
    <mergeCell ref="K15:W15"/>
    <mergeCell ref="K6:L6"/>
    <mergeCell ref="N6:O6"/>
    <mergeCell ref="H6:I6"/>
    <mergeCell ref="K42:L42"/>
    <mergeCell ref="K27:T27"/>
    <mergeCell ref="K21:L21"/>
    <mergeCell ref="N21:O21"/>
    <mergeCell ref="C7:F7"/>
    <mergeCell ref="K37:Z37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sheetPr>
    <tabColor theme="9" tint="-0.249977111117893"/>
  </sheetPr>
  <dimension ref="C3:S33"/>
  <sheetViews>
    <sheetView topLeftCell="A16" workbookViewId="0">
      <selection activeCell="L35" sqref="L35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68" t="s">
        <v>159</v>
      </c>
      <c r="D3" s="69"/>
      <c r="E3" s="69"/>
      <c r="F3" s="69"/>
      <c r="G3" s="69"/>
      <c r="I3" s="73" t="s">
        <v>294</v>
      </c>
      <c r="J3" s="74"/>
      <c r="K3" s="74"/>
      <c r="L3" s="74"/>
      <c r="M3" s="74"/>
      <c r="N3" s="74"/>
      <c r="O3" s="74"/>
      <c r="P3" s="74"/>
      <c r="Q3" s="74"/>
      <c r="R3" s="74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145</v>
      </c>
      <c r="L4" s="16" t="s">
        <v>104</v>
      </c>
      <c r="M4" s="16" t="s">
        <v>147</v>
      </c>
      <c r="N4" s="16" t="s">
        <v>106</v>
      </c>
      <c r="O4" s="16" t="s">
        <v>303</v>
      </c>
      <c r="P4" s="16" t="s">
        <v>304</v>
      </c>
      <c r="Q4" s="31" t="s">
        <v>305</v>
      </c>
      <c r="R4" s="31" t="s">
        <v>302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59" t="s">
        <v>421</v>
      </c>
      <c r="J5" s="59">
        <v>24</v>
      </c>
      <c r="K5" s="59" t="s">
        <v>15</v>
      </c>
      <c r="L5" s="59">
        <v>24</v>
      </c>
      <c r="M5" s="59" t="s">
        <v>10</v>
      </c>
      <c r="N5" s="59">
        <v>12</v>
      </c>
      <c r="O5" s="59">
        <v>32.5</v>
      </c>
      <c r="P5" s="59">
        <f>SUM(J5*O5)</f>
        <v>780</v>
      </c>
      <c r="Q5" s="59">
        <f>L5*O5</f>
        <v>780</v>
      </c>
      <c r="R5" s="59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342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2</v>
      </c>
      <c r="G7" s="15">
        <v>1</v>
      </c>
      <c r="I7" s="15" t="s">
        <v>390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424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298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68" t="s">
        <v>109</v>
      </c>
      <c r="D10" s="69"/>
      <c r="E10" s="69"/>
      <c r="F10" s="69"/>
    </row>
    <row r="11" spans="3:18">
      <c r="C11" s="70" t="s">
        <v>23</v>
      </c>
      <c r="D11" s="71"/>
      <c r="E11" s="71"/>
      <c r="F11" s="72"/>
      <c r="I11" s="68" t="s">
        <v>307</v>
      </c>
      <c r="J11" s="69"/>
      <c r="L11" s="68" t="s">
        <v>312</v>
      </c>
      <c r="M11" s="69"/>
    </row>
    <row r="12" spans="3:18">
      <c r="C12" s="15" t="s">
        <v>110</v>
      </c>
      <c r="D12" s="15" t="s">
        <v>111</v>
      </c>
      <c r="E12" s="15" t="s">
        <v>293</v>
      </c>
      <c r="F12" s="15" t="s">
        <v>112</v>
      </c>
      <c r="I12" s="14" t="s">
        <v>422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309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423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70" t="s">
        <v>24</v>
      </c>
      <c r="D17" s="71"/>
      <c r="E17" s="71"/>
      <c r="F17" s="72"/>
      <c r="I17" s="73" t="s">
        <v>313</v>
      </c>
      <c r="J17" s="74"/>
      <c r="K17" s="74"/>
      <c r="L17" s="74"/>
      <c r="M17" s="74"/>
      <c r="N17" s="74"/>
      <c r="O17" s="74"/>
      <c r="P17" s="74"/>
      <c r="Q17" s="74"/>
      <c r="R17" s="74"/>
      <c r="S17" s="74"/>
    </row>
    <row r="18" spans="3:19">
      <c r="C18" s="15" t="s">
        <v>110</v>
      </c>
      <c r="D18" s="15" t="s">
        <v>111</v>
      </c>
      <c r="E18" s="15" t="s">
        <v>293</v>
      </c>
      <c r="F18" s="15" t="s">
        <v>112</v>
      </c>
      <c r="I18" s="14" t="s">
        <v>59</v>
      </c>
      <c r="J18" s="16" t="s">
        <v>103</v>
      </c>
      <c r="K18" s="16" t="s">
        <v>145</v>
      </c>
      <c r="L18" s="16" t="s">
        <v>104</v>
      </c>
      <c r="M18" s="16" t="s">
        <v>147</v>
      </c>
      <c r="N18" s="16" t="s">
        <v>304</v>
      </c>
      <c r="O18" s="31" t="s">
        <v>305</v>
      </c>
      <c r="P18" s="16" t="s">
        <v>303</v>
      </c>
      <c r="Q18" s="16" t="s">
        <v>348</v>
      </c>
      <c r="R18" s="16" t="s">
        <v>345</v>
      </c>
      <c r="S18" s="31" t="s">
        <v>344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315</v>
      </c>
      <c r="J19" s="15">
        <v>12.5</v>
      </c>
      <c r="K19" s="15" t="s">
        <v>146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120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121</v>
      </c>
      <c r="J20" s="15">
        <v>12</v>
      </c>
      <c r="K20" s="15" t="s">
        <v>148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121</v>
      </c>
      <c r="R20" s="15">
        <v>60</v>
      </c>
      <c r="S20" s="15">
        <f>R20*P20</f>
        <v>1483.8</v>
      </c>
    </row>
    <row r="21" spans="3:19">
      <c r="C21" s="70" t="s">
        <v>8</v>
      </c>
      <c r="D21" s="71"/>
      <c r="E21" s="71"/>
      <c r="F21" s="72"/>
      <c r="I21" s="15" t="s">
        <v>70</v>
      </c>
      <c r="J21" s="15">
        <v>7.5</v>
      </c>
      <c r="K21" s="15" t="s">
        <v>148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121</v>
      </c>
      <c r="R21" s="15">
        <v>90</v>
      </c>
      <c r="S21" s="15">
        <f>R21*P21</f>
        <v>5515.2</v>
      </c>
    </row>
    <row r="22" spans="3:19">
      <c r="C22" s="15" t="s">
        <v>110</v>
      </c>
      <c r="D22" s="15" t="s">
        <v>111</v>
      </c>
      <c r="E22" s="15" t="s">
        <v>293</v>
      </c>
      <c r="F22" s="15" t="s">
        <v>112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68" t="s">
        <v>316</v>
      </c>
      <c r="J23" s="69"/>
      <c r="L23" s="68" t="s">
        <v>312</v>
      </c>
      <c r="M23" s="69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120</v>
      </c>
      <c r="J24" s="15">
        <f>S19</f>
        <v>7384.9500000000007</v>
      </c>
      <c r="L24" s="14" t="s">
        <v>148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121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70" t="s">
        <v>91</v>
      </c>
      <c r="D26" s="71"/>
      <c r="E26" s="71"/>
      <c r="F26" s="72"/>
      <c r="L26" s="14" t="s">
        <v>146</v>
      </c>
      <c r="M26" s="15">
        <f>J14-N19</f>
        <v>5.0000000000181899E-2</v>
      </c>
    </row>
    <row r="27" spans="3:19">
      <c r="C27" s="15" t="s">
        <v>110</v>
      </c>
      <c r="D27" s="15" t="s">
        <v>111</v>
      </c>
      <c r="E27" s="15" t="s">
        <v>293</v>
      </c>
      <c r="F27" s="15" t="s">
        <v>112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68" t="s">
        <v>316</v>
      </c>
      <c r="J29" s="69"/>
    </row>
    <row r="30" spans="3:19">
      <c r="C30" s="70" t="s">
        <v>417</v>
      </c>
      <c r="D30" s="71"/>
      <c r="I30" s="14" t="s">
        <v>120</v>
      </c>
      <c r="J30" s="15">
        <f>J24</f>
        <v>7384.9500000000007</v>
      </c>
    </row>
    <row r="31" spans="3:19">
      <c r="C31" s="68" t="s">
        <v>418</v>
      </c>
      <c r="D31" s="69" t="s">
        <v>419</v>
      </c>
      <c r="I31" s="14" t="s">
        <v>121</v>
      </c>
      <c r="J31" s="15">
        <f>J25</f>
        <v>6999</v>
      </c>
    </row>
    <row r="32" spans="3:19">
      <c r="C32" s="15" t="s">
        <v>148</v>
      </c>
      <c r="D32" s="15">
        <f>OverallResourcesGrassHub!D28</f>
        <v>367.20000000000005</v>
      </c>
      <c r="I32" s="14" t="s">
        <v>16</v>
      </c>
      <c r="J32" s="15">
        <f>M27</f>
        <v>1042.3999999999999</v>
      </c>
    </row>
    <row r="33" spans="3:4">
      <c r="C33" s="15" t="s">
        <v>65</v>
      </c>
      <c r="D33" s="15">
        <f>OverallResourcesGrassHub!D27</f>
        <v>483</v>
      </c>
    </row>
  </sheetData>
  <mergeCells count="15">
    <mergeCell ref="I29:J29"/>
    <mergeCell ref="I3:R3"/>
    <mergeCell ref="I11:J11"/>
    <mergeCell ref="L11:M11"/>
    <mergeCell ref="I17:S17"/>
    <mergeCell ref="I23:J23"/>
    <mergeCell ref="L23:M23"/>
    <mergeCell ref="C31:D31"/>
    <mergeCell ref="C30:D30"/>
    <mergeCell ref="C3:G3"/>
    <mergeCell ref="C10:F10"/>
    <mergeCell ref="C11:F11"/>
    <mergeCell ref="C17:F17"/>
    <mergeCell ref="C21:F21"/>
    <mergeCell ref="C26:F26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C812-70D1-44C2-9C75-A5FC1C005504}">
  <sheetPr>
    <tabColor theme="9" tint="-0.249977111117893"/>
  </sheetPr>
  <dimension ref="C3:U68"/>
  <sheetViews>
    <sheetView topLeftCell="F1" workbookViewId="0">
      <selection activeCell="N32" sqref="N32"/>
    </sheetView>
  </sheetViews>
  <sheetFormatPr defaultRowHeight="15"/>
  <cols>
    <col min="5" max="5" width="15.7109375" bestFit="1" customWidth="1"/>
    <col min="6" max="6" width="12.140625" bestFit="1" customWidth="1"/>
    <col min="8" max="8" width="10.85546875" bestFit="1" customWidth="1"/>
    <col min="11" max="11" width="22.5703125" bestFit="1" customWidth="1"/>
    <col min="12" max="12" width="29.140625" bestFit="1" customWidth="1"/>
    <col min="13" max="13" width="28.140625" bestFit="1" customWidth="1"/>
    <col min="14" max="14" width="29" bestFit="1" customWidth="1"/>
    <col min="15" max="15" width="31.85546875" bestFit="1" customWidth="1"/>
    <col min="16" max="16" width="29" bestFit="1" customWidth="1"/>
    <col min="17" max="17" width="31.85546875" bestFit="1" customWidth="1"/>
    <col min="18" max="19" width="15.5703125" bestFit="1" customWidth="1"/>
    <col min="20" max="20" width="11.7109375" bestFit="1" customWidth="1"/>
    <col min="21" max="21" width="8.7109375" bestFit="1" customWidth="1"/>
  </cols>
  <sheetData>
    <row r="3" spans="3:21">
      <c r="C3" s="68" t="s">
        <v>159</v>
      </c>
      <c r="D3" s="69"/>
      <c r="E3" s="69"/>
      <c r="F3" s="69"/>
      <c r="H3" s="68" t="s">
        <v>434</v>
      </c>
      <c r="I3" s="69"/>
      <c r="K3" s="73" t="s">
        <v>294</v>
      </c>
      <c r="L3" s="74"/>
      <c r="M3" s="74"/>
      <c r="N3" s="74"/>
      <c r="O3" s="74"/>
      <c r="P3" s="74"/>
      <c r="Q3" s="74"/>
      <c r="R3" s="74"/>
      <c r="S3" s="74"/>
      <c r="T3" s="74"/>
    </row>
    <row r="4" spans="3:21">
      <c r="C4" s="14" t="s">
        <v>59</v>
      </c>
      <c r="D4" s="14" t="s">
        <v>24</v>
      </c>
      <c r="E4" s="14" t="s">
        <v>8</v>
      </c>
      <c r="F4" s="14" t="s">
        <v>10</v>
      </c>
      <c r="H4" s="14" t="s">
        <v>59</v>
      </c>
      <c r="I4" s="14" t="s">
        <v>66</v>
      </c>
      <c r="K4" s="14" t="s">
        <v>59</v>
      </c>
      <c r="L4" s="16" t="s">
        <v>103</v>
      </c>
      <c r="M4" s="16" t="s">
        <v>145</v>
      </c>
      <c r="N4" s="16" t="s">
        <v>104</v>
      </c>
      <c r="O4" s="16" t="s">
        <v>147</v>
      </c>
      <c r="P4" s="16" t="s">
        <v>106</v>
      </c>
      <c r="Q4" s="16" t="s">
        <v>303</v>
      </c>
      <c r="R4" s="16" t="s">
        <v>304</v>
      </c>
      <c r="S4" s="31" t="s">
        <v>305</v>
      </c>
      <c r="T4" s="31" t="s">
        <v>302</v>
      </c>
    </row>
    <row r="5" spans="3:21">
      <c r="C5" s="15" t="s">
        <v>57</v>
      </c>
      <c r="D5" s="15">
        <v>0</v>
      </c>
      <c r="E5" s="15">
        <v>0</v>
      </c>
      <c r="F5" s="15">
        <v>2</v>
      </c>
      <c r="H5" s="15" t="s">
        <v>18</v>
      </c>
      <c r="I5" s="15">
        <v>970</v>
      </c>
      <c r="K5" s="15" t="s">
        <v>435</v>
      </c>
      <c r="L5" s="15">
        <v>15</v>
      </c>
      <c r="M5" s="15" t="s">
        <v>4</v>
      </c>
      <c r="N5" s="15">
        <v>10</v>
      </c>
      <c r="O5" s="15" t="s">
        <v>10</v>
      </c>
      <c r="P5" s="15">
        <v>37.5</v>
      </c>
      <c r="Q5" s="15">
        <v>120</v>
      </c>
      <c r="R5" s="15">
        <f>SUM(L5*Q5)</f>
        <v>1800</v>
      </c>
      <c r="S5" s="15">
        <f>N5*Q5</f>
        <v>1200</v>
      </c>
      <c r="T5" s="15">
        <f>P5*Q5</f>
        <v>4500</v>
      </c>
    </row>
    <row r="6" spans="3:21">
      <c r="C6" s="15" t="s">
        <v>56</v>
      </c>
      <c r="D6" s="15">
        <v>3</v>
      </c>
      <c r="E6" s="15">
        <v>1</v>
      </c>
      <c r="F6" s="15">
        <v>1</v>
      </c>
      <c r="H6" s="15" t="s">
        <v>120</v>
      </c>
      <c r="I6" s="15">
        <v>1560</v>
      </c>
      <c r="K6" s="15" t="s">
        <v>16</v>
      </c>
      <c r="L6" s="15">
        <v>45</v>
      </c>
      <c r="M6" s="15" t="s">
        <v>8</v>
      </c>
      <c r="N6" s="15"/>
      <c r="O6" s="15"/>
      <c r="P6" s="15">
        <v>15</v>
      </c>
      <c r="Q6" s="15">
        <v>13.33</v>
      </c>
      <c r="R6" s="15">
        <f>SUM(L6*Q6)</f>
        <v>599.85</v>
      </c>
      <c r="S6" s="15"/>
      <c r="T6" s="15">
        <f>P6*Q6</f>
        <v>199.95</v>
      </c>
    </row>
    <row r="7" spans="3:21">
      <c r="C7" s="15" t="s">
        <v>55</v>
      </c>
      <c r="D7" s="15">
        <v>0</v>
      </c>
      <c r="E7" s="15">
        <v>0</v>
      </c>
      <c r="F7" s="15">
        <v>11</v>
      </c>
      <c r="H7" s="15" t="s">
        <v>72</v>
      </c>
      <c r="I7" s="15">
        <v>585</v>
      </c>
    </row>
    <row r="8" spans="3:21">
      <c r="C8" s="15" t="s">
        <v>67</v>
      </c>
      <c r="D8" s="15">
        <f>F15</f>
        <v>1800</v>
      </c>
      <c r="E8" s="15">
        <f>F19</f>
        <v>600</v>
      </c>
      <c r="F8" s="15">
        <f>F36</f>
        <v>3600</v>
      </c>
      <c r="K8" s="68" t="s">
        <v>307</v>
      </c>
      <c r="L8" s="69"/>
      <c r="N8" s="68" t="s">
        <v>312</v>
      </c>
      <c r="O8" s="69"/>
    </row>
    <row r="9" spans="3:21">
      <c r="K9" s="14" t="s">
        <v>309</v>
      </c>
      <c r="L9" s="15">
        <f>T5</f>
        <v>4500</v>
      </c>
      <c r="N9" s="14" t="s">
        <v>4</v>
      </c>
      <c r="O9" s="15">
        <f>D8-R5</f>
        <v>0</v>
      </c>
    </row>
    <row r="10" spans="3:21">
      <c r="C10" s="70" t="s">
        <v>24</v>
      </c>
      <c r="D10" s="71"/>
      <c r="E10" s="71"/>
      <c r="F10" s="72"/>
      <c r="K10" s="14" t="s">
        <v>18</v>
      </c>
      <c r="L10" s="15">
        <f>I5</f>
        <v>970</v>
      </c>
      <c r="N10" s="14" t="s">
        <v>10</v>
      </c>
      <c r="O10" s="15">
        <f>F8-S5</f>
        <v>2400</v>
      </c>
    </row>
    <row r="11" spans="3:21">
      <c r="C11" s="15" t="s">
        <v>110</v>
      </c>
      <c r="D11" s="15" t="s">
        <v>111</v>
      </c>
      <c r="E11" s="15" t="s">
        <v>293</v>
      </c>
      <c r="F11" s="15" t="s">
        <v>112</v>
      </c>
      <c r="K11" s="14" t="s">
        <v>16</v>
      </c>
      <c r="L11" s="15">
        <f>T6</f>
        <v>199.95</v>
      </c>
      <c r="N11" s="14" t="s">
        <v>8</v>
      </c>
      <c r="O11" s="15">
        <f>E8-R6</f>
        <v>0.14999999999997726</v>
      </c>
    </row>
    <row r="12" spans="3:21">
      <c r="C12" s="15">
        <v>60</v>
      </c>
      <c r="D12" s="15">
        <v>2.5</v>
      </c>
      <c r="E12" s="15">
        <v>4</v>
      </c>
      <c r="F12" s="15">
        <f t="shared" ref="F12:F13" si="0">C12*D12*E12</f>
        <v>600</v>
      </c>
    </row>
    <row r="13" spans="3:21">
      <c r="C13" s="15">
        <v>60</v>
      </c>
      <c r="D13" s="15">
        <v>2.5</v>
      </c>
      <c r="E13" s="15">
        <v>4</v>
      </c>
      <c r="F13" s="15">
        <f t="shared" si="0"/>
        <v>600</v>
      </c>
      <c r="K13" s="73" t="s">
        <v>313</v>
      </c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3:21">
      <c r="C14" s="15">
        <v>60</v>
      </c>
      <c r="D14" s="15">
        <v>2.5</v>
      </c>
      <c r="E14" s="15">
        <v>4</v>
      </c>
      <c r="F14" s="15">
        <f>C14*D14*E14</f>
        <v>600</v>
      </c>
      <c r="K14" s="14" t="s">
        <v>59</v>
      </c>
      <c r="L14" s="16" t="s">
        <v>103</v>
      </c>
      <c r="M14" s="16" t="s">
        <v>145</v>
      </c>
      <c r="N14" s="16" t="s">
        <v>104</v>
      </c>
      <c r="O14" s="16" t="s">
        <v>147</v>
      </c>
      <c r="P14" s="16" t="s">
        <v>304</v>
      </c>
      <c r="Q14" s="31" t="s">
        <v>305</v>
      </c>
      <c r="R14" s="16" t="s">
        <v>303</v>
      </c>
      <c r="S14" s="16" t="s">
        <v>348</v>
      </c>
      <c r="T14" s="16" t="s">
        <v>345</v>
      </c>
      <c r="U14" s="31" t="s">
        <v>344</v>
      </c>
    </row>
    <row r="15" spans="3:21">
      <c r="C15" s="15" t="s">
        <v>105</v>
      </c>
      <c r="D15" s="15"/>
      <c r="E15" s="15"/>
      <c r="F15" s="15">
        <f>SUM(F12:F14)</f>
        <v>1800</v>
      </c>
      <c r="K15" s="15" t="s">
        <v>436</v>
      </c>
      <c r="L15" s="15">
        <v>22.5</v>
      </c>
      <c r="M15" s="15" t="s">
        <v>65</v>
      </c>
      <c r="N15" s="15">
        <v>22.5</v>
      </c>
      <c r="O15" s="15" t="s">
        <v>10</v>
      </c>
      <c r="P15" s="15">
        <f>SUM(L15*R15)</f>
        <v>2385</v>
      </c>
      <c r="Q15" s="15">
        <f>R15*N15</f>
        <v>2385</v>
      </c>
      <c r="R15" s="15">
        <v>106</v>
      </c>
      <c r="S15" s="15" t="s">
        <v>437</v>
      </c>
      <c r="T15" s="15">
        <v>22.5</v>
      </c>
      <c r="U15" s="15">
        <f>T15*R15</f>
        <v>2385</v>
      </c>
    </row>
    <row r="16" spans="3:21">
      <c r="C16" s="70" t="s">
        <v>8</v>
      </c>
      <c r="D16" s="71"/>
      <c r="E16" s="71"/>
      <c r="F16" s="72"/>
      <c r="K16" s="15" t="s">
        <v>19</v>
      </c>
      <c r="L16" s="15">
        <v>20</v>
      </c>
      <c r="M16" s="15" t="s">
        <v>65</v>
      </c>
      <c r="N16" s="15"/>
      <c r="O16" s="15"/>
      <c r="P16" s="15">
        <f>SUM(L16*R16)</f>
        <v>2115</v>
      </c>
      <c r="Q16" s="15">
        <f>R16*N16</f>
        <v>0</v>
      </c>
      <c r="R16" s="15">
        <v>105.75</v>
      </c>
      <c r="S16" s="15" t="s">
        <v>437</v>
      </c>
      <c r="T16" s="15">
        <v>10</v>
      </c>
      <c r="U16" s="15">
        <f>T16*R16</f>
        <v>1057.5</v>
      </c>
    </row>
    <row r="17" spans="3:20">
      <c r="C17" s="15" t="s">
        <v>110</v>
      </c>
      <c r="D17" s="15" t="s">
        <v>111</v>
      </c>
      <c r="E17" s="15" t="s">
        <v>293</v>
      </c>
      <c r="F17" s="15" t="s">
        <v>112</v>
      </c>
    </row>
    <row r="18" spans="3:20">
      <c r="C18" s="15">
        <v>60</v>
      </c>
      <c r="D18" s="15">
        <v>2.5</v>
      </c>
      <c r="E18" s="15">
        <v>4</v>
      </c>
      <c r="F18" s="15">
        <f>C18*D18*E18</f>
        <v>600</v>
      </c>
      <c r="K18" s="68" t="s">
        <v>316</v>
      </c>
      <c r="L18" s="69"/>
      <c r="N18" s="68" t="s">
        <v>317</v>
      </c>
      <c r="O18" s="69"/>
    </row>
    <row r="19" spans="3:20">
      <c r="C19" s="15" t="s">
        <v>105</v>
      </c>
      <c r="D19" s="15"/>
      <c r="E19" s="15"/>
      <c r="F19" s="15">
        <f>SUM(F18:F18)</f>
        <v>600</v>
      </c>
      <c r="K19" s="14" t="s">
        <v>19</v>
      </c>
      <c r="L19" s="15">
        <f>U16+U15</f>
        <v>3442.5</v>
      </c>
      <c r="N19" s="14" t="s">
        <v>65</v>
      </c>
      <c r="O19" s="15">
        <f>SUM(L9-(P15+P16))</f>
        <v>0</v>
      </c>
    </row>
    <row r="20" spans="3:20">
      <c r="C20" s="70" t="s">
        <v>10</v>
      </c>
      <c r="D20" s="71"/>
      <c r="E20" s="71"/>
      <c r="F20" s="72"/>
      <c r="K20" s="14" t="s">
        <v>18</v>
      </c>
      <c r="L20" s="15">
        <f>I5</f>
        <v>970</v>
      </c>
      <c r="N20" s="14" t="s">
        <v>10</v>
      </c>
      <c r="O20" s="15">
        <f>O10-Q15</f>
        <v>15</v>
      </c>
    </row>
    <row r="21" spans="3:20">
      <c r="C21" s="15" t="s">
        <v>110</v>
      </c>
      <c r="D21" s="15" t="s">
        <v>111</v>
      </c>
      <c r="E21" s="15" t="s">
        <v>293</v>
      </c>
      <c r="F21" s="15" t="s">
        <v>112</v>
      </c>
    </row>
    <row r="22" spans="3:20">
      <c r="C22" s="15">
        <v>120</v>
      </c>
      <c r="D22" s="15">
        <v>2.5</v>
      </c>
      <c r="E22" s="15">
        <v>1</v>
      </c>
      <c r="F22" s="15">
        <f t="shared" ref="F22:F27" si="1">C22*D22*E22</f>
        <v>300</v>
      </c>
      <c r="K22" s="30" t="s">
        <v>173</v>
      </c>
      <c r="L22" s="30" t="s">
        <v>170</v>
      </c>
      <c r="M22" s="30" t="s">
        <v>174</v>
      </c>
      <c r="N22" s="30" t="s">
        <v>177</v>
      </c>
      <c r="O22" s="30" t="s">
        <v>171</v>
      </c>
    </row>
    <row r="23" spans="3:20">
      <c r="C23" s="15">
        <v>120</v>
      </c>
      <c r="D23" s="15">
        <v>2.5</v>
      </c>
      <c r="E23" s="15">
        <v>1</v>
      </c>
      <c r="F23" s="15">
        <f t="shared" si="1"/>
        <v>300</v>
      </c>
      <c r="K23" s="30" t="s">
        <v>438</v>
      </c>
      <c r="L23" s="30">
        <f>ROUNDDOWN((L20/27.5),0)</f>
        <v>35</v>
      </c>
      <c r="M23" s="30" t="s">
        <v>169</v>
      </c>
      <c r="N23" s="30">
        <f>ROUNDDOWN(SUM((L19)/27.5),0)</f>
        <v>125</v>
      </c>
      <c r="O23" s="30">
        <f>IF(L23&gt;N23,N23,L23)</f>
        <v>35</v>
      </c>
    </row>
    <row r="24" spans="3:20">
      <c r="C24" s="15">
        <v>120</v>
      </c>
      <c r="D24" s="15">
        <v>2.5</v>
      </c>
      <c r="E24" s="15">
        <v>1</v>
      </c>
      <c r="F24" s="15">
        <f t="shared" si="1"/>
        <v>300</v>
      </c>
    </row>
    <row r="25" spans="3:20">
      <c r="C25" s="15">
        <v>120</v>
      </c>
      <c r="D25" s="15">
        <v>2.5</v>
      </c>
      <c r="E25" s="15">
        <v>1</v>
      </c>
      <c r="F25" s="15">
        <f t="shared" si="1"/>
        <v>300</v>
      </c>
      <c r="K25" s="73" t="s">
        <v>336</v>
      </c>
      <c r="L25" s="74"/>
      <c r="M25" s="74"/>
      <c r="N25" s="74"/>
      <c r="O25" s="74"/>
      <c r="P25" s="74"/>
      <c r="Q25" s="74"/>
      <c r="R25" s="74"/>
      <c r="S25" s="74"/>
      <c r="T25" s="74"/>
    </row>
    <row r="26" spans="3:20">
      <c r="C26" s="15">
        <v>120</v>
      </c>
      <c r="D26" s="15">
        <v>2.5</v>
      </c>
      <c r="E26" s="15">
        <v>1</v>
      </c>
      <c r="F26" s="15">
        <f t="shared" si="1"/>
        <v>300</v>
      </c>
      <c r="K26" s="16" t="s">
        <v>59</v>
      </c>
      <c r="L26" s="16" t="s">
        <v>103</v>
      </c>
      <c r="M26" s="16" t="s">
        <v>145</v>
      </c>
      <c r="N26" s="16" t="s">
        <v>104</v>
      </c>
      <c r="O26" s="16" t="s">
        <v>147</v>
      </c>
      <c r="P26" s="16" t="s">
        <v>304</v>
      </c>
      <c r="Q26" s="31" t="s">
        <v>305</v>
      </c>
      <c r="R26" s="16" t="s">
        <v>106</v>
      </c>
      <c r="S26" s="31" t="s">
        <v>407</v>
      </c>
      <c r="T26" s="31" t="s">
        <v>344</v>
      </c>
    </row>
    <row r="27" spans="3:20" ht="15.75">
      <c r="C27" s="15">
        <v>120</v>
      </c>
      <c r="D27" s="15">
        <v>2.5</v>
      </c>
      <c r="E27" s="15">
        <v>1</v>
      </c>
      <c r="F27" s="15">
        <f t="shared" si="1"/>
        <v>300</v>
      </c>
      <c r="K27" s="15" t="s">
        <v>138</v>
      </c>
      <c r="L27" s="15">
        <v>27.5</v>
      </c>
      <c r="M27" s="15" t="s">
        <v>18</v>
      </c>
      <c r="N27" s="15">
        <v>27.5</v>
      </c>
      <c r="O27" s="15" t="s">
        <v>86</v>
      </c>
      <c r="P27" s="15">
        <f>L27*S27</f>
        <v>962.5</v>
      </c>
      <c r="Q27" s="15">
        <f>N27*S27</f>
        <v>962.5</v>
      </c>
      <c r="R27" s="15">
        <v>12.5</v>
      </c>
      <c r="S27" s="37">
        <v>35</v>
      </c>
      <c r="T27" s="15">
        <f t="shared" ref="T27:T28" si="2">R27*S27</f>
        <v>437.5</v>
      </c>
    </row>
    <row r="28" spans="3:20" ht="15.75">
      <c r="C28" s="15">
        <v>60</v>
      </c>
      <c r="D28" s="15">
        <v>2.5</v>
      </c>
      <c r="E28" s="15">
        <v>1</v>
      </c>
      <c r="F28" s="15">
        <f t="shared" ref="F28:F34" si="3">C28*D28*E28</f>
        <v>150</v>
      </c>
      <c r="K28" s="15" t="s">
        <v>20</v>
      </c>
      <c r="L28" s="15">
        <v>15</v>
      </c>
      <c r="M28" s="15" t="s">
        <v>72</v>
      </c>
      <c r="N28" s="15">
        <v>40</v>
      </c>
      <c r="O28" s="15" t="s">
        <v>120</v>
      </c>
      <c r="P28" s="15">
        <f>L28*S28</f>
        <v>585</v>
      </c>
      <c r="Q28" s="15">
        <f>N28*S28</f>
        <v>1560</v>
      </c>
      <c r="R28" s="15">
        <v>5</v>
      </c>
      <c r="S28" s="37">
        <v>39</v>
      </c>
      <c r="T28" s="15">
        <f t="shared" si="2"/>
        <v>195</v>
      </c>
    </row>
    <row r="29" spans="3:20">
      <c r="C29" s="15">
        <v>120</v>
      </c>
      <c r="D29" s="15">
        <v>2.5</v>
      </c>
      <c r="E29" s="15">
        <v>1</v>
      </c>
      <c r="F29" s="15">
        <f t="shared" si="3"/>
        <v>300</v>
      </c>
    </row>
    <row r="30" spans="3:20">
      <c r="C30" s="15">
        <v>120</v>
      </c>
      <c r="D30" s="15">
        <v>2.5</v>
      </c>
      <c r="E30" s="15">
        <v>1</v>
      </c>
      <c r="F30" s="15">
        <f t="shared" si="3"/>
        <v>300</v>
      </c>
      <c r="K30" s="68" t="s">
        <v>439</v>
      </c>
      <c r="L30" s="69"/>
    </row>
    <row r="31" spans="3:20">
      <c r="C31" s="15">
        <v>120</v>
      </c>
      <c r="D31" s="15">
        <v>2.5</v>
      </c>
      <c r="E31" s="15">
        <v>1</v>
      </c>
      <c r="F31" s="15">
        <f t="shared" si="3"/>
        <v>300</v>
      </c>
      <c r="K31" s="14" t="s">
        <v>19</v>
      </c>
      <c r="L31" s="15">
        <f>L19-P27</f>
        <v>2480</v>
      </c>
      <c r="M31" s="57" t="s">
        <v>440</v>
      </c>
    </row>
    <row r="32" spans="3:20">
      <c r="C32" s="15">
        <v>120</v>
      </c>
      <c r="D32" s="15">
        <v>2.5</v>
      </c>
      <c r="E32" s="15">
        <v>1</v>
      </c>
      <c r="F32" s="15">
        <f t="shared" si="3"/>
        <v>300</v>
      </c>
      <c r="K32" s="14" t="s">
        <v>16</v>
      </c>
      <c r="L32" s="15">
        <f>L11</f>
        <v>199.95</v>
      </c>
    </row>
    <row r="33" spans="3:12">
      <c r="C33" s="15">
        <v>120</v>
      </c>
      <c r="D33" s="15">
        <v>2.5</v>
      </c>
      <c r="E33" s="15">
        <v>1</v>
      </c>
      <c r="F33" s="15">
        <f t="shared" si="3"/>
        <v>300</v>
      </c>
      <c r="K33" s="14" t="s">
        <v>138</v>
      </c>
      <c r="L33" s="15">
        <f>T27</f>
        <v>437.5</v>
      </c>
    </row>
    <row r="34" spans="3:12">
      <c r="C34" s="15">
        <v>30</v>
      </c>
      <c r="D34" s="15">
        <v>2.5</v>
      </c>
      <c r="E34" s="15">
        <v>1</v>
      </c>
      <c r="F34" s="15">
        <f t="shared" si="3"/>
        <v>75</v>
      </c>
      <c r="K34" s="29" t="s">
        <v>20</v>
      </c>
      <c r="L34" s="15">
        <f>T28</f>
        <v>195</v>
      </c>
    </row>
    <row r="35" spans="3:12">
      <c r="C35" s="15">
        <v>30</v>
      </c>
      <c r="D35" s="15">
        <v>2.5</v>
      </c>
      <c r="E35" s="15">
        <v>1</v>
      </c>
      <c r="F35" s="15">
        <f t="shared" ref="F35" si="4">C35*D35*E35</f>
        <v>75</v>
      </c>
    </row>
    <row r="36" spans="3:12">
      <c r="C36" s="15" t="s">
        <v>105</v>
      </c>
      <c r="D36" s="15"/>
      <c r="E36" s="15"/>
      <c r="F36" s="15">
        <f>SUM(F22:F35)</f>
        <v>3600</v>
      </c>
    </row>
    <row r="68" spans="13:13">
      <c r="M68" t="s">
        <v>499</v>
      </c>
    </row>
  </sheetData>
  <mergeCells count="13">
    <mergeCell ref="K25:T25"/>
    <mergeCell ref="K30:L30"/>
    <mergeCell ref="C20:F20"/>
    <mergeCell ref="H3:I3"/>
    <mergeCell ref="K13:U13"/>
    <mergeCell ref="K18:L18"/>
    <mergeCell ref="N18:O18"/>
    <mergeCell ref="K3:T3"/>
    <mergeCell ref="K8:L8"/>
    <mergeCell ref="N8:O8"/>
    <mergeCell ref="C10:F10"/>
    <mergeCell ref="C16:F16"/>
    <mergeCell ref="C3:F3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7E6F-25D5-47F8-91A4-F374EC800178}">
  <sheetPr>
    <tabColor theme="9" tint="-0.249977111117893"/>
  </sheetPr>
  <dimension ref="C3:P20"/>
  <sheetViews>
    <sheetView workbookViewId="0">
      <selection activeCell="O20" sqref="O20"/>
    </sheetView>
  </sheetViews>
  <sheetFormatPr defaultRowHeight="15"/>
  <cols>
    <col min="3" max="3" width="16" bestFit="1" customWidth="1"/>
    <col min="6" max="6" width="25.7109375" customWidth="1"/>
    <col min="7" max="7" width="6.140625" bestFit="1" customWidth="1"/>
    <col min="8" max="9" width="16" bestFit="1" customWidth="1"/>
    <col min="10" max="10" width="17.28515625" bestFit="1" customWidth="1"/>
    <col min="11" max="11" width="16.5703125" bestFit="1" customWidth="1"/>
    <col min="12" max="12" width="12.85546875" bestFit="1" customWidth="1"/>
    <col min="13" max="13" width="15.5703125" bestFit="1" customWidth="1"/>
    <col min="14" max="14" width="14.7109375" bestFit="1" customWidth="1"/>
    <col min="15" max="15" width="11.7109375" bestFit="1" customWidth="1"/>
  </cols>
  <sheetData>
    <row r="3" spans="3:16">
      <c r="C3" s="68" t="s">
        <v>434</v>
      </c>
      <c r="D3" s="69"/>
      <c r="F3" s="73" t="s">
        <v>313</v>
      </c>
      <c r="G3" s="74"/>
      <c r="H3" s="74"/>
      <c r="I3" s="74"/>
      <c r="J3" s="74"/>
      <c r="K3" s="74"/>
      <c r="L3" s="74"/>
      <c r="M3" s="74"/>
    </row>
    <row r="4" spans="3:16">
      <c r="C4" s="14" t="s">
        <v>59</v>
      </c>
      <c r="D4" s="14" t="s">
        <v>66</v>
      </c>
      <c r="F4" s="14" t="s">
        <v>59</v>
      </c>
      <c r="G4" s="16" t="s">
        <v>103</v>
      </c>
      <c r="H4" s="16" t="s">
        <v>145</v>
      </c>
      <c r="I4" s="16" t="s">
        <v>304</v>
      </c>
      <c r="J4" s="16" t="s">
        <v>303</v>
      </c>
      <c r="K4" s="16" t="s">
        <v>348</v>
      </c>
      <c r="L4" s="16" t="s">
        <v>345</v>
      </c>
      <c r="M4" s="31" t="s">
        <v>344</v>
      </c>
    </row>
    <row r="5" spans="3:16">
      <c r="C5" s="15" t="s">
        <v>14</v>
      </c>
      <c r="D5" s="15">
        <v>146</v>
      </c>
      <c r="F5" s="15" t="s">
        <v>43</v>
      </c>
      <c r="G5" s="15">
        <v>90</v>
      </c>
      <c r="H5" s="15" t="s">
        <v>370</v>
      </c>
      <c r="I5" s="15">
        <f>SUM(G5*J5)</f>
        <v>702</v>
      </c>
      <c r="J5" s="15">
        <v>7.8</v>
      </c>
      <c r="K5" s="15" t="s">
        <v>43</v>
      </c>
      <c r="L5" s="15">
        <v>60</v>
      </c>
      <c r="M5" s="15">
        <f>L5*J5</f>
        <v>468</v>
      </c>
    </row>
    <row r="6" spans="3:16">
      <c r="C6" s="15" t="s">
        <v>370</v>
      </c>
      <c r="D6" s="15">
        <v>763</v>
      </c>
      <c r="F6" s="15" t="s">
        <v>42</v>
      </c>
      <c r="G6" s="15">
        <v>60</v>
      </c>
      <c r="H6" s="15" t="s">
        <v>370</v>
      </c>
      <c r="I6" s="15">
        <f>SUM(G6*J6)</f>
        <v>60</v>
      </c>
      <c r="J6" s="15">
        <v>1</v>
      </c>
      <c r="K6" s="15" t="s">
        <v>42</v>
      </c>
      <c r="L6" s="15">
        <v>60</v>
      </c>
      <c r="M6" s="15">
        <f>L6*J6</f>
        <v>60</v>
      </c>
    </row>
    <row r="9" spans="3:16">
      <c r="F9" s="68" t="s">
        <v>316</v>
      </c>
      <c r="G9" s="69"/>
      <c r="I9" s="68" t="s">
        <v>312</v>
      </c>
      <c r="J9" s="69"/>
    </row>
    <row r="10" spans="3:16">
      <c r="F10" s="14" t="s">
        <v>374</v>
      </c>
      <c r="G10" s="15">
        <f>M5</f>
        <v>468</v>
      </c>
      <c r="I10" s="14" t="s">
        <v>370</v>
      </c>
      <c r="J10" s="15">
        <f>SUM(D6-(I5+I6))</f>
        <v>1</v>
      </c>
    </row>
    <row r="11" spans="3:16">
      <c r="F11" s="14" t="s">
        <v>42</v>
      </c>
      <c r="G11" s="15">
        <f>M6+P7</f>
        <v>60</v>
      </c>
      <c r="I11" s="14" t="s">
        <v>14</v>
      </c>
      <c r="J11" s="15">
        <f>D5</f>
        <v>146</v>
      </c>
    </row>
    <row r="13" spans="3:16">
      <c r="F13" s="73" t="s">
        <v>318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</row>
    <row r="14" spans="3:16">
      <c r="F14" s="14" t="s">
        <v>59</v>
      </c>
      <c r="G14" s="16" t="s">
        <v>103</v>
      </c>
      <c r="H14" s="16" t="s">
        <v>145</v>
      </c>
      <c r="I14" s="16" t="s">
        <v>104</v>
      </c>
      <c r="J14" s="16" t="s">
        <v>147</v>
      </c>
      <c r="K14" s="16" t="s">
        <v>304</v>
      </c>
      <c r="L14" s="31" t="s">
        <v>305</v>
      </c>
      <c r="M14" s="16" t="s">
        <v>303</v>
      </c>
      <c r="N14" s="16" t="s">
        <v>348</v>
      </c>
      <c r="O14" s="16" t="s">
        <v>345</v>
      </c>
      <c r="P14" s="31" t="s">
        <v>344</v>
      </c>
    </row>
    <row r="15" spans="3:16">
      <c r="F15" s="15" t="s">
        <v>128</v>
      </c>
      <c r="G15" s="15">
        <v>30</v>
      </c>
      <c r="H15" s="15" t="s">
        <v>14</v>
      </c>
      <c r="I15" s="15">
        <v>30</v>
      </c>
      <c r="J15" s="15" t="s">
        <v>374</v>
      </c>
      <c r="K15" s="15">
        <f>SUM(G15*M15)</f>
        <v>144</v>
      </c>
      <c r="L15" s="15">
        <f>M15*I15</f>
        <v>144</v>
      </c>
      <c r="M15" s="15">
        <v>4.8</v>
      </c>
      <c r="N15" s="15" t="s">
        <v>128</v>
      </c>
      <c r="O15" s="15">
        <v>10</v>
      </c>
      <c r="P15" s="15">
        <f>O15*M15</f>
        <v>48</v>
      </c>
    </row>
    <row r="17" spans="6:10">
      <c r="F17" s="68" t="s">
        <v>439</v>
      </c>
      <c r="G17" s="69"/>
      <c r="I17" s="68" t="s">
        <v>312</v>
      </c>
      <c r="J17" s="69"/>
    </row>
    <row r="18" spans="6:10">
      <c r="F18" s="14" t="s">
        <v>374</v>
      </c>
      <c r="G18" s="15">
        <f>G10-K15</f>
        <v>324</v>
      </c>
      <c r="I18" s="14" t="s">
        <v>370</v>
      </c>
      <c r="J18" s="15">
        <f>J10</f>
        <v>1</v>
      </c>
    </row>
    <row r="19" spans="6:10">
      <c r="F19" s="14" t="s">
        <v>42</v>
      </c>
      <c r="G19" s="15">
        <f>G11</f>
        <v>60</v>
      </c>
      <c r="I19" s="14" t="s">
        <v>14</v>
      </c>
      <c r="J19" s="15">
        <f>J11-L15</f>
        <v>2</v>
      </c>
    </row>
    <row r="20" spans="6:10">
      <c r="F20" s="14" t="s">
        <v>128</v>
      </c>
      <c r="G20" s="15">
        <f>P15</f>
        <v>48</v>
      </c>
    </row>
  </sheetData>
  <mergeCells count="7">
    <mergeCell ref="F13:P13"/>
    <mergeCell ref="F3:M3"/>
    <mergeCell ref="F17:G17"/>
    <mergeCell ref="I17:J17"/>
    <mergeCell ref="C3:D3"/>
    <mergeCell ref="F9:G9"/>
    <mergeCell ref="I9:J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AgendaToDo</vt:lpstr>
      <vt:lpstr>OverallResourcesGrassHub</vt:lpstr>
      <vt:lpstr>SwampHubProduction</vt:lpstr>
      <vt:lpstr>SwampNuclearFacility</vt:lpstr>
      <vt:lpstr>GrasslandRegionalProduction</vt:lpstr>
      <vt:lpstr>SWNitrogenFacility</vt:lpstr>
      <vt:lpstr>QuickwireCoast</vt:lpstr>
      <vt:lpstr>GrassValleyCircuitBoard</vt:lpstr>
      <vt:lpstr>CoastAlumIntSite</vt:lpstr>
      <vt:lpstr>ComputersSiteGrass</vt:lpstr>
      <vt:lpstr>SteelLakeSite</vt:lpstr>
      <vt:lpstr>OffshoreMegaRefinery</vt:lpstr>
      <vt:lpstr>SilicaCaveSite</vt:lpstr>
      <vt:lpstr>LakeCraterMotors</vt:lpstr>
      <vt:lpstr>Diagrams</vt:lpstr>
      <vt:lpstr>MinerOutputValues</vt:lpstr>
      <vt:lpstr>GrasslandTrainHubStations</vt:lpstr>
      <vt:lpstr>TierLocationOrganization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2022-06-16T20:50:54Z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