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80C68FA4-5241-4BFA-8571-3C16ABB1371B}" xr6:coauthVersionLast="47" xr6:coauthVersionMax="47" xr10:uidLastSave="{00000000-0000-0000-0000-000000000000}"/>
  <bookViews>
    <workbookView xWindow="28680" yWindow="-12660" windowWidth="16440" windowHeight="28320" tabRatio="780" activeTab="2" xr2:uid="{16EA9A20-0D63-4694-8194-00B2147553CC}"/>
  </bookViews>
  <sheets>
    <sheet name="AgendaToDo" sheetId="8" r:id="rId1"/>
    <sheet name="TierLocationOrganization" sheetId="1" r:id="rId2"/>
    <sheet name="Diagrams" sheetId="2" r:id="rId3"/>
    <sheet name="SteelLakeSite" sheetId="17" r:id="rId4"/>
    <sheet name="OffshoreMegaRefinery" sheetId="16" r:id="rId5"/>
    <sheet name="SWNitrogenFacility" sheetId="14" r:id="rId6"/>
    <sheet name="SilicaCaveSite" sheetId="13" r:id="rId7"/>
    <sheet name="GrasslandTrainHubStations" sheetId="9" r:id="rId8"/>
    <sheet name="GrasslandRegionalProduction" sheetId="6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7" l="1"/>
  <c r="P34" i="17"/>
  <c r="P36" i="17"/>
  <c r="P33" i="17"/>
  <c r="P32" i="17"/>
  <c r="P27" i="17"/>
  <c r="P28" i="17"/>
  <c r="P26" i="17"/>
  <c r="P29" i="17" s="1"/>
  <c r="P7" i="17" s="1"/>
  <c r="P22" i="17"/>
  <c r="P21" i="17"/>
  <c r="P12" i="17"/>
  <c r="P13" i="17"/>
  <c r="P14" i="17"/>
  <c r="P15" i="17"/>
  <c r="P16" i="17"/>
  <c r="P17" i="17"/>
  <c r="P11" i="17"/>
  <c r="J57" i="6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P37" i="17" l="1"/>
  <c r="Q7" i="17" s="1"/>
  <c r="P23" i="17"/>
  <c r="O7" i="17" s="1"/>
  <c r="P18" i="17"/>
  <c r="N7" i="17" s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G23" i="6" s="1"/>
  <c r="K37" i="6"/>
  <c r="O37" i="6" s="1"/>
  <c r="P47" i="6" s="1"/>
  <c r="Q47" i="6" s="1"/>
  <c r="S4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<sst xmlns="http://schemas.openxmlformats.org/spreadsheetml/2006/main" count="762" uniqueCount="352">
  <si>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</si>
  <si>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</si>
  <si>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</si>
  <si>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</si>
  <si>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</si>
  <si>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</si>
  <si>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</si>
  <si>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</si>
  <si>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</si>
  <si>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</si>
  <si>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</si>
  <si>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</si>
  <si>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</si>
  <si>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</si>
  <si>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</si>
  <si>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</si>
  <si>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</si>
  <si>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</si>
  <si>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</si>
  <si>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</si>
  <si>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</si>
  <si>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</si>
  <si>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</si>
  <si>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</si>
  <si>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</si>
  <si>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</si>
  <si>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</si>
  <si>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</si>
  <si>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</si>
  <si>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</si>
  <si>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</si>
  <si>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</si>
  <si>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</si>
  <si>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</si>
  <si>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</si>
  <si>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</si>
  <si>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</si>
  <si>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</si>
  <si>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</si>
  <si>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</si>
  <si>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</si>
  <si>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</si>
  <si>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</si>
  <si>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</si>
  <si>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</si>
  <si>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</si>
  <si>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</si>
  <si>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</si>
  <si>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</si>
  <si>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</si>
  <si>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</si>
  <si>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</si>
  <si>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</si>
  <si>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</si>
  <si>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</si>
  <si>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</si>
  <si>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</si>
  <si>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</si>
  <si>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</si>
  <si>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</si>
  <si>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</si>
  <si>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</si>
  <si>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</si>
  <si>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</si>
  <si>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</si>
  <si>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</si>
  <si>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</si>
  <si>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</si>
  <si>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</si>
  <si>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</si>
  <si>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</si>
  <si>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</si>
  <si>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</si>
  <si>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</si>
  <si>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</si>
  <si>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</si>
  <si>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</si>
  <si>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</si>
  <si>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</si>
  <si>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</si>
  <si>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</si>
  <si>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</si>
  <si>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</si>
  <si>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</si>
  <si>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</si>
  <si>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</si>
  <si>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</si>
  <si>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</si>
  <si>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</si>
  <si>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</si>
  <si>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</si>
  <si>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 xml:space="preserve">Sites to Build , Oil Production Center: 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</si>
  <si>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</si>
  <si>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</si>
  <si>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</si>
  <si>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</si>
  <si>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</si>
  <si>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</si>
  <si>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</si>
  <si>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</si>
  <si>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</si>
  <si>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</si>
  <si>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</si>
  <si>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</si>
  <si>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</si>
  <si>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</si>
  <si>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</si>
  <si>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</si>
  <si>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</si>
  <si>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</si>
  <si>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</si>
  <si>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</si>
  <si>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</si>
  <si>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</si>
  <si>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</si>
  <si>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</si>
  <si>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</si>
  <si>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</si>
  <si>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</si>
  <si>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</si>
  <si>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</si>
  <si>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</si>
  <si>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</si>
  <si>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</si>
  <si>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</si>
  <si>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</si>
  <si>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</si>
  <si>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</si>
  <si>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</si>
  <si>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</si>
  <si>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</si>
  <si>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</si>
  <si>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</si>
  <si>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</si>
  <si>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</si>
  <si>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</si>
  <si>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</si>
  <si>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</si>
  <si>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</si>
  <si>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</si>
  <si>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</si>
  <si>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</si>
  <si>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</si>
  <si>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</si>
  <si>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</si>
  <si>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</si>
  <si>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</si>
  <si>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</si>
  <si>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</si>
  <si>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</si>
  <si>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</si>
  <si>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</si>
  <si>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</si>
  <si>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</si>
  <si>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</si>
  <si>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</si>
  <si>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</si>
  <si>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</si>
  <si>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Aluminum Eventually at Oil Fields, Soon, Almost out of Belts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</si>
  <si>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</si>
  <si>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</si>
  <si>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</si>
  <si>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</si>
  <si>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</si>
  <si>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</si>
  <si>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</si>
  <si>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</si>
  <si>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</si>
  <si>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</si>
  <si>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</si>
  <si>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</si>
  <si>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</si>
  <si>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</si>
  <si>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</si>
  <si>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</si>
  <si>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</si>
  <si>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</si>
  <si>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</si>
  <si>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</si>
  <si>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</si>
  <si>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</si>
  <si>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</si>
  <si>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</si>
  <si>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</si>
  <si>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</si>
  <si>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</si>
  <si>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</si>
  <si>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</si>
  <si>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</si>
  <si>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</si>
  <si>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</si>
  <si>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</si>
  <si>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</si>
  <si>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</si>
  <si>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</si>
  <si>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</si>
  <si>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</si>
  <si>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</si>
  <si>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</si>
  <si>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</si>
  <si>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</si>
  <si>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</si>
  <si>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</si>
  <si>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</si>
  <si>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</si>
  <si>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</si>
  <si>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</si>
  <si>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</si>
  <si>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</si>
  <si>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</si>
  <si>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</si>
  <si>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</si>
  <si>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</si>
  <si>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</si>
  <si>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</si>
  <si>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</si>
  <si>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</si>
  <si>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</si>
  <si>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</si>
  <si>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</si>
  <si>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</si>
  <si>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</si>
  <si>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</si>
  <si>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</si>
  <si>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</si>
  <si>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</si>
  <si>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</si>
  <si>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</si>
  <si>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</si>
  <si>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</si>
  <si>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</si>
  <si>
    <t>Overall Build Diagram</t>
  </si>
  <si>
    <t>Steel Site Diagram</t>
  </si>
  <si>
    <t>2. Rubber / Aluminum / Battery Off-Shore Site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</si>
  <si>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</si>
  <si>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</si>
  <si>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</si>
  <si>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</si>
  <si>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</si>
  <si>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</si>
  <si>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</si>
  <si>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</si>
  <si>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</si>
  <si>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</si>
  <si>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</si>
  <si>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</si>
  <si>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</si>
  <si>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</si>
  <si>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</si>
  <si>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</si>
  <si>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</si>
  <si>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</si>
  <si>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</si>
  <si>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</si>
  <si>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</si>
  <si>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</si>
  <si>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</si>
  <si>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</si>
  <si>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</si>
  <si>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</si>
  <si>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</si>
  <si>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</si>
  <si>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</si>
  <si>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</si>
  <si>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</si>
  <si>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</si>
  <si>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</si>
  <si>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</si>
  <si>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</si>
  <si>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</si>
  <si>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</si>
  <si>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</si>
  <si>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</si>
  <si>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</si>
  <si>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</si>
  <si>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</si>
  <si>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</si>
  <si>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</si>
  <si>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</si>
  <si>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</si>
  <si>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</si>
  <si>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</si>
  <si>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</si>
  <si>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</si>
  <si>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</si>
  <si>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</si>
  <si>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</si>
  <si>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</si>
  <si>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</si>
  <si>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</si>
  <si>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</si>
  <si>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</si>
  <si>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</si>
  <si>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</si>
  <si>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</si>
  <si>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</si>
  <si>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</si>
  <si>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</si>
  <si>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</si>
  <si>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</si>
  <si>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</si>
  <si>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</si>
  <si>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</si>
  <si>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</si>
  <si>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</si>
  <si>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</si>
  <si>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</si>
  <si>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</si>
  <si>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</si>
  <si>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</si>
  <si>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</si>
  <si>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</si>
  <si>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</si>
  <si>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</si>
  <si>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</si>
  <si>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</si>
  <si>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</si>
  <si>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</si>
  <si>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</si>
  <si>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</si>
  <si>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</si>
  <si>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</si>
  <si>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</si>
  <si>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</si>
  <si>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</si>
  <si>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</si>
  <si>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</si>
  <si>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</si>
  <si>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</si>
  <si>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</si>
  <si>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</si>
  <si>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</si>
  <si>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</si>
  <si>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</si>
  <si>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</si>
  <si>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</si>
  <si>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</si>
  <si>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</si>
  <si>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</si>
  <si>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</si>
  <si>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</si>
  <si>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</si>
  <si>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</si>
  <si>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</si>
  <si>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</si>
  <si>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</si>
  <si>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</si>
  <si>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</si>
  <si>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</si>
  <si>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</si>
  <si>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w</t>
  </si>
  <si>
    <t>Miner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</si>
</sst>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3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4" borderId="0" xfId="0" applyFont="1" applyFill="1"/>
    <xf numFmtId="0" fontId="14" fillId="15" borderId="0" xfId="0" applyFont="1" applyFill="1"/>
    <xf numFmtId="0" fontId="7" fillId="12" borderId="0" xfId="0" applyFont="1" applyFill="1"/>
    <xf numFmtId="0" fontId="7" fillId="10" borderId="0" xfId="0" applyFont="1" applyFill="1" applyAlignment="1">
      <alignment horizontal="center"/>
    </xf>
    <xf numFmtId="0" fontId="10" fillId="16" borderId="0" xfId="0" applyFont="1" applyFill="1"/>
    <xf numFmtId="0" fontId="10" fillId="17" borderId="0" xfId="0" applyFont="1" applyFill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52</xdr:col>
      <xdr:colOff>45476</xdr:colOff>
      <xdr:row>83</xdr:row>
      <xdr:rowOff>170500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54567-CD7A-46DA-9D85-46A6252C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17190476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D17" sqref="D17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233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230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4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19.5" thickBot="1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ht="20.25" thickTop="1" thickBot="1">
      <c r="C11" s="22" t="s">
        <v>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 ht="22.5" thickTop="1" thickBot="1">
      <c r="C12" s="30" t="s">
        <v>14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43.5" thickTop="1" thickBot="1">
      <c r="C13" s="30" t="s">
        <v>158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B1" workbookViewId="0">
      <selection activeCell="E108" sqref="E108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246</v>
      </c>
      <c r="E3" s="2" t="s">
        <v>247</v>
      </c>
      <c r="F3" s="2" t="s">
        <v>245</v>
      </c>
      <c r="G3" s="2" t="s">
        <v>248</v>
      </c>
      <c r="H3" s="3" t="s">
        <v>249</v>
      </c>
      <c r="J3" s="22" t="s">
        <v>93</v>
      </c>
      <c r="K3" s="22" t="s">
        <v>236</v>
      </c>
      <c r="L3" s="23" t="s">
        <v>2</v>
      </c>
      <c r="M3" s="23" t="s">
        <v>2</v>
      </c>
      <c r="N3" s="22" t="s">
        <v>239</v>
      </c>
      <c r="O3" s="22" t="s">
        <v>237</v>
      </c>
      <c r="P3" s="22" t="s">
        <v>238</v>
      </c>
      <c r="Q3" s="23" t="s">
        <v>2</v>
      </c>
      <c r="R3" s="22" t="s">
        <v>240</v>
      </c>
      <c r="S3" s="23" t="s">
        <v>2</v>
      </c>
      <c r="T3" s="22" t="s">
        <v>322</v>
      </c>
      <c r="U3" s="23" t="s">
        <v>2</v>
      </c>
      <c r="V3" s="29" t="s">
        <v>344</v>
      </c>
    </row>
    <row r="4" spans="3:22" ht="20.25" thickTop="1" thickBot="1">
      <c r="C4" s="41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96</v>
      </c>
      <c r="K4" s="25" t="s">
        <v>73</v>
      </c>
      <c r="M4" s="25" t="s">
        <v>87</v>
      </c>
      <c r="N4" s="26" t="s">
        <v>20</v>
      </c>
      <c r="O4" s="25" t="s">
        <v>73</v>
      </c>
      <c r="P4" s="26" t="s">
        <v>153</v>
      </c>
      <c r="Q4" s="21"/>
      <c r="R4" s="27" t="s">
        <v>160</v>
      </c>
      <c r="T4" s="45" t="s">
        <v>319</v>
      </c>
      <c r="V4" s="46" t="s">
        <v>343</v>
      </c>
    </row>
    <row r="5" spans="3:22" ht="20.25" thickTop="1" thickBot="1">
      <c r="C5" s="41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77</v>
      </c>
      <c r="N5" s="26" t="s">
        <v>85</v>
      </c>
      <c r="O5" s="25" t="s">
        <v>77</v>
      </c>
      <c r="P5" s="26" t="s">
        <v>86</v>
      </c>
      <c r="Q5" s="21"/>
      <c r="R5" s="26" t="s">
        <v>153</v>
      </c>
      <c r="S5" s="21"/>
      <c r="T5" s="27" t="s">
        <v>235</v>
      </c>
      <c r="U5" s="21"/>
      <c r="V5" s="45" t="s">
        <v>274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90</v>
      </c>
      <c r="Q6" s="21"/>
      <c r="R6" s="25" t="s">
        <v>88</v>
      </c>
      <c r="S6" s="21"/>
      <c r="T6" s="26" t="s">
        <v>20</v>
      </c>
      <c r="U6" s="21"/>
      <c r="V6" s="45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97</v>
      </c>
      <c r="K7" s="25" t="s">
        <v>74</v>
      </c>
      <c r="M7" s="25" t="s">
        <v>77</v>
      </c>
      <c r="N7" s="26" t="s">
        <v>86</v>
      </c>
      <c r="O7" s="25" t="s">
        <v>88</v>
      </c>
      <c r="P7" s="28" t="s">
        <v>12</v>
      </c>
      <c r="Q7" s="21"/>
      <c r="R7" s="24" t="s">
        <v>14</v>
      </c>
      <c r="T7" s="41" t="s">
        <v>328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241</v>
      </c>
      <c r="J8" s="21"/>
      <c r="K8" s="25" t="s">
        <v>75</v>
      </c>
      <c r="M8" s="25" t="s">
        <v>73</v>
      </c>
      <c r="N8" s="21"/>
      <c r="O8" s="25" t="s">
        <v>87</v>
      </c>
      <c r="P8" s="26" t="s">
        <v>85</v>
      </c>
      <c r="Q8" s="21"/>
      <c r="S8" s="21"/>
      <c r="U8" s="21"/>
      <c r="V8" s="26" t="s">
        <v>340</v>
      </c>
    </row>
    <row r="9" spans="3:22" ht="20.25" thickTop="1" thickBot="1">
      <c r="F9" s="25" t="s">
        <v>34</v>
      </c>
      <c r="G9" s="5" t="s">
        <v>2</v>
      </c>
      <c r="H9" s="27" t="s">
        <v>319</v>
      </c>
      <c r="J9" s="21"/>
      <c r="K9" s="21"/>
      <c r="M9" s="21"/>
      <c r="N9" s="21"/>
      <c r="O9" s="25" t="s">
        <v>92</v>
      </c>
      <c r="P9" s="26" t="s">
        <v>20</v>
      </c>
      <c r="Q9" s="21"/>
      <c r="R9" s="27" t="s">
        <v>159</v>
      </c>
      <c r="S9" s="21"/>
      <c r="T9" s="45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95</v>
      </c>
      <c r="K10" s="25" t="s">
        <v>77</v>
      </c>
      <c r="M10" s="25" t="s">
        <v>77</v>
      </c>
      <c r="N10" s="26" t="s">
        <v>90</v>
      </c>
      <c r="P10" s="21"/>
      <c r="Q10" s="21"/>
      <c r="R10" s="26" t="s">
        <v>154</v>
      </c>
      <c r="S10" s="21"/>
      <c r="T10" s="27" t="s">
        <v>287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89</v>
      </c>
      <c r="M11" s="24" t="s">
        <v>16</v>
      </c>
      <c r="N11" s="21"/>
      <c r="P11" s="22"/>
      <c r="Q11" s="21"/>
      <c r="R11" s="26" t="s">
        <v>155</v>
      </c>
      <c r="S11" s="21"/>
      <c r="T11" s="27" t="s">
        <v>160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274</v>
      </c>
      <c r="J12" s="21"/>
      <c r="K12" s="21"/>
      <c r="M12" s="21"/>
      <c r="N12" s="21"/>
      <c r="O12" s="21"/>
      <c r="P12" s="21"/>
      <c r="Q12" s="21"/>
      <c r="R12" s="25" t="s">
        <v>77</v>
      </c>
      <c r="T12" s="45" t="s">
        <v>319</v>
      </c>
    </row>
    <row r="13" spans="3:22" ht="21.75" thickBot="1">
      <c r="F13" s="26" t="s">
        <v>37</v>
      </c>
      <c r="H13" s="27" t="s">
        <v>273</v>
      </c>
      <c r="J13" s="24" t="s">
        <v>98</v>
      </c>
      <c r="K13" s="26" t="s">
        <v>84</v>
      </c>
      <c r="M13" s="26" t="s">
        <v>19</v>
      </c>
      <c r="N13" s="26" t="s">
        <v>153</v>
      </c>
      <c r="Q13" s="23"/>
      <c r="R13" s="24" t="s">
        <v>16</v>
      </c>
      <c r="S13" s="21"/>
      <c r="T13" s="25" t="s">
        <v>87</v>
      </c>
      <c r="U13" s="21"/>
    </row>
    <row r="14" spans="3:22" ht="20.25" thickTop="1" thickBot="1">
      <c r="C14" s="41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83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235</v>
      </c>
      <c r="S15" s="21"/>
      <c r="T15" s="45" t="s">
        <v>47</v>
      </c>
      <c r="U15" s="21"/>
    </row>
    <row r="16" spans="3:22" ht="19.5" thickBot="1">
      <c r="F16" s="25" t="s">
        <v>303</v>
      </c>
      <c r="J16" s="21"/>
      <c r="K16" s="26" t="s">
        <v>80</v>
      </c>
      <c r="M16" s="26" t="s">
        <v>20</v>
      </c>
      <c r="N16" s="28" t="s">
        <v>12</v>
      </c>
      <c r="Q16" s="21"/>
      <c r="R16" s="26" t="s">
        <v>153</v>
      </c>
      <c r="T16" s="24" t="s">
        <v>169</v>
      </c>
    </row>
    <row r="17" spans="3:21" ht="20.25" thickTop="1" thickBot="1">
      <c r="C17" s="41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90</v>
      </c>
      <c r="M17" s="26" t="s">
        <v>85</v>
      </c>
      <c r="N17" s="21"/>
      <c r="Q17" s="21"/>
      <c r="R17" s="25" t="s">
        <v>135</v>
      </c>
      <c r="T17" s="26" t="s">
        <v>280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235</v>
      </c>
      <c r="U18" s="21"/>
    </row>
    <row r="19" spans="3:21" ht="20.25" thickTop="1" thickBot="1">
      <c r="C19" s="41" t="s">
        <v>15</v>
      </c>
      <c r="D19" s="24" t="s">
        <v>5</v>
      </c>
      <c r="E19" s="6" t="s">
        <v>2</v>
      </c>
      <c r="F19" s="25" t="s">
        <v>76</v>
      </c>
      <c r="G19" s="9" t="s">
        <v>2</v>
      </c>
      <c r="J19" s="21"/>
      <c r="K19" s="28" t="s">
        <v>82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79</v>
      </c>
      <c r="G20" s="6" t="s">
        <v>2</v>
      </c>
      <c r="J20" s="21"/>
      <c r="K20" s="21"/>
      <c r="M20" s="21"/>
      <c r="Q20" s="21"/>
      <c r="R20" s="27" t="s">
        <v>287</v>
      </c>
      <c r="S20" s="21"/>
      <c r="T20" s="45" t="s">
        <v>274</v>
      </c>
      <c r="U20" s="21"/>
    </row>
    <row r="21" spans="3:21" ht="19.5" thickTop="1">
      <c r="F21" s="26" t="s">
        <v>78</v>
      </c>
      <c r="J21" s="24" t="s">
        <v>18</v>
      </c>
      <c r="K21" s="26" t="s">
        <v>153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74</v>
      </c>
      <c r="S22" s="21"/>
      <c r="T22" s="27" t="s">
        <v>159</v>
      </c>
      <c r="U22" s="21"/>
    </row>
    <row r="23" spans="3:21" ht="19.5" thickBot="1">
      <c r="C23" s="41" t="s">
        <v>13</v>
      </c>
      <c r="D23" s="24" t="s">
        <v>169</v>
      </c>
      <c r="E23" s="6" t="s">
        <v>2</v>
      </c>
      <c r="F23" s="24" t="s">
        <v>18</v>
      </c>
      <c r="G23" s="4" t="s">
        <v>2</v>
      </c>
      <c r="J23" s="24" t="s">
        <v>145</v>
      </c>
      <c r="K23" s="25" t="s">
        <v>43</v>
      </c>
      <c r="M23" s="25" t="s">
        <v>43</v>
      </c>
      <c r="N23" s="26" t="s">
        <v>280</v>
      </c>
      <c r="Q23" s="21"/>
      <c r="R23" s="25" t="s">
        <v>281</v>
      </c>
      <c r="S23" s="21"/>
      <c r="T23" s="41" t="s">
        <v>332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1" t="s">
        <v>17</v>
      </c>
      <c r="S24" s="21"/>
      <c r="U24" s="21"/>
    </row>
    <row r="25" spans="3:21" ht="18.75">
      <c r="J25" s="24" t="s">
        <v>145</v>
      </c>
      <c r="K25" s="25" t="s">
        <v>339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145</v>
      </c>
      <c r="N26" s="25" t="s">
        <v>281</v>
      </c>
      <c r="Q26" s="21"/>
      <c r="R26" s="27" t="s">
        <v>21</v>
      </c>
      <c r="S26" s="21"/>
      <c r="U26" s="21"/>
    </row>
    <row r="27" spans="3:21" ht="19.5" thickBot="1">
      <c r="C27" s="41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169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73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288</v>
      </c>
      <c r="R29" s="25" t="s">
        <v>304</v>
      </c>
    </row>
    <row r="30" spans="3:21" ht="18.75">
      <c r="M30" s="25" t="s">
        <v>75</v>
      </c>
    </row>
    <row r="31" spans="3:21" ht="18.75">
      <c r="C31" s="41" t="s">
        <v>17</v>
      </c>
      <c r="F31" s="24" t="s">
        <v>41</v>
      </c>
      <c r="R31" s="27" t="s">
        <v>273</v>
      </c>
    </row>
    <row r="32" spans="3:21" ht="18.75">
      <c r="C32" s="41" t="s">
        <v>10</v>
      </c>
      <c r="F32" s="25" t="s">
        <v>42</v>
      </c>
      <c r="M32" s="25" t="s">
        <v>339</v>
      </c>
      <c r="N32" s="26" t="s">
        <v>340</v>
      </c>
      <c r="R32" s="26" t="s">
        <v>280</v>
      </c>
    </row>
    <row r="33" spans="3:18" ht="18.75">
      <c r="C33" s="41" t="s">
        <v>144</v>
      </c>
      <c r="F33" s="25" t="s">
        <v>43</v>
      </c>
      <c r="M33" s="41" t="s">
        <v>332</v>
      </c>
      <c r="R33" s="28" t="s">
        <v>12</v>
      </c>
    </row>
    <row r="34" spans="3:18" ht="18.75">
      <c r="C34" s="41" t="s">
        <v>332</v>
      </c>
      <c r="F34" s="26" t="s">
        <v>44</v>
      </c>
      <c r="R34" s="41" t="s">
        <v>332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282</v>
      </c>
      <c r="D39" s="48"/>
    </row>
    <row r="40" spans="3:18" ht="18.75">
      <c r="C40" s="24" t="s">
        <v>283</v>
      </c>
      <c r="D40" s="44">
        <v>1</v>
      </c>
    </row>
    <row r="41" spans="3:18" ht="18.75">
      <c r="C41" s="24" t="s">
        <v>174</v>
      </c>
      <c r="D41" s="44">
        <v>0.5</v>
      </c>
    </row>
    <row r="42" spans="3:18" ht="18.75">
      <c r="C42" s="24" t="s">
        <v>173</v>
      </c>
      <c r="D42" s="44">
        <v>0.35</v>
      </c>
    </row>
    <row r="43" spans="3:18" ht="18.75">
      <c r="C43" s="24" t="s">
        <v>172</v>
      </c>
      <c r="D43" s="44">
        <v>0.65</v>
      </c>
    </row>
    <row r="44" spans="3:18" ht="18.75">
      <c r="C44" s="24" t="s">
        <v>171</v>
      </c>
      <c r="D44" s="44">
        <v>0.8</v>
      </c>
    </row>
    <row r="45" spans="3:18" ht="18.75">
      <c r="C45" s="24" t="s">
        <v>170</v>
      </c>
      <c r="D45" s="44">
        <v>0.2</v>
      </c>
    </row>
    <row r="46" spans="3:18" ht="18.75">
      <c r="C46" s="24" t="s">
        <v>175</v>
      </c>
      <c r="D46" s="44">
        <v>0.85</v>
      </c>
    </row>
    <row r="47" spans="3:18" ht="18.75">
      <c r="C47" s="24" t="s">
        <v>176</v>
      </c>
      <c r="D47" s="44">
        <v>0.15</v>
      </c>
    </row>
    <row r="48" spans="3:18" ht="18.75">
      <c r="C48" s="24" t="s">
        <v>284</v>
      </c>
      <c r="D48" s="44">
        <v>0.9</v>
      </c>
    </row>
    <row r="49" spans="3:8" ht="18.75">
      <c r="C49" s="24" t="s">
        <v>285</v>
      </c>
      <c r="D49" s="44">
        <v>0.05</v>
      </c>
    </row>
    <row r="50" spans="3:8" ht="18.75">
      <c r="C50" s="24" t="s">
        <v>286</v>
      </c>
      <c r="D50" s="44">
        <v>0.05</v>
      </c>
    </row>
    <row r="51" spans="3:8" ht="18.75">
      <c r="C51" s="24" t="s">
        <v>289</v>
      </c>
      <c r="D51" s="44">
        <v>1</v>
      </c>
      <c r="E51" s="41" t="s">
        <v>290</v>
      </c>
    </row>
    <row r="55" spans="3:8" ht="18.75">
      <c r="C55" s="26" t="s">
        <v>188</v>
      </c>
      <c r="D55" s="26">
        <v>0.5</v>
      </c>
      <c r="E55" s="26" t="s">
        <v>189</v>
      </c>
      <c r="F55" s="26">
        <v>1</v>
      </c>
    </row>
    <row r="56" spans="3:8" ht="18.75">
      <c r="C56" s="26" t="s">
        <v>187</v>
      </c>
      <c r="D56" s="26">
        <v>0.7</v>
      </c>
      <c r="E56" s="26" t="s">
        <v>185</v>
      </c>
      <c r="F56" s="26">
        <v>0.25</v>
      </c>
    </row>
    <row r="57" spans="3:8" ht="18.75">
      <c r="C57" s="26" t="s">
        <v>186</v>
      </c>
      <c r="D57" s="26">
        <v>1</v>
      </c>
      <c r="E57" s="26" t="s">
        <v>184</v>
      </c>
      <c r="F57" s="26">
        <v>0.15</v>
      </c>
    </row>
    <row r="58" spans="3:8" ht="18.75">
      <c r="C58" s="26" t="s">
        <v>181</v>
      </c>
      <c r="D58" s="26">
        <v>0.8</v>
      </c>
      <c r="E58" s="26" t="s">
        <v>182</v>
      </c>
      <c r="F58" s="26">
        <v>0.25</v>
      </c>
    </row>
    <row r="59" spans="3:8" ht="18.75">
      <c r="C59" s="26" t="s">
        <v>180</v>
      </c>
      <c r="D59" s="26">
        <v>0.2</v>
      </c>
      <c r="E59" s="26" t="s">
        <v>183</v>
      </c>
      <c r="F59" s="26">
        <v>0.17</v>
      </c>
    </row>
    <row r="60" spans="3:8" ht="18.75">
      <c r="C60" s="26" t="s">
        <v>195</v>
      </c>
      <c r="D60" s="26">
        <v>1</v>
      </c>
      <c r="E60" s="26" t="s">
        <v>196</v>
      </c>
      <c r="F60" s="26">
        <v>0.5</v>
      </c>
    </row>
    <row r="61" spans="3:8" ht="18.75">
      <c r="C61" s="26" t="s">
        <v>291</v>
      </c>
      <c r="D61" s="26">
        <v>0.05</v>
      </c>
      <c r="E61" s="26" t="s">
        <v>292</v>
      </c>
      <c r="F61" s="26">
        <v>0.05</v>
      </c>
      <c r="H61" s="41" t="s">
        <v>293</v>
      </c>
    </row>
    <row r="62" spans="3:8" ht="18.75">
      <c r="C62" s="26" t="s">
        <v>294</v>
      </c>
      <c r="D62" s="26">
        <v>0.25</v>
      </c>
      <c r="E62" s="26" t="s">
        <v>295</v>
      </c>
      <c r="F62" s="26">
        <v>0.3</v>
      </c>
    </row>
    <row r="63" spans="3:8" ht="18.75">
      <c r="C63" s="26" t="s">
        <v>296</v>
      </c>
      <c r="D63" s="26">
        <v>0.01</v>
      </c>
      <c r="E63" s="26" t="s">
        <v>297</v>
      </c>
      <c r="F63" s="26">
        <v>0.01</v>
      </c>
      <c r="H63" s="41" t="s">
        <v>298</v>
      </c>
    </row>
    <row r="64" spans="3:8" ht="18.75">
      <c r="C64" s="26" t="s">
        <v>341</v>
      </c>
      <c r="D64" s="26">
        <v>0.3</v>
      </c>
      <c r="E64" s="26" t="s">
        <v>342</v>
      </c>
      <c r="F64" s="26">
        <v>1</v>
      </c>
    </row>
    <row r="65" spans="3:8" ht="18.75">
      <c r="H65" s="41" t="s">
        <v>302</v>
      </c>
    </row>
    <row r="66" spans="3:8" ht="18.75">
      <c r="C66" s="27" t="s">
        <v>299</v>
      </c>
      <c r="D66" s="27">
        <v>0.01</v>
      </c>
      <c r="E66" s="27" t="s">
        <v>300</v>
      </c>
      <c r="F66" s="27">
        <v>0.01</v>
      </c>
    </row>
    <row r="67" spans="3:8" ht="18.75">
      <c r="C67" s="27" t="s">
        <v>301</v>
      </c>
      <c r="D67" s="27">
        <v>0.05</v>
      </c>
    </row>
    <row r="68" spans="3:8" ht="15.75" thickBot="1"/>
    <row r="69" spans="3:8" ht="20.25" thickTop="1" thickBot="1">
      <c r="C69" s="27" t="s">
        <v>305</v>
      </c>
      <c r="D69" s="27">
        <v>1</v>
      </c>
      <c r="E69" s="27" t="s">
        <v>306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307</v>
      </c>
      <c r="D71" s="27">
        <v>0.7</v>
      </c>
      <c r="E71" s="27" t="s">
        <v>312</v>
      </c>
      <c r="F71" s="27">
        <v>0.25</v>
      </c>
      <c r="G71" s="9"/>
      <c r="H71" s="41" t="s">
        <v>317</v>
      </c>
    </row>
    <row r="72" spans="3:8" ht="20.25" thickTop="1" thickBot="1">
      <c r="C72" s="27" t="s">
        <v>308</v>
      </c>
      <c r="D72" s="27">
        <v>0.35</v>
      </c>
      <c r="E72" s="7"/>
      <c r="G72" s="9"/>
      <c r="H72" s="41" t="s">
        <v>318</v>
      </c>
    </row>
    <row r="73" spans="3:8" ht="18" thickTop="1" thickBot="1">
      <c r="E73" s="7"/>
      <c r="G73" s="9"/>
    </row>
    <row r="74" spans="3:8" ht="20.25" thickTop="1" thickBot="1">
      <c r="C74" s="27" t="s">
        <v>309</v>
      </c>
      <c r="D74" s="27">
        <v>0.3</v>
      </c>
      <c r="E74" s="27" t="s">
        <v>310</v>
      </c>
      <c r="F74" s="27">
        <v>0.65</v>
      </c>
      <c r="G74" s="9"/>
    </row>
    <row r="75" spans="3:8" ht="20.25" thickTop="1" thickBot="1">
      <c r="C75" s="27" t="s">
        <v>311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313</v>
      </c>
      <c r="D77" s="27">
        <v>1</v>
      </c>
      <c r="E77" s="27" t="s">
        <v>315</v>
      </c>
      <c r="F77" s="27">
        <v>0.18</v>
      </c>
      <c r="G77" s="9"/>
    </row>
    <row r="78" spans="3:8" ht="20.25" thickTop="1" thickBot="1">
      <c r="C78" s="27" t="s">
        <v>314</v>
      </c>
      <c r="D78" s="27">
        <v>1</v>
      </c>
      <c r="E78" s="27" t="s">
        <v>316</v>
      </c>
      <c r="F78" s="27">
        <v>0.3</v>
      </c>
    </row>
    <row r="79" spans="3:8" ht="18" thickTop="1" thickBot="1">
      <c r="E79" s="7"/>
    </row>
    <row r="80" spans="3:8" ht="19.5" thickTop="1">
      <c r="C80" s="27" t="s">
        <v>333</v>
      </c>
      <c r="D80" s="27">
        <v>0.5</v>
      </c>
      <c r="E80" s="27" t="s">
        <v>334</v>
      </c>
      <c r="F80" s="27">
        <v>0.4</v>
      </c>
    </row>
    <row r="81" spans="3:8" ht="18.75">
      <c r="C81" s="27" t="s">
        <v>335</v>
      </c>
      <c r="D81" s="27">
        <v>0.3</v>
      </c>
    </row>
    <row r="83" spans="3:8" ht="18.75">
      <c r="C83" s="45" t="s">
        <v>329</v>
      </c>
      <c r="D83" s="45">
        <v>0.99</v>
      </c>
      <c r="E83" s="45" t="s">
        <v>330</v>
      </c>
      <c r="F83" s="45">
        <v>0.55000000000000004</v>
      </c>
    </row>
    <row r="84" spans="3:8" ht="18.75">
      <c r="C84" s="45" t="s">
        <v>331</v>
      </c>
      <c r="D84" s="45">
        <v>0.6</v>
      </c>
    </row>
    <row r="86" spans="3:8" ht="18.75">
      <c r="C86" s="45" t="s">
        <v>320</v>
      </c>
      <c r="D86" s="45">
        <v>0.25</v>
      </c>
      <c r="E86" s="45" t="s">
        <v>321</v>
      </c>
      <c r="F86" s="45">
        <v>0.45</v>
      </c>
    </row>
    <row r="88" spans="3:8" ht="18.75">
      <c r="C88" s="45" t="s">
        <v>323</v>
      </c>
      <c r="D88" s="45">
        <v>1</v>
      </c>
      <c r="E88" s="45" t="s">
        <v>325</v>
      </c>
      <c r="F88" s="45">
        <v>0.8</v>
      </c>
      <c r="H88" s="45" t="s">
        <v>327</v>
      </c>
    </row>
    <row r="89" spans="3:8" ht="18.75">
      <c r="C89" s="45" t="s">
        <v>324</v>
      </c>
      <c r="D89" s="45">
        <v>1</v>
      </c>
      <c r="E89" s="45" t="s">
        <v>326</v>
      </c>
      <c r="F89" s="45">
        <v>0.15</v>
      </c>
    </row>
    <row r="91" spans="3:8" ht="18.75">
      <c r="C91" s="45" t="s">
        <v>336</v>
      </c>
      <c r="D91" s="45">
        <v>0.5</v>
      </c>
      <c r="E91" s="45" t="s">
        <v>338</v>
      </c>
      <c r="F91" s="45">
        <v>1</v>
      </c>
    </row>
    <row r="92" spans="3:8" ht="18.75">
      <c r="C92" s="45" t="s">
        <v>337</v>
      </c>
      <c r="D92" s="45">
        <v>0.4</v>
      </c>
    </row>
    <row r="94" spans="3:8" ht="18.75">
      <c r="C94" s="46" t="s">
        <v>345</v>
      </c>
      <c r="D94" s="46">
        <v>1</v>
      </c>
      <c r="E94" s="46" t="s">
        <v>346</v>
      </c>
      <c r="F94" s="46">
        <v>1</v>
      </c>
    </row>
    <row r="95" spans="3:8" ht="18.75">
      <c r="C95" s="46" t="s">
        <v>347</v>
      </c>
      <c r="D95" s="46">
        <v>0.5</v>
      </c>
      <c r="E95" s="46" t="s">
        <v>348</v>
      </c>
      <c r="F95" s="46">
        <v>1</v>
      </c>
    </row>
    <row r="96" spans="3:8" ht="18.75">
      <c r="C96" s="46" t="s">
        <v>349</v>
      </c>
      <c r="D96" s="46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abSelected="1" topLeftCell="AB1" zoomScale="115" zoomScaleNormal="115" workbookViewId="0">
      <selection activeCell="AK40" sqref="AK40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49" t="s">
        <v>231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Y2" s="50" t="s">
        <v>232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ht="16.5" customHeight="1" thickTop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ht="16.5" customHeight="1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15.75" thickTop="1"/>
    <row r="19" ht="9.75" customHeight="1"/>
    <row r="39" spans="25:52" ht="12" customHeight="1"/>
    <row r="42" spans="25:52">
      <c r="Y42" s="50" t="s">
        <v>250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25:52"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25:52"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M2:Q37"/>
  <sheetViews>
    <sheetView topLeftCell="F1" workbookViewId="0">
      <selection activeCell="G30" sqref="G30:H30"/>
    </sheetView>
  </sheetViews>
  <sheetFormatPr defaultRowHeight="15"/>
  <cols>
    <col min="5" max="5" width="39.28515625" bestFit="1" customWidth="1"/>
    <col min="13" max="13" width="14.5703125" bestFit="1" customWidth="1"/>
    <col min="14" max="14" width="15.85546875" bestFit="1" customWidth="1"/>
    <col min="15" max="15" width="15.7109375" bestFit="1" customWidth="1"/>
    <col min="16" max="16" width="12.140625" bestFit="1" customWidth="1"/>
    <col min="17" max="17" width="11.42578125" customWidth="1"/>
  </cols>
  <sheetData>
    <row r="2" spans="13:17">
      <c r="M2" s="54" t="s">
        <v>178</v>
      </c>
      <c r="N2" s="55"/>
      <c r="O2" s="55"/>
      <c r="P2" s="55"/>
      <c r="Q2" s="55"/>
    </row>
    <row r="3" spans="13:17">
      <c r="M3" s="14" t="s">
        <v>59</v>
      </c>
      <c r="N3" s="14" t="s">
        <v>23</v>
      </c>
      <c r="O3" s="14" t="s">
        <v>24</v>
      </c>
      <c r="P3" s="14" t="s">
        <v>8</v>
      </c>
      <c r="Q3" s="14" t="s">
        <v>7</v>
      </c>
    </row>
    <row r="4" spans="13:17">
      <c r="M4" s="15" t="s">
        <v>57</v>
      </c>
      <c r="N4" s="15">
        <v>6</v>
      </c>
      <c r="O4" s="15">
        <v>1</v>
      </c>
      <c r="P4" s="15">
        <v>0</v>
      </c>
      <c r="Q4" s="15">
        <v>0</v>
      </c>
    </row>
    <row r="5" spans="13:17">
      <c r="M5" s="15" t="s">
        <v>56</v>
      </c>
      <c r="N5" s="15">
        <v>0</v>
      </c>
      <c r="O5" s="15">
        <v>1</v>
      </c>
      <c r="P5" s="15">
        <v>1</v>
      </c>
      <c r="Q5" s="15">
        <v>4</v>
      </c>
    </row>
    <row r="6" spans="13:17">
      <c r="M6" s="15" t="s">
        <v>55</v>
      </c>
      <c r="N6" s="15">
        <v>1</v>
      </c>
      <c r="O6" s="15">
        <v>0</v>
      </c>
      <c r="P6" s="15">
        <v>2</v>
      </c>
      <c r="Q6" s="15">
        <v>1</v>
      </c>
    </row>
    <row r="7" spans="13:17">
      <c r="M7" s="15" t="s">
        <v>67</v>
      </c>
      <c r="N7" s="15">
        <f>P18</f>
        <v>2520</v>
      </c>
      <c r="O7" s="15">
        <f>P23</f>
        <v>900</v>
      </c>
      <c r="P7" s="15">
        <f>P29</f>
        <v>2040</v>
      </c>
      <c r="Q7" s="15">
        <f>P37</f>
        <v>3120</v>
      </c>
    </row>
    <row r="8" spans="13:17">
      <c r="M8" s="54" t="s">
        <v>121</v>
      </c>
      <c r="N8" s="55"/>
      <c r="O8" s="55"/>
      <c r="P8" s="55"/>
    </row>
    <row r="9" spans="13:17">
      <c r="M9" s="51" t="s">
        <v>23</v>
      </c>
      <c r="N9" s="52"/>
      <c r="O9" s="52"/>
      <c r="P9" s="53"/>
    </row>
    <row r="10" spans="13:17">
      <c r="M10" s="15" t="s">
        <v>122</v>
      </c>
      <c r="N10" s="15" t="s">
        <v>123</v>
      </c>
      <c r="O10" s="15" t="s">
        <v>351</v>
      </c>
      <c r="P10" s="15" t="s">
        <v>124</v>
      </c>
    </row>
    <row r="11" spans="13:17">
      <c r="M11" s="15">
        <v>30</v>
      </c>
      <c r="N11" s="15">
        <v>2.5</v>
      </c>
      <c r="O11" s="15">
        <v>4</v>
      </c>
      <c r="P11" s="15">
        <f>M11*N11*O11</f>
        <v>300</v>
      </c>
    </row>
    <row r="12" spans="13:17">
      <c r="M12" s="15">
        <v>30</v>
      </c>
      <c r="N12" s="15">
        <v>2.5</v>
      </c>
      <c r="O12" s="15">
        <v>4</v>
      </c>
      <c r="P12" s="15">
        <f t="shared" ref="P12:P17" si="0">M12*N12*O12</f>
        <v>300</v>
      </c>
    </row>
    <row r="13" spans="13:17">
      <c r="M13" s="15">
        <v>30</v>
      </c>
      <c r="N13" s="15">
        <v>2.5</v>
      </c>
      <c r="O13" s="15">
        <v>4</v>
      </c>
      <c r="P13" s="15">
        <f t="shared" si="0"/>
        <v>300</v>
      </c>
    </row>
    <row r="14" spans="13:17">
      <c r="M14" s="15">
        <v>30</v>
      </c>
      <c r="N14" s="15">
        <v>2.5</v>
      </c>
      <c r="O14" s="15">
        <v>4</v>
      </c>
      <c r="P14" s="15">
        <f t="shared" si="0"/>
        <v>300</v>
      </c>
    </row>
    <row r="15" spans="13:17">
      <c r="M15" s="15">
        <v>30</v>
      </c>
      <c r="N15" s="15">
        <v>2.5</v>
      </c>
      <c r="O15" s="15">
        <v>4</v>
      </c>
      <c r="P15" s="15">
        <f t="shared" si="0"/>
        <v>300</v>
      </c>
    </row>
    <row r="16" spans="13:17">
      <c r="M16" s="15">
        <v>30</v>
      </c>
      <c r="N16" s="15">
        <v>2.5</v>
      </c>
      <c r="O16" s="15">
        <v>4</v>
      </c>
      <c r="P16" s="15">
        <f t="shared" si="0"/>
        <v>300</v>
      </c>
    </row>
    <row r="17" spans="13:16">
      <c r="M17" s="15">
        <v>120</v>
      </c>
      <c r="N17" s="15">
        <v>1.5</v>
      </c>
      <c r="O17" s="15">
        <v>4</v>
      </c>
      <c r="P17" s="15">
        <f t="shared" si="0"/>
        <v>720</v>
      </c>
    </row>
    <row r="18" spans="13:16">
      <c r="M18" s="15" t="s">
        <v>113</v>
      </c>
      <c r="N18" s="15"/>
      <c r="O18" s="15"/>
      <c r="P18" s="15">
        <f>SUM(P11:P17)</f>
        <v>2520</v>
      </c>
    </row>
    <row r="19" spans="13:16">
      <c r="M19" s="51" t="s">
        <v>24</v>
      </c>
      <c r="N19" s="52"/>
      <c r="O19" s="52"/>
      <c r="P19" s="53"/>
    </row>
    <row r="20" spans="13:16">
      <c r="M20" s="15" t="s">
        <v>122</v>
      </c>
      <c r="N20" s="15" t="s">
        <v>123</v>
      </c>
      <c r="O20" s="15" t="s">
        <v>351</v>
      </c>
      <c r="P20" s="15" t="s">
        <v>124</v>
      </c>
    </row>
    <row r="21" spans="13:16">
      <c r="M21" s="15">
        <v>30</v>
      </c>
      <c r="N21" s="15">
        <v>2.5</v>
      </c>
      <c r="O21" s="15">
        <v>4</v>
      </c>
      <c r="P21" s="15">
        <f>M21*N21*O21</f>
        <v>300</v>
      </c>
    </row>
    <row r="22" spans="13:16">
      <c r="M22" s="15">
        <v>60</v>
      </c>
      <c r="N22" s="15">
        <v>2.5</v>
      </c>
      <c r="O22" s="15">
        <v>4</v>
      </c>
      <c r="P22" s="15">
        <f t="shared" ref="P22" si="1">M22*N22*O22</f>
        <v>600</v>
      </c>
    </row>
    <row r="23" spans="13:16">
      <c r="M23" s="15" t="s">
        <v>113</v>
      </c>
      <c r="N23" s="15"/>
      <c r="O23" s="15"/>
      <c r="P23" s="15">
        <f>SUM(P21:P22)</f>
        <v>900</v>
      </c>
    </row>
    <row r="24" spans="13:16">
      <c r="M24" s="51" t="s">
        <v>8</v>
      </c>
      <c r="N24" s="52"/>
      <c r="O24" s="52"/>
      <c r="P24" s="53"/>
    </row>
    <row r="25" spans="13:16">
      <c r="M25" s="15" t="s">
        <v>122</v>
      </c>
      <c r="N25" s="15" t="s">
        <v>123</v>
      </c>
      <c r="O25" s="15" t="s">
        <v>351</v>
      </c>
      <c r="P25" s="15" t="s">
        <v>124</v>
      </c>
    </row>
    <row r="26" spans="13:16">
      <c r="M26" s="15">
        <v>60</v>
      </c>
      <c r="N26" s="15">
        <v>2.5</v>
      </c>
      <c r="O26" s="15">
        <v>4</v>
      </c>
      <c r="P26" s="15">
        <f>M26*N26*O26</f>
        <v>600</v>
      </c>
    </row>
    <row r="27" spans="13:16">
      <c r="M27" s="15">
        <v>120</v>
      </c>
      <c r="N27" s="15">
        <v>1.5</v>
      </c>
      <c r="O27" s="15">
        <v>4</v>
      </c>
      <c r="P27" s="15">
        <f t="shared" ref="P27" si="2">M27*N27*O27</f>
        <v>720</v>
      </c>
    </row>
    <row r="28" spans="13:16">
      <c r="M28" s="15">
        <v>120</v>
      </c>
      <c r="N28" s="15">
        <v>1.5</v>
      </c>
      <c r="O28" s="15">
        <v>4</v>
      </c>
      <c r="P28" s="15">
        <f t="shared" ref="P28" si="3">M28*N28*O28</f>
        <v>720</v>
      </c>
    </row>
    <row r="29" spans="13:16">
      <c r="M29" s="15" t="s">
        <v>113</v>
      </c>
      <c r="N29" s="15"/>
      <c r="O29" s="15"/>
      <c r="P29" s="15">
        <f>SUM(P26:P28)</f>
        <v>2040</v>
      </c>
    </row>
    <row r="30" spans="13:16">
      <c r="M30" s="51" t="s">
        <v>7</v>
      </c>
      <c r="N30" s="52"/>
      <c r="O30" s="52"/>
      <c r="P30" s="53"/>
    </row>
    <row r="31" spans="13:16">
      <c r="M31" s="15" t="s">
        <v>122</v>
      </c>
      <c r="N31" s="15" t="s">
        <v>123</v>
      </c>
      <c r="O31" s="15" t="s">
        <v>351</v>
      </c>
      <c r="P31" s="15" t="s">
        <v>124</v>
      </c>
    </row>
    <row r="32" spans="13:16">
      <c r="M32" s="15">
        <v>60</v>
      </c>
      <c r="N32" s="15">
        <v>2.5</v>
      </c>
      <c r="O32" s="15">
        <v>4</v>
      </c>
      <c r="P32" s="15">
        <f>M32*N32*O32</f>
        <v>600</v>
      </c>
    </row>
    <row r="33" spans="13:16">
      <c r="M33" s="15">
        <v>60</v>
      </c>
      <c r="N33" s="15">
        <v>2.5</v>
      </c>
      <c r="O33" s="15">
        <v>4</v>
      </c>
      <c r="P33" s="15">
        <f t="shared" ref="P33" si="4">M33*N33*O33</f>
        <v>600</v>
      </c>
    </row>
    <row r="34" spans="13:16">
      <c r="M34" s="15">
        <v>60</v>
      </c>
      <c r="N34" s="15">
        <v>2.5</v>
      </c>
      <c r="O34" s="15">
        <v>4</v>
      </c>
      <c r="P34" s="15">
        <f t="shared" ref="P34:P35" si="5">M34*N34*O34</f>
        <v>600</v>
      </c>
    </row>
    <row r="35" spans="13:16">
      <c r="M35" s="15">
        <v>60</v>
      </c>
      <c r="N35" s="15">
        <v>2.5</v>
      </c>
      <c r="O35" s="15">
        <v>4</v>
      </c>
      <c r="P35" s="15">
        <f t="shared" si="5"/>
        <v>600</v>
      </c>
    </row>
    <row r="36" spans="13:16">
      <c r="M36" s="15">
        <v>120</v>
      </c>
      <c r="N36" s="15">
        <v>1.5</v>
      </c>
      <c r="O36" s="15">
        <v>4</v>
      </c>
      <c r="P36" s="15">
        <f>M36*N36*O36</f>
        <v>720</v>
      </c>
    </row>
    <row r="37" spans="13:16">
      <c r="M37" s="15" t="s">
        <v>113</v>
      </c>
      <c r="N37" s="15"/>
      <c r="O37" s="15"/>
      <c r="P37" s="15">
        <f>SUM(P32:P36)</f>
        <v>3120</v>
      </c>
    </row>
  </sheetData>
  <mergeCells count="6">
    <mergeCell ref="M19:P19"/>
    <mergeCell ref="M24:P24"/>
    <mergeCell ref="M30:P30"/>
    <mergeCell ref="M2:Q2"/>
    <mergeCell ref="M8:P8"/>
    <mergeCell ref="M9:P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G30" sqref="G30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1" t="s">
        <v>216</v>
      </c>
      <c r="D3" s="26" t="s">
        <v>218</v>
      </c>
      <c r="E3" s="26" t="s">
        <v>220</v>
      </c>
    </row>
    <row r="6" spans="3:5" ht="18.75">
      <c r="C6" s="41" t="s">
        <v>217</v>
      </c>
      <c r="D6" s="26" t="s">
        <v>219</v>
      </c>
      <c r="E6" s="26" t="s">
        <v>221</v>
      </c>
    </row>
    <row r="7" spans="3:5" ht="18.75">
      <c r="E7" s="26" t="s">
        <v>220</v>
      </c>
    </row>
    <row r="9" spans="3:5" ht="18.75">
      <c r="C9" s="41" t="s">
        <v>222</v>
      </c>
      <c r="D9" s="26" t="s">
        <v>224</v>
      </c>
    </row>
    <row r="10" spans="3:5" ht="18.75">
      <c r="C10" s="41" t="s">
        <v>223</v>
      </c>
      <c r="D10" s="26" t="s">
        <v>225</v>
      </c>
    </row>
    <row r="12" spans="3:5" ht="18.75">
      <c r="C12" s="41" t="s">
        <v>226</v>
      </c>
      <c r="D12" s="26" t="s">
        <v>227</v>
      </c>
      <c r="E12" s="24" t="s">
        <v>228</v>
      </c>
    </row>
    <row r="13" spans="3:5" ht="18.75">
      <c r="C13" s="41" t="s">
        <v>226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276</v>
      </c>
      <c r="J1" s="56" t="s">
        <v>277</v>
      </c>
      <c r="K1" s="56"/>
      <c r="L1" s="56"/>
    </row>
    <row r="2" spans="1:12" ht="21">
      <c r="B2" s="42" t="s">
        <v>251</v>
      </c>
      <c r="D2" s="42" t="s">
        <v>253</v>
      </c>
      <c r="F2" s="42" t="s">
        <v>252</v>
      </c>
      <c r="H2" s="42" t="s">
        <v>253</v>
      </c>
      <c r="J2" s="42" t="s">
        <v>254</v>
      </c>
      <c r="L2" s="42" t="s">
        <v>255</v>
      </c>
    </row>
    <row r="3" spans="1:12" ht="18.75">
      <c r="B3" s="41" t="s">
        <v>146</v>
      </c>
      <c r="D3" s="43" t="s">
        <v>147</v>
      </c>
      <c r="F3" s="41" t="s">
        <v>146</v>
      </c>
      <c r="H3" s="43" t="s">
        <v>147</v>
      </c>
      <c r="J3" s="41" t="s">
        <v>146</v>
      </c>
      <c r="L3" s="43" t="s">
        <v>147</v>
      </c>
    </row>
    <row r="4" spans="1:12" ht="18.75">
      <c r="B4" s="24" t="s">
        <v>127</v>
      </c>
      <c r="C4" s="20" t="s">
        <v>148</v>
      </c>
      <c r="D4" s="24" t="s">
        <v>127</v>
      </c>
      <c r="F4" s="24" t="s">
        <v>127</v>
      </c>
      <c r="G4" s="20" t="s">
        <v>148</v>
      </c>
      <c r="H4" s="24" t="s">
        <v>127</v>
      </c>
      <c r="J4" s="24" t="s">
        <v>14</v>
      </c>
      <c r="K4" s="20" t="s">
        <v>148</v>
      </c>
      <c r="L4" s="24" t="s">
        <v>14</v>
      </c>
    </row>
    <row r="5" spans="1:12" ht="18.75">
      <c r="B5" s="24" t="s">
        <v>128</v>
      </c>
      <c r="C5" s="20" t="s">
        <v>148</v>
      </c>
      <c r="D5" s="24" t="s">
        <v>128</v>
      </c>
      <c r="F5" s="24" t="s">
        <v>128</v>
      </c>
      <c r="G5" s="20" t="s">
        <v>148</v>
      </c>
      <c r="H5" s="24" t="s">
        <v>128</v>
      </c>
      <c r="J5" s="24" t="s">
        <v>11</v>
      </c>
      <c r="K5" s="20" t="s">
        <v>148</v>
      </c>
      <c r="L5" s="24" t="s">
        <v>11</v>
      </c>
    </row>
    <row r="6" spans="1:12" ht="18.75">
      <c r="B6" s="24" t="s">
        <v>129</v>
      </c>
      <c r="C6" s="20" t="s">
        <v>148</v>
      </c>
      <c r="D6" s="24" t="s">
        <v>129</v>
      </c>
      <c r="F6" s="24" t="s">
        <v>129</v>
      </c>
      <c r="G6" s="20" t="s">
        <v>148</v>
      </c>
      <c r="H6" s="24" t="s">
        <v>129</v>
      </c>
      <c r="J6" s="24" t="s">
        <v>145</v>
      </c>
      <c r="K6" s="20" t="s">
        <v>148</v>
      </c>
      <c r="L6" s="24" t="s">
        <v>145</v>
      </c>
    </row>
    <row r="7" spans="1:12" ht="18.75">
      <c r="B7" s="24" t="s">
        <v>130</v>
      </c>
      <c r="C7" s="20" t="s">
        <v>148</v>
      </c>
      <c r="D7" s="24" t="s">
        <v>130</v>
      </c>
      <c r="F7" s="24" t="s">
        <v>130</v>
      </c>
      <c r="G7" s="20" t="s">
        <v>148</v>
      </c>
      <c r="H7" s="24" t="s">
        <v>130</v>
      </c>
      <c r="J7" s="25" t="s">
        <v>43</v>
      </c>
      <c r="K7" s="20" t="s">
        <v>148</v>
      </c>
      <c r="L7" s="25" t="s">
        <v>43</v>
      </c>
    </row>
    <row r="8" spans="1:12" ht="18.75">
      <c r="B8" s="24" t="s">
        <v>16</v>
      </c>
      <c r="C8" s="20" t="s">
        <v>148</v>
      </c>
      <c r="D8" s="24" t="s">
        <v>16</v>
      </c>
      <c r="F8" s="24" t="s">
        <v>16</v>
      </c>
      <c r="G8" s="20" t="s">
        <v>148</v>
      </c>
      <c r="H8" s="24" t="s">
        <v>16</v>
      </c>
      <c r="J8" s="27" t="s">
        <v>256</v>
      </c>
      <c r="L8" s="27" t="s">
        <v>256</v>
      </c>
    </row>
    <row r="9" spans="1:12" ht="18.75">
      <c r="B9" s="24" t="s">
        <v>18</v>
      </c>
      <c r="C9" s="20" t="s">
        <v>148</v>
      </c>
      <c r="D9" s="24" t="s">
        <v>18</v>
      </c>
      <c r="F9" s="24" t="s">
        <v>18</v>
      </c>
      <c r="G9" s="20" t="s">
        <v>148</v>
      </c>
      <c r="H9" s="24" t="s">
        <v>18</v>
      </c>
      <c r="J9" s="24" t="s">
        <v>132</v>
      </c>
      <c r="K9" s="20" t="s">
        <v>148</v>
      </c>
      <c r="L9" s="24" t="s">
        <v>132</v>
      </c>
    </row>
    <row r="11" spans="1:12" ht="21">
      <c r="B11" s="42" t="s">
        <v>257</v>
      </c>
      <c r="D11" s="42" t="s">
        <v>258</v>
      </c>
      <c r="F11" s="42" t="s">
        <v>259</v>
      </c>
      <c r="H11" s="42" t="s">
        <v>260</v>
      </c>
      <c r="J11" s="42" t="s">
        <v>266</v>
      </c>
      <c r="L11" s="42" t="s">
        <v>267</v>
      </c>
    </row>
    <row r="12" spans="1:12" ht="18.75">
      <c r="B12" s="41" t="s">
        <v>146</v>
      </c>
      <c r="D12" s="43" t="s">
        <v>147</v>
      </c>
      <c r="F12" s="41" t="s">
        <v>146</v>
      </c>
      <c r="H12" s="43" t="s">
        <v>147</v>
      </c>
      <c r="J12" s="41" t="s">
        <v>157</v>
      </c>
      <c r="L12" s="43" t="s">
        <v>147</v>
      </c>
    </row>
    <row r="13" spans="1:12" ht="18.75">
      <c r="B13" s="25" t="s">
        <v>270</v>
      </c>
      <c r="C13" s="20" t="s">
        <v>148</v>
      </c>
      <c r="D13" s="25" t="s">
        <v>270</v>
      </c>
      <c r="F13" s="26" t="s">
        <v>140</v>
      </c>
      <c r="G13" s="20" t="s">
        <v>148</v>
      </c>
      <c r="H13" s="26" t="s">
        <v>140</v>
      </c>
      <c r="J13" s="27" t="s">
        <v>94</v>
      </c>
      <c r="K13" s="20" t="s">
        <v>148</v>
      </c>
      <c r="L13" s="27" t="s">
        <v>94</v>
      </c>
    </row>
    <row r="14" spans="1:12" ht="18.75">
      <c r="B14" s="25" t="s">
        <v>136</v>
      </c>
      <c r="C14" s="20" t="s">
        <v>148</v>
      </c>
      <c r="D14" s="25" t="s">
        <v>136</v>
      </c>
      <c r="F14" s="26" t="s">
        <v>139</v>
      </c>
      <c r="G14" s="20" t="s">
        <v>148</v>
      </c>
      <c r="H14" s="26" t="s">
        <v>139</v>
      </c>
      <c r="J14" s="27" t="s">
        <v>81</v>
      </c>
      <c r="K14" s="20" t="s">
        <v>148</v>
      </c>
      <c r="L14" s="27" t="s">
        <v>81</v>
      </c>
    </row>
    <row r="15" spans="1:12" ht="18.75">
      <c r="B15" s="25" t="s">
        <v>137</v>
      </c>
      <c r="C15" s="20" t="s">
        <v>148</v>
      </c>
      <c r="D15" s="25" t="s">
        <v>137</v>
      </c>
      <c r="F15" s="26" t="s">
        <v>138</v>
      </c>
      <c r="G15" s="20" t="s">
        <v>148</v>
      </c>
      <c r="H15" s="26" t="s">
        <v>138</v>
      </c>
      <c r="J15" s="27" t="s">
        <v>141</v>
      </c>
      <c r="K15" s="20" t="s">
        <v>148</v>
      </c>
      <c r="L15" s="27" t="s">
        <v>141</v>
      </c>
    </row>
    <row r="16" spans="1:12" ht="18.75">
      <c r="B16" s="25" t="s">
        <v>134</v>
      </c>
      <c r="C16" s="20" t="s">
        <v>148</v>
      </c>
      <c r="D16" s="25" t="s">
        <v>134</v>
      </c>
      <c r="F16" s="28" t="s">
        <v>12</v>
      </c>
      <c r="G16" s="20" t="s">
        <v>148</v>
      </c>
      <c r="H16" s="28" t="s">
        <v>12</v>
      </c>
      <c r="J16" s="27" t="s">
        <v>261</v>
      </c>
      <c r="K16" s="20" t="s">
        <v>148</v>
      </c>
      <c r="L16" s="27" t="s">
        <v>261</v>
      </c>
    </row>
    <row r="17" spans="1:12" ht="18.75">
      <c r="B17" s="25" t="s">
        <v>135</v>
      </c>
      <c r="C17" s="20" t="s">
        <v>148</v>
      </c>
      <c r="D17" s="25" t="s">
        <v>135</v>
      </c>
      <c r="F17" s="26" t="s">
        <v>85</v>
      </c>
      <c r="G17" s="20" t="s">
        <v>148</v>
      </c>
      <c r="H17" s="26" t="s">
        <v>85</v>
      </c>
      <c r="J17" s="27" t="s">
        <v>262</v>
      </c>
      <c r="K17" s="20" t="s">
        <v>148</v>
      </c>
      <c r="L17" s="27" t="s">
        <v>262</v>
      </c>
    </row>
    <row r="18" spans="1:12" ht="18.75">
      <c r="B18" s="25" t="s">
        <v>133</v>
      </c>
      <c r="C18" s="20" t="s">
        <v>148</v>
      </c>
      <c r="D18" s="25" t="s">
        <v>133</v>
      </c>
      <c r="F18" s="26" t="s">
        <v>20</v>
      </c>
      <c r="G18" s="20" t="s">
        <v>148</v>
      </c>
      <c r="H18" s="26" t="s">
        <v>20</v>
      </c>
      <c r="J18" s="27" t="s">
        <v>263</v>
      </c>
      <c r="K18" s="20" t="s">
        <v>148</v>
      </c>
      <c r="L18" s="27" t="s">
        <v>263</v>
      </c>
    </row>
    <row r="20" spans="1:12" ht="21">
      <c r="A20" s="27" t="s">
        <v>275</v>
      </c>
      <c r="B20" s="42" t="s">
        <v>272</v>
      </c>
      <c r="C20" s="27" t="s">
        <v>275</v>
      </c>
      <c r="D20" s="42" t="s">
        <v>271</v>
      </c>
      <c r="E20" s="27" t="s">
        <v>275</v>
      </c>
      <c r="F20" s="42" t="s">
        <v>265</v>
      </c>
      <c r="G20" s="27" t="s">
        <v>275</v>
      </c>
      <c r="H20" s="42" t="s">
        <v>264</v>
      </c>
    </row>
    <row r="21" spans="1:12" ht="18.75">
      <c r="B21" s="41" t="s">
        <v>146</v>
      </c>
      <c r="D21" s="43" t="s">
        <v>147</v>
      </c>
      <c r="F21" s="41" t="s">
        <v>146</v>
      </c>
      <c r="H21" s="43" t="s">
        <v>147</v>
      </c>
    </row>
    <row r="22" spans="1:12" ht="18.75">
      <c r="B22" s="25" t="s">
        <v>43</v>
      </c>
      <c r="C22" s="20" t="s">
        <v>148</v>
      </c>
      <c r="D22" s="25" t="s">
        <v>43</v>
      </c>
      <c r="F22" s="24" t="s">
        <v>17</v>
      </c>
      <c r="G22" s="20" t="s">
        <v>148</v>
      </c>
      <c r="H22" s="24" t="s">
        <v>17</v>
      </c>
    </row>
    <row r="23" spans="1:12" ht="18.75">
      <c r="B23" s="25" t="s">
        <v>22</v>
      </c>
      <c r="C23" s="20" t="s">
        <v>148</v>
      </c>
      <c r="D23" s="25" t="s">
        <v>22</v>
      </c>
      <c r="F23" s="24" t="s">
        <v>131</v>
      </c>
      <c r="G23" s="20" t="s">
        <v>148</v>
      </c>
      <c r="H23" s="24" t="s">
        <v>131</v>
      </c>
    </row>
    <row r="24" spans="1:12" ht="18.75">
      <c r="B24" s="26" t="s">
        <v>142</v>
      </c>
      <c r="C24" s="20" t="s">
        <v>148</v>
      </c>
      <c r="D24" s="26" t="s">
        <v>142</v>
      </c>
    </row>
    <row r="25" spans="1:12" ht="18.75">
      <c r="B25" s="24" t="s">
        <v>143</v>
      </c>
      <c r="C25" s="20" t="s">
        <v>148</v>
      </c>
      <c r="D25" s="24" t="s">
        <v>143</v>
      </c>
      <c r="J25" s="27" t="s">
        <v>278</v>
      </c>
    </row>
    <row r="26" spans="1:12" ht="18.75">
      <c r="B26" s="26" t="s">
        <v>268</v>
      </c>
      <c r="C26" s="20" t="s">
        <v>148</v>
      </c>
      <c r="D26" s="26" t="s">
        <v>268</v>
      </c>
      <c r="J26" s="27" t="s">
        <v>279</v>
      </c>
    </row>
    <row r="27" spans="1:12" ht="18.75">
      <c r="B27" s="28" t="s">
        <v>269</v>
      </c>
      <c r="C27" s="20" t="s">
        <v>148</v>
      </c>
      <c r="D27" s="28" t="s">
        <v>269</v>
      </c>
    </row>
    <row r="29" spans="1:12" ht="21">
      <c r="B29" s="42" t="s">
        <v>242</v>
      </c>
      <c r="D29" s="42" t="s">
        <v>243</v>
      </c>
      <c r="F29" s="42" t="s">
        <v>244</v>
      </c>
    </row>
    <row r="30" spans="1:12" ht="18.75">
      <c r="B30" s="43" t="s">
        <v>147</v>
      </c>
      <c r="D30" s="43" t="s">
        <v>147</v>
      </c>
      <c r="F30" s="43" t="s">
        <v>147</v>
      </c>
    </row>
    <row r="31" spans="1:12" ht="18.75">
      <c r="B31" s="26" t="s">
        <v>140</v>
      </c>
      <c r="C31" s="20" t="s">
        <v>148</v>
      </c>
      <c r="D31" s="26" t="s">
        <v>154</v>
      </c>
      <c r="E31" s="20" t="s">
        <v>148</v>
      </c>
      <c r="F31" s="24" t="s">
        <v>18</v>
      </c>
    </row>
    <row r="32" spans="1:12" ht="18.75">
      <c r="B32" s="24" t="s">
        <v>14</v>
      </c>
      <c r="C32" s="20" t="s">
        <v>148</v>
      </c>
      <c r="D32" s="26" t="s">
        <v>155</v>
      </c>
      <c r="E32" s="20" t="s">
        <v>148</v>
      </c>
      <c r="F32" s="25" t="s">
        <v>135</v>
      </c>
    </row>
    <row r="33" spans="2:6" ht="18.75">
      <c r="B33" s="25" t="s">
        <v>135</v>
      </c>
      <c r="C33" s="20" t="s">
        <v>148</v>
      </c>
      <c r="D33" s="25" t="s">
        <v>156</v>
      </c>
      <c r="E33" s="20" t="s">
        <v>148</v>
      </c>
      <c r="F33" s="26" t="s">
        <v>152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topLeftCell="A49" workbookViewId="0">
      <selection activeCell="M66" sqref="M66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7" t="s">
        <v>115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3:21">
      <c r="C4" s="54" t="s">
        <v>178</v>
      </c>
      <c r="D4" s="55"/>
      <c r="E4" s="55"/>
      <c r="F4" s="55"/>
      <c r="G4" s="55"/>
      <c r="H4" s="55"/>
      <c r="I4" s="55"/>
      <c r="J4" s="55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1" t="s">
        <v>131</v>
      </c>
      <c r="I5" s="31" t="s">
        <v>97</v>
      </c>
      <c r="J5" s="31" t="s">
        <v>17</v>
      </c>
      <c r="L5" s="62" t="s">
        <v>179</v>
      </c>
      <c r="M5" s="62"/>
      <c r="N5" s="62"/>
      <c r="O5" s="62"/>
      <c r="P5" s="62"/>
      <c r="Q5" s="6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72</v>
      </c>
      <c r="M6" s="19" t="s">
        <v>71</v>
      </c>
      <c r="N6" s="19" t="s">
        <v>125</v>
      </c>
      <c r="O6" s="19" t="s">
        <v>116</v>
      </c>
      <c r="P6" s="19" t="s">
        <v>70</v>
      </c>
      <c r="Q6" s="19" t="s">
        <v>126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1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  <c r="P7" s="15">
        <f>ROUNDDOWN(O7/M7,0)</f>
        <v>10</v>
      </c>
      <c r="Q7" s="15">
        <f>ROUNDDOWN(600/M7,0)</f>
        <v>5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  <c r="P8" s="15">
        <f>ROUNDDOWN(O8/M8,0)</f>
        <v>9</v>
      </c>
      <c r="Q8" s="15">
        <f>ROUNDDOWN(O8/M8,0)</f>
        <v>9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E92</f>
        <v>1200</v>
      </c>
      <c r="J9" s="15">
        <f>E87</f>
        <v>300</v>
      </c>
      <c r="L9" s="15" t="s">
        <v>99</v>
      </c>
      <c r="M9" s="15">
        <f>SUM(15*60)</f>
        <v>900</v>
      </c>
      <c r="N9" s="15">
        <f>D18</f>
        <v>1800</v>
      </c>
      <c r="O9" s="15">
        <f>E18</f>
        <v>1800</v>
      </c>
      <c r="P9" s="15"/>
      <c r="Q9" s="15"/>
    </row>
    <row r="10" spans="3:21">
      <c r="C10" s="15" t="s">
        <v>116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15" t="s">
        <v>100</v>
      </c>
      <c r="M10" s="15">
        <f>SUM(12*100)</f>
        <v>1200</v>
      </c>
      <c r="N10" s="15">
        <f>D17</f>
        <v>2400</v>
      </c>
      <c r="O10" s="15">
        <f>E17</f>
        <v>3000</v>
      </c>
      <c r="P10" s="15"/>
      <c r="Q10" s="15"/>
    </row>
    <row r="11" spans="3:21">
      <c r="C11" s="15" t="s">
        <v>117</v>
      </c>
      <c r="D11" s="15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15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15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15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15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15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15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36"/>
    </row>
    <row r="14" spans="3:21">
      <c r="C14" s="60" t="s">
        <v>118</v>
      </c>
      <c r="D14" s="61"/>
      <c r="E14" s="61"/>
      <c r="F14" s="61"/>
      <c r="G14" s="61"/>
      <c r="I14" s="58" t="s">
        <v>166</v>
      </c>
      <c r="J14" s="59"/>
      <c r="L14" s="60" t="s">
        <v>210</v>
      </c>
      <c r="M14" s="61"/>
      <c r="N14" s="61"/>
      <c r="O14" s="61"/>
    </row>
    <row r="15" spans="3:21">
      <c r="C15" s="16" t="s">
        <v>59</v>
      </c>
      <c r="D15" s="16" t="s">
        <v>66</v>
      </c>
      <c r="E15" s="16" t="s">
        <v>119</v>
      </c>
      <c r="F15" s="16" t="s">
        <v>120</v>
      </c>
      <c r="G15" s="37" t="s">
        <v>203</v>
      </c>
      <c r="I15" s="32" t="s">
        <v>174</v>
      </c>
      <c r="J15" s="32">
        <v>0.5</v>
      </c>
      <c r="L15" s="16" t="s">
        <v>211</v>
      </c>
      <c r="M15" s="16" t="s">
        <v>149</v>
      </c>
      <c r="N15" s="16" t="s">
        <v>150</v>
      </c>
      <c r="O15" s="16" t="s">
        <v>151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15">
        <f>SUM((F11/45)*15)</f>
        <v>2240</v>
      </c>
      <c r="G16" s="38" t="s">
        <v>207</v>
      </c>
      <c r="H16">
        <v>2</v>
      </c>
      <c r="I16" s="32" t="s">
        <v>173</v>
      </c>
      <c r="J16" s="32">
        <v>0.35</v>
      </c>
      <c r="L16" s="15" t="s">
        <v>162</v>
      </c>
      <c r="M16" s="15" t="s">
        <v>162</v>
      </c>
      <c r="N16" s="15" t="s">
        <v>162</v>
      </c>
      <c r="O16" s="15" t="s">
        <v>162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15">
        <f>SUM((E11/50)*100)</f>
        <v>6000</v>
      </c>
      <c r="G17" s="38" t="s">
        <v>206</v>
      </c>
      <c r="H17">
        <v>4</v>
      </c>
      <c r="I17" s="32" t="s">
        <v>172</v>
      </c>
      <c r="J17" s="32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15">
        <f>SUM((G11/40)*60)</f>
        <v>2160</v>
      </c>
      <c r="G18" s="38" t="s">
        <v>205</v>
      </c>
      <c r="H18">
        <v>2</v>
      </c>
      <c r="I18" s="32" t="s">
        <v>171</v>
      </c>
      <c r="J18" s="32">
        <v>0.8</v>
      </c>
      <c r="L18" s="15" t="s">
        <v>62</v>
      </c>
      <c r="M18" s="15" t="s">
        <v>62</v>
      </c>
      <c r="N18" s="15" t="s">
        <v>213</v>
      </c>
      <c r="O18" s="15" t="s">
        <v>202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17">
        <f>SUM(D11-(E11/2)-G11)</f>
        <v>5460</v>
      </c>
      <c r="G19" s="38">
        <v>0</v>
      </c>
      <c r="I19" s="32" t="s">
        <v>170</v>
      </c>
      <c r="J19" s="32">
        <v>0.2</v>
      </c>
      <c r="L19" s="15" t="s">
        <v>212</v>
      </c>
      <c r="M19" s="15" t="s">
        <v>212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17">
        <f>SUM((F19/30)*30)</f>
        <v>5460</v>
      </c>
      <c r="G20" s="38" t="s">
        <v>204</v>
      </c>
      <c r="H20">
        <v>4</v>
      </c>
      <c r="I20" s="34" t="s">
        <v>175</v>
      </c>
      <c r="J20" s="35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165</v>
      </c>
      <c r="D21" s="17">
        <f>SUM((I9/45)*15)</f>
        <v>400</v>
      </c>
      <c r="E21" s="15">
        <f>SUM((I10/45)*15)</f>
        <v>400</v>
      </c>
      <c r="F21" s="15">
        <f>SUM((I11/45)*15)</f>
        <v>480</v>
      </c>
      <c r="G21" s="38" t="s">
        <v>208</v>
      </c>
      <c r="I21" s="34" t="s">
        <v>176</v>
      </c>
      <c r="J21" s="35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 t="s">
        <v>350</v>
      </c>
      <c r="E22" s="17">
        <f>SUM(((H10*0.85)/22.5)*37.5)</f>
        <v>850</v>
      </c>
      <c r="F22" s="17">
        <f>SUM(((H11*0.85)/22.5)*37.5)</f>
        <v>1700</v>
      </c>
      <c r="G22" s="38" t="s">
        <v>209</v>
      </c>
      <c r="H22">
        <v>2</v>
      </c>
      <c r="S22" s="18"/>
      <c r="T22" s="18"/>
      <c r="U22" s="18"/>
      <c r="V22" s="18"/>
    </row>
    <row r="23" spans="3:22">
      <c r="C23" s="17" t="s">
        <v>169</v>
      </c>
      <c r="D23" s="17">
        <f>SUM(((H9*0.15)/37.5)*22.5)</f>
        <v>108</v>
      </c>
      <c r="E23" s="17">
        <f>SUM(((H10*0.15)/37.5)*22.5)</f>
        <v>54</v>
      </c>
      <c r="F23" s="17">
        <f>SUM(((H11*0.15)/37.5)*22.5)</f>
        <v>108</v>
      </c>
      <c r="G23" s="38">
        <f t="shared" ref="G23" si="0">ROUND(D23/780,0)</f>
        <v>0</v>
      </c>
      <c r="H23">
        <v>1</v>
      </c>
      <c r="I23" s="60" t="s">
        <v>177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18"/>
      <c r="U23" s="18"/>
      <c r="V23" s="18"/>
    </row>
    <row r="24" spans="3:22">
      <c r="I24" s="16" t="s">
        <v>59</v>
      </c>
      <c r="J24" s="16" t="s">
        <v>111</v>
      </c>
      <c r="K24" s="16" t="s">
        <v>161</v>
      </c>
      <c r="L24" s="16" t="s">
        <v>112</v>
      </c>
      <c r="M24" s="16" t="s">
        <v>164</v>
      </c>
      <c r="N24" s="16" t="s">
        <v>114</v>
      </c>
      <c r="O24" s="16" t="s">
        <v>163</v>
      </c>
      <c r="P24" s="16" t="s">
        <v>113</v>
      </c>
      <c r="Q24" s="33" t="s">
        <v>167</v>
      </c>
      <c r="R24" s="33" t="s">
        <v>168</v>
      </c>
      <c r="S24" s="33" t="s">
        <v>197</v>
      </c>
      <c r="T24" s="18"/>
      <c r="U24" s="18"/>
      <c r="V24" s="18"/>
    </row>
    <row r="25" spans="3:22" ht="15.75">
      <c r="C25" s="54" t="s">
        <v>121</v>
      </c>
      <c r="D25" s="55"/>
      <c r="E25" s="55"/>
      <c r="F25" s="55"/>
      <c r="I25" s="15" t="s">
        <v>101</v>
      </c>
      <c r="J25" s="15">
        <v>15</v>
      </c>
      <c r="K25" s="15" t="s">
        <v>162</v>
      </c>
      <c r="L25" s="15"/>
      <c r="M25" s="15"/>
      <c r="N25" s="15">
        <v>15</v>
      </c>
      <c r="O25" s="39">
        <v>8</v>
      </c>
      <c r="P25" s="15">
        <f>N25*O25</f>
        <v>120</v>
      </c>
      <c r="Q25" s="39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1" t="s">
        <v>23</v>
      </c>
      <c r="D26" s="52"/>
      <c r="E26" s="52"/>
      <c r="F26" s="53"/>
      <c r="I26" s="15" t="s">
        <v>102</v>
      </c>
      <c r="J26" s="15">
        <v>120</v>
      </c>
      <c r="K26" s="15" t="s">
        <v>162</v>
      </c>
      <c r="L26" s="15"/>
      <c r="M26" s="15"/>
      <c r="N26" s="15">
        <v>30</v>
      </c>
      <c r="O26" s="39">
        <v>4</v>
      </c>
      <c r="P26" s="15">
        <f>N26*O26</f>
        <v>120</v>
      </c>
      <c r="Q26" s="39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122</v>
      </c>
      <c r="D27" s="15" t="s">
        <v>123</v>
      </c>
      <c r="E27" s="15" t="s">
        <v>124</v>
      </c>
      <c r="F27" s="15"/>
      <c r="I27" s="15" t="s">
        <v>103</v>
      </c>
      <c r="J27" s="15">
        <v>120</v>
      </c>
      <c r="K27" s="15" t="s">
        <v>162</v>
      </c>
      <c r="L27" s="15"/>
      <c r="M27" s="15"/>
      <c r="N27" s="15">
        <v>20</v>
      </c>
      <c r="O27" s="39">
        <v>4</v>
      </c>
      <c r="P27" s="15">
        <f t="shared" ref="P27:P34" si="3">N27*O27</f>
        <v>80</v>
      </c>
      <c r="Q27" s="39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104</v>
      </c>
      <c r="J28" s="15">
        <v>120</v>
      </c>
      <c r="K28" s="15" t="s">
        <v>162</v>
      </c>
      <c r="L28" s="15"/>
      <c r="M28" s="15"/>
      <c r="N28" s="15">
        <v>50</v>
      </c>
      <c r="O28" s="39">
        <v>10</v>
      </c>
      <c r="P28" s="15">
        <f t="shared" si="3"/>
        <v>500</v>
      </c>
      <c r="Q28" s="39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105</v>
      </c>
      <c r="J29" s="15">
        <v>60</v>
      </c>
      <c r="K29" s="15" t="s">
        <v>162</v>
      </c>
      <c r="L29" s="15"/>
      <c r="M29" s="15"/>
      <c r="N29" s="15">
        <v>5.625</v>
      </c>
      <c r="O29" s="39">
        <f>ROUNDDOWN(SUM(D20/J29),0)</f>
        <v>10</v>
      </c>
      <c r="P29" s="15">
        <v>67</v>
      </c>
      <c r="Q29" s="39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106</v>
      </c>
      <c r="J30" s="15">
        <v>30</v>
      </c>
      <c r="K30" s="15" t="s">
        <v>62</v>
      </c>
      <c r="L30" s="15"/>
      <c r="M30" s="15"/>
      <c r="N30" s="15">
        <v>20</v>
      </c>
      <c r="O30" s="39">
        <f>ROUNDDOWN(SUM(D18*J18)/J30,0)</f>
        <v>48</v>
      </c>
      <c r="P30" s="15">
        <f t="shared" si="3"/>
        <v>960</v>
      </c>
      <c r="Q30" s="39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107</v>
      </c>
      <c r="J31" s="15">
        <v>60</v>
      </c>
      <c r="K31" s="15" t="s">
        <v>62</v>
      </c>
      <c r="L31" s="15"/>
      <c r="M31" s="15"/>
      <c r="N31" s="15">
        <v>15</v>
      </c>
      <c r="O31" s="39">
        <f>ROUNDDOWN(SUM(D18*J19)/J31,0)</f>
        <v>6</v>
      </c>
      <c r="P31" s="15">
        <f t="shared" si="3"/>
        <v>90</v>
      </c>
      <c r="Q31" s="39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108</v>
      </c>
      <c r="J32" s="15">
        <v>20</v>
      </c>
      <c r="K32" s="15" t="s">
        <v>65</v>
      </c>
      <c r="L32" s="15"/>
      <c r="M32" s="15"/>
      <c r="N32" s="15">
        <v>10</v>
      </c>
      <c r="O32" s="39">
        <f>ROUNDDOWN(SUM(D17*J15)/J32,0)</f>
        <v>60</v>
      </c>
      <c r="P32" s="15">
        <f t="shared" si="3"/>
        <v>600</v>
      </c>
      <c r="Q32" s="39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109</v>
      </c>
      <c r="J33" s="15">
        <v>12</v>
      </c>
      <c r="K33" s="15" t="s">
        <v>65</v>
      </c>
      <c r="L33" s="15">
        <v>3</v>
      </c>
      <c r="M33" s="15" t="s">
        <v>165</v>
      </c>
      <c r="N33" s="15">
        <v>90</v>
      </c>
      <c r="O33" s="39">
        <f>ROUNDDOWN(SUM(D21*J16)/L33,0)</f>
        <v>46</v>
      </c>
      <c r="P33" s="15">
        <f t="shared" si="3"/>
        <v>4140</v>
      </c>
      <c r="Q33" s="39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110</v>
      </c>
      <c r="J34" s="15">
        <v>37.5</v>
      </c>
      <c r="K34" s="15" t="s">
        <v>65</v>
      </c>
      <c r="L34" s="15">
        <v>7.5</v>
      </c>
      <c r="M34" s="15" t="s">
        <v>165</v>
      </c>
      <c r="N34" s="15">
        <v>90</v>
      </c>
      <c r="O34" s="39">
        <f>ROUNDDOWN(SUM(D21*J17)/L34,0)</f>
        <v>34</v>
      </c>
      <c r="P34" s="15">
        <f t="shared" si="3"/>
        <v>3060</v>
      </c>
      <c r="Q34" s="39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2" t="s">
        <v>193</v>
      </c>
      <c r="J36" s="32" t="s">
        <v>192</v>
      </c>
      <c r="K36" s="32" t="s">
        <v>190</v>
      </c>
      <c r="L36" s="32" t="s">
        <v>194</v>
      </c>
      <c r="M36" s="32" t="s">
        <v>192</v>
      </c>
      <c r="N36" s="32" t="s">
        <v>198</v>
      </c>
      <c r="O36" s="32" t="s">
        <v>191</v>
      </c>
      <c r="P36" s="33" t="s">
        <v>167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2" t="s">
        <v>188</v>
      </c>
      <c r="J37" s="32">
        <v>0.5</v>
      </c>
      <c r="K37" s="32" t="e">
        <f>ROUNDDOWN(SUM((D22*0.5)/27.5),0)</f>
        <v>#VALUE!</v>
      </c>
      <c r="L37" s="32" t="s">
        <v>189</v>
      </c>
      <c r="M37" s="32">
        <v>1</v>
      </c>
      <c r="N37" s="32">
        <f>ROUNDDOWN(SUM((P32*1)/27.5),0)</f>
        <v>21</v>
      </c>
      <c r="O37" s="32" t="e">
        <f>IF(K37&gt;N37,N37,K37)</f>
        <v>#VALUE!</v>
      </c>
      <c r="P37" s="32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2" t="s">
        <v>187</v>
      </c>
      <c r="J38" s="32">
        <v>0.7</v>
      </c>
      <c r="K38" s="32">
        <f>ROUNDDOWN(SUM((D16*J38)/20),0)</f>
        <v>16</v>
      </c>
      <c r="L38" s="32" t="s">
        <v>185</v>
      </c>
      <c r="M38" s="32">
        <v>0.25</v>
      </c>
      <c r="N38" s="32">
        <f>ROUNDDOWN(SUM((P30*M38)/28),0)</f>
        <v>8</v>
      </c>
      <c r="O38" s="32">
        <f t="shared" ref="O38:O40" si="5">IF(K38&gt;N38,N38,K38)</f>
        <v>8</v>
      </c>
      <c r="P38" s="32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2" t="s">
        <v>186</v>
      </c>
      <c r="J39" s="32">
        <v>1</v>
      </c>
      <c r="K39" s="32">
        <f>ROUNDDOWN(SUM((R29*1)/2),0)</f>
        <v>28</v>
      </c>
      <c r="L39" s="32" t="s">
        <v>184</v>
      </c>
      <c r="M39" s="32">
        <v>0.15</v>
      </c>
      <c r="N39" s="32">
        <f>ROUNDDOWN(SUM((P30*M39)/10),0)</f>
        <v>14</v>
      </c>
      <c r="O39" s="32">
        <f t="shared" si="5"/>
        <v>14</v>
      </c>
      <c r="P39" s="32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2" t="s">
        <v>181</v>
      </c>
      <c r="J40" s="32">
        <v>0.8</v>
      </c>
      <c r="K40" s="32">
        <f>ROUNDDOWN(SUM((R33*J40)/40),0)</f>
        <v>28</v>
      </c>
      <c r="L40" s="32" t="s">
        <v>182</v>
      </c>
      <c r="M40" s="32">
        <v>0.25</v>
      </c>
      <c r="N40" s="32">
        <f>ROUNDDOWN(SUM((P30*M40)/15),0)</f>
        <v>16</v>
      </c>
      <c r="O40" s="32">
        <f t="shared" si="5"/>
        <v>16</v>
      </c>
      <c r="P40" s="32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2" t="s">
        <v>180</v>
      </c>
      <c r="J41" s="32">
        <v>0.2</v>
      </c>
      <c r="K41" s="32">
        <f>ROUNDDOWN(SUM((R33*J41)/30),0)</f>
        <v>9</v>
      </c>
      <c r="L41" s="32" t="s">
        <v>183</v>
      </c>
      <c r="M41" s="32">
        <v>0.17</v>
      </c>
      <c r="N41" s="32">
        <f>ROUNDDOWN(SUM((P30*M41)/10),0)</f>
        <v>16</v>
      </c>
      <c r="O41" s="32">
        <v>16</v>
      </c>
      <c r="P41" s="32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2" t="s">
        <v>195</v>
      </c>
      <c r="J42" s="32">
        <v>1</v>
      </c>
      <c r="K42" s="32">
        <v>2</v>
      </c>
      <c r="L42" s="32" t="s">
        <v>196</v>
      </c>
      <c r="M42" s="32">
        <v>1</v>
      </c>
      <c r="N42" s="32">
        <f>SUM(O41/2)</f>
        <v>8</v>
      </c>
      <c r="O42" s="32">
        <v>8</v>
      </c>
      <c r="P42" s="32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0" t="s">
        <v>177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3" t="s">
        <v>168</v>
      </c>
      <c r="K46" s="16" t="s">
        <v>111</v>
      </c>
      <c r="L46" s="16" t="s">
        <v>161</v>
      </c>
      <c r="M46" s="16" t="s">
        <v>112</v>
      </c>
      <c r="N46" s="16" t="s">
        <v>164</v>
      </c>
      <c r="O46" s="16" t="s">
        <v>114</v>
      </c>
      <c r="P46" s="16" t="s">
        <v>163</v>
      </c>
      <c r="Q46" s="16" t="s">
        <v>113</v>
      </c>
      <c r="R46" s="33" t="s">
        <v>167</v>
      </c>
      <c r="S46" s="33" t="s">
        <v>197</v>
      </c>
    </row>
    <row r="47" spans="3:19">
      <c r="C47" s="15" t="s">
        <v>113</v>
      </c>
      <c r="D47" s="15">
        <v>19</v>
      </c>
      <c r="E47" s="15">
        <f>SUM(E28:E46)</f>
        <v>2400</v>
      </c>
      <c r="F47" s="15"/>
      <c r="I47" s="15" t="s">
        <v>153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92</v>
      </c>
      <c r="O47" s="15">
        <v>12.5</v>
      </c>
      <c r="P47" s="15" t="e">
        <f>O37</f>
        <v>#VALUE!</v>
      </c>
      <c r="Q47" s="15" t="e">
        <f t="shared" ref="Q47:Q52" si="6">O47*P47</f>
        <v>#VALUE!</v>
      </c>
      <c r="R47" s="15">
        <v>15</v>
      </c>
      <c r="S47" s="15" t="e">
        <f t="shared" ref="S47:S52" si="7">Q47-J47</f>
        <v>#VALUE!</v>
      </c>
    </row>
    <row r="48" spans="3:19">
      <c r="C48" s="51" t="s">
        <v>24</v>
      </c>
      <c r="D48" s="52"/>
      <c r="E48" s="52"/>
      <c r="F48" s="53"/>
      <c r="I48" s="15" t="s">
        <v>214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122</v>
      </c>
      <c r="D49" s="15" t="s">
        <v>123</v>
      </c>
      <c r="E49" s="15" t="s">
        <v>124</v>
      </c>
      <c r="F49" s="15"/>
      <c r="I49" s="15" t="s">
        <v>154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199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134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85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134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200</v>
      </c>
      <c r="M52" s="15">
        <v>10</v>
      </c>
      <c r="N52" s="15" t="s">
        <v>201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  <c r="I53" s="15" t="s">
        <v>134</v>
      </c>
      <c r="J53" s="15"/>
    </row>
    <row r="54" spans="3:19">
      <c r="C54" s="15">
        <v>60</v>
      </c>
      <c r="D54" s="15">
        <v>2</v>
      </c>
      <c r="E54" s="15">
        <f t="shared" si="8"/>
        <v>120</v>
      </c>
      <c r="F54" s="15"/>
      <c r="I54" s="15" t="s">
        <v>135</v>
      </c>
      <c r="J54" s="15"/>
    </row>
    <row r="55" spans="3:19">
      <c r="C55" s="15">
        <v>120</v>
      </c>
      <c r="D55" s="15">
        <v>2</v>
      </c>
      <c r="E55" s="15">
        <f t="shared" si="8"/>
        <v>240</v>
      </c>
      <c r="F55" s="15"/>
      <c r="I55" s="15" t="s">
        <v>215</v>
      </c>
      <c r="J55" s="15"/>
    </row>
    <row r="56" spans="3:19">
      <c r="C56" s="15" t="s">
        <v>113</v>
      </c>
      <c r="D56" s="15"/>
      <c r="E56" s="15">
        <f>SUM(E50:E55)</f>
        <v>1200</v>
      </c>
      <c r="F56" s="15"/>
      <c r="I56" s="15" t="s">
        <v>77</v>
      </c>
      <c r="J56" s="15"/>
    </row>
    <row r="57" spans="3:19">
      <c r="C57" s="51" t="s">
        <v>8</v>
      </c>
      <c r="D57" s="52"/>
      <c r="E57" s="52"/>
      <c r="F57" s="53"/>
      <c r="I57" s="15" t="s">
        <v>3</v>
      </c>
      <c r="J57" s="15">
        <f>R31</f>
        <v>75</v>
      </c>
    </row>
    <row r="58" spans="3:19">
      <c r="C58" s="15" t="s">
        <v>122</v>
      </c>
      <c r="D58" s="15" t="s">
        <v>123</v>
      </c>
      <c r="E58" s="15" t="s">
        <v>124</v>
      </c>
      <c r="F58" s="15"/>
      <c r="I58" s="15" t="s">
        <v>19</v>
      </c>
      <c r="J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113</v>
      </c>
      <c r="D73" s="15"/>
      <c r="E73" s="15">
        <f>SUM(E59:E72)</f>
        <v>1440</v>
      </c>
      <c r="F73" s="15"/>
      <c r="S73" s="18"/>
    </row>
    <row r="74" spans="3:19">
      <c r="C74" s="51" t="s">
        <v>7</v>
      </c>
      <c r="D74" s="52"/>
      <c r="E74" s="52"/>
      <c r="F74" s="53"/>
      <c r="S74" s="18"/>
    </row>
    <row r="75" spans="3:19">
      <c r="C75" s="15" t="s">
        <v>122</v>
      </c>
      <c r="D75" s="15" t="s">
        <v>123</v>
      </c>
      <c r="E75" s="15" t="s">
        <v>124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113</v>
      </c>
      <c r="D78" s="15"/>
      <c r="E78" s="15">
        <f>SUM(E76:E77)</f>
        <v>1200</v>
      </c>
      <c r="F78" s="15"/>
    </row>
    <row r="79" spans="3:19">
      <c r="C79" s="51" t="s">
        <v>131</v>
      </c>
      <c r="D79" s="52"/>
      <c r="E79" s="52"/>
      <c r="F79" s="53"/>
    </row>
    <row r="80" spans="3:19">
      <c r="C80" s="15" t="s">
        <v>122</v>
      </c>
      <c r="D80" s="15" t="s">
        <v>123</v>
      </c>
      <c r="E80" s="15" t="s">
        <v>124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113</v>
      </c>
      <c r="D83" s="15"/>
      <c r="E83" s="15">
        <f>SUM(E81:E82)</f>
        <v>1200</v>
      </c>
      <c r="F83" s="15"/>
    </row>
    <row r="84" spans="3:6">
      <c r="C84" s="51" t="s">
        <v>17</v>
      </c>
      <c r="D84" s="52"/>
      <c r="E84" s="52"/>
      <c r="F84" s="53"/>
    </row>
    <row r="85" spans="3:6">
      <c r="C85" s="15" t="s">
        <v>122</v>
      </c>
      <c r="D85" s="15" t="s">
        <v>123</v>
      </c>
      <c r="E85" s="15" t="s">
        <v>124</v>
      </c>
      <c r="F85" s="15"/>
    </row>
    <row r="86" spans="3:6">
      <c r="C86" s="15">
        <v>120</v>
      </c>
      <c r="D86" s="15">
        <v>2.5</v>
      </c>
      <c r="E86" s="15">
        <f>C86*D86</f>
        <v>300</v>
      </c>
      <c r="F86" s="15"/>
    </row>
    <row r="87" spans="3:6">
      <c r="C87" s="15" t="s">
        <v>113</v>
      </c>
      <c r="D87" s="15"/>
      <c r="E87" s="15">
        <f>SUM(E86:E86)</f>
        <v>300</v>
      </c>
      <c r="F87" s="15"/>
    </row>
    <row r="88" spans="3:6">
      <c r="C88" s="51" t="s">
        <v>97</v>
      </c>
      <c r="D88" s="52"/>
      <c r="E88" s="52"/>
      <c r="F88" s="53"/>
    </row>
    <row r="89" spans="3:6">
      <c r="C89" s="15" t="s">
        <v>122</v>
      </c>
      <c r="D89" s="15" t="s">
        <v>123</v>
      </c>
      <c r="E89" s="15" t="s">
        <v>124</v>
      </c>
      <c r="F89" s="15"/>
    </row>
    <row r="90" spans="3:6">
      <c r="C90" s="15">
        <v>240</v>
      </c>
      <c r="D90" s="15">
        <v>2.5</v>
      </c>
      <c r="E90" s="15">
        <f>D90*C90</f>
        <v>600</v>
      </c>
      <c r="F90" s="15"/>
    </row>
    <row r="91" spans="3:6">
      <c r="C91" s="15">
        <v>240</v>
      </c>
      <c r="D91" s="15">
        <v>2.5</v>
      </c>
      <c r="E91" s="15">
        <f>C91*D91</f>
        <v>600</v>
      </c>
      <c r="F91" s="15"/>
    </row>
    <row r="92" spans="3:6">
      <c r="C92" s="15" t="s">
        <v>113</v>
      </c>
      <c r="D92" s="15"/>
      <c r="E92" s="15">
        <f>SUM(E90:E91)</f>
        <v>1200</v>
      </c>
      <c r="F92" s="15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2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AgendaToDo</vt:lpstr>
      <vt:lpstr>TierLocationOrganization</vt:lpstr>
      <vt:lpstr>Diagrams</vt:lpstr>
      <vt:lpstr>SteelLakeSite</vt:lpstr>
      <vt:lpstr>OffshoreMegaRefinery</vt:lpstr>
      <vt:lpstr>SWNitrogenFacility</vt:lpstr>
      <vt:lpstr>SilicaCaveSite</vt:lpstr>
      <vt:lpstr>GrasslandTrainHubStations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2022-04-06T05:54:56Z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