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fund\Repositories\CodeBase\Documents\"/>
    </mc:Choice>
  </mc:AlternateContent>
  <xr:revisionPtr revIDLastSave="0" documentId="13_ncr:1_{1E131E49-4E21-49AA-9DCC-C29C64E3650A}" xr6:coauthVersionLast="47" xr6:coauthVersionMax="47" xr10:uidLastSave="{00000000-0000-0000-0000-000000000000}"/>
  <bookViews>
    <workbookView xWindow="-120" yWindow="-120" windowWidth="29040" windowHeight="15720" tabRatio="780" activeTab="2" xr2:uid="{16EA9A20-0D63-4694-8194-00B2147553CC}"/>
  </bookViews>
  <sheets>
    <sheet name="AgendaToDo" sheetId="8" r:id="rId1"/>
    <sheet name="TierLocationOrganization" sheetId="1" r:id="rId2"/>
    <sheet name="Diagrams" sheetId="2" r:id="rId3"/>
    <sheet name="SteelLakeSite" sheetId="17" r:id="rId4"/>
    <sheet name="OffshoreMegaRefinery" sheetId="16" r:id="rId5"/>
    <sheet name="SWNitrogenFacility" sheetId="14" r:id="rId6"/>
    <sheet name="SilicaCaveSite" sheetId="13" r:id="rId7"/>
    <sheet name="GrasslandTrainHubStations" sheetId="9" r:id="rId8"/>
    <sheet name="GrasslandRegionalProduction" sheetId="6" r:id="rId9"/>
    <sheet name="MinerOutputValues" sheetId="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5" i="17" l="1"/>
  <c r="P34" i="17"/>
  <c r="P36" i="17"/>
  <c r="P33" i="17"/>
  <c r="P32" i="17"/>
  <c r="P27" i="17"/>
  <c r="P28" i="17"/>
  <c r="P26" i="17"/>
  <c r="P29" i="17" s="1"/>
  <c r="P7" i="17" s="1"/>
  <c r="P22" i="17"/>
  <c r="P21" i="17"/>
  <c r="P12" i="17"/>
  <c r="P13" i="17"/>
  <c r="P14" i="17"/>
  <c r="P15" i="17"/>
  <c r="P16" i="17"/>
  <c r="P17" i="17"/>
  <c r="P11" i="17"/>
  <c r="J57" i="6"/>
  <c r="N42" i="6"/>
  <c r="N41" i="6"/>
  <c r="N40" i="6"/>
  <c r="N39" i="6"/>
  <c r="N38" i="6"/>
  <c r="N37" i="6"/>
  <c r="R30" i="6"/>
  <c r="P30" i="6"/>
  <c r="O10" i="6"/>
  <c r="O9" i="6"/>
  <c r="O8" i="6"/>
  <c r="O7" i="6"/>
  <c r="N10" i="6"/>
  <c r="N9" i="6"/>
  <c r="N8" i="6"/>
  <c r="M10" i="6"/>
  <c r="M9" i="6"/>
  <c r="M8" i="6"/>
  <c r="M7" i="6"/>
  <c r="E53" i="6"/>
  <c r="E54" i="6"/>
  <c r="J52" i="6"/>
  <c r="J51" i="6" s="1"/>
  <c r="J49" i="6"/>
  <c r="J48" i="6"/>
  <c r="J47" i="6"/>
  <c r="I11" i="6"/>
  <c r="F21" i="6" s="1"/>
  <c r="I10" i="6"/>
  <c r="E21" i="6" s="1"/>
  <c r="H11" i="6"/>
  <c r="F22" i="6" s="1"/>
  <c r="E90" i="6"/>
  <c r="E91" i="6"/>
  <c r="R26" i="6"/>
  <c r="R27" i="6"/>
  <c r="R28" i="6"/>
  <c r="R29" i="6"/>
  <c r="K39" i="6" s="1"/>
  <c r="R31" i="6"/>
  <c r="R32" i="6"/>
  <c r="R33" i="6"/>
  <c r="K41" i="6" s="1"/>
  <c r="R34" i="6"/>
  <c r="R25" i="6"/>
  <c r="P27" i="6"/>
  <c r="S27" i="6" s="1"/>
  <c r="P28" i="6"/>
  <c r="S28" i="6" s="1"/>
  <c r="P26" i="6"/>
  <c r="P25" i="6"/>
  <c r="S25" i="6" s="1"/>
  <c r="J11" i="6"/>
  <c r="J10" i="6"/>
  <c r="E86" i="6"/>
  <c r="H10" i="6"/>
  <c r="E23" i="6" s="1"/>
  <c r="E82" i="6"/>
  <c r="E81" i="6"/>
  <c r="Q7" i="6"/>
  <c r="E77" i="6"/>
  <c r="E76" i="6"/>
  <c r="E72" i="6"/>
  <c r="E71" i="6"/>
  <c r="E70" i="6"/>
  <c r="E69" i="6"/>
  <c r="E68" i="6"/>
  <c r="E67" i="6"/>
  <c r="E65" i="6"/>
  <c r="E64" i="6"/>
  <c r="E63" i="6"/>
  <c r="E62" i="6"/>
  <c r="E61" i="6"/>
  <c r="E60" i="6"/>
  <c r="E59" i="6"/>
  <c r="E55" i="6"/>
  <c r="E52" i="6"/>
  <c r="E51" i="6"/>
  <c r="E50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28" i="6"/>
  <c r="P37" i="17" l="1"/>
  <c r="Q7" i="17" s="1"/>
  <c r="P23" i="17"/>
  <c r="O7" i="17" s="1"/>
  <c r="P18" i="17"/>
  <c r="N7" i="17" s="1"/>
  <c r="J50" i="6"/>
  <c r="P50" i="6"/>
  <c r="Q50" i="6" s="1"/>
  <c r="P49" i="6"/>
  <c r="Q49" i="6" s="1"/>
  <c r="S49" i="6" s="1"/>
  <c r="S26" i="6"/>
  <c r="F23" i="6"/>
  <c r="E22" i="6"/>
  <c r="K40" i="6"/>
  <c r="O40" i="6" s="1"/>
  <c r="E92" i="6"/>
  <c r="I9" i="6" s="1"/>
  <c r="D21" i="6" s="1"/>
  <c r="E87" i="6"/>
  <c r="J9" i="6" s="1"/>
  <c r="E83" i="6"/>
  <c r="H9" i="6" s="1"/>
  <c r="E73" i="6"/>
  <c r="F9" i="6" s="1"/>
  <c r="D16" i="6" s="1"/>
  <c r="E47" i="6"/>
  <c r="D9" i="6" s="1"/>
  <c r="E78" i="6"/>
  <c r="G9" i="6" s="1"/>
  <c r="D18" i="6" s="1"/>
  <c r="E56" i="6"/>
  <c r="E9" i="6" s="1"/>
  <c r="D17" i="6" s="1"/>
  <c r="O32" i="6" s="1"/>
  <c r="P32" i="6" s="1"/>
  <c r="S32" i="6" s="1"/>
  <c r="D11" i="6"/>
  <c r="E11" i="6"/>
  <c r="F17" i="6" s="1"/>
  <c r="G10" i="6"/>
  <c r="E18" i="6" s="1"/>
  <c r="F10" i="6"/>
  <c r="E16" i="6" s="1"/>
  <c r="P7" i="6" s="1"/>
  <c r="E10" i="6"/>
  <c r="E17" i="6" s="1"/>
  <c r="D10" i="6"/>
  <c r="F11" i="6"/>
  <c r="F16" i="6" s="1"/>
  <c r="G11" i="6"/>
  <c r="F18" i="6" s="1"/>
  <c r="S50" i="6" l="1"/>
  <c r="P51" i="6"/>
  <c r="Q51" i="6" s="1"/>
  <c r="S51" i="6" s="1"/>
  <c r="P52" i="6"/>
  <c r="Q52" i="6" s="1"/>
  <c r="S52" i="6" s="1"/>
  <c r="O39" i="6"/>
  <c r="O31" i="6"/>
  <c r="P31" i="6" s="1"/>
  <c r="S31" i="6" s="1"/>
  <c r="O30" i="6"/>
  <c r="S30" i="6" s="1"/>
  <c r="O33" i="6"/>
  <c r="P33" i="6" s="1"/>
  <c r="S33" i="6" s="1"/>
  <c r="O34" i="6"/>
  <c r="P34" i="6" s="1"/>
  <c r="S34" i="6" s="1"/>
  <c r="N7" i="6"/>
  <c r="K38" i="6"/>
  <c r="O38" i="6" s="1"/>
  <c r="P48" i="6" s="1"/>
  <c r="Q48" i="6" s="1"/>
  <c r="S48" i="6" s="1"/>
  <c r="D23" i="6"/>
  <c r="G23" i="6" s="1"/>
  <c r="K37" i="6"/>
  <c r="O37" i="6" s="1"/>
  <c r="P47" i="6" s="1"/>
  <c r="Q47" i="6" s="1"/>
  <c r="S47" i="6" s="1"/>
  <c r="E19" i="6"/>
  <c r="E20" i="6" s="1"/>
  <c r="F19" i="6"/>
  <c r="F20" i="6" s="1"/>
  <c r="D19" i="6"/>
  <c r="D20" i="6" s="1"/>
  <c r="O29" i="6" s="1"/>
  <c r="S29" i="6" s="1"/>
  <c r="Q8" i="6" l="1"/>
  <c r="P8" i="6"/>
</calcChain>
</file>

<file path=xl/sharedStrings.xml><?xml version="1.0" encoding="utf-8"?>
<sst xmlns="http://schemas.openxmlformats.org/spreadsheetml/2006/main" count="762" uniqueCount="352">
  <si>
    <t>Raw Materials</t>
  </si>
  <si>
    <t>Iron Ore</t>
  </si>
  <si>
    <t>--&gt;</t>
  </si>
  <si>
    <t>Steel Beams</t>
  </si>
  <si>
    <t>Copper Ore</t>
  </si>
  <si>
    <t>Caterium Ingots</t>
  </si>
  <si>
    <t>Steel Pipe</t>
  </si>
  <si>
    <t>Coal</t>
  </si>
  <si>
    <t>Limestone</t>
  </si>
  <si>
    <t>Crude Oil</t>
  </si>
  <si>
    <t>Water</t>
  </si>
  <si>
    <t>Plastic</t>
  </si>
  <si>
    <t>Motors</t>
  </si>
  <si>
    <t>Raw Quartz</t>
  </si>
  <si>
    <t>Rubber</t>
  </si>
  <si>
    <t>Caterium Ore</t>
  </si>
  <si>
    <t>Concrete</t>
  </si>
  <si>
    <t>Sulfur</t>
  </si>
  <si>
    <t>Silica</t>
  </si>
  <si>
    <t>Copper Sheets</t>
  </si>
  <si>
    <t>Stators</t>
  </si>
  <si>
    <t>Crystal Oscillators</t>
  </si>
  <si>
    <t>Alclad Aluminum Sheets</t>
  </si>
  <si>
    <t>Iron</t>
  </si>
  <si>
    <t>Copper</t>
  </si>
  <si>
    <t>Steel Ingots (Solid Steel Ingots)</t>
  </si>
  <si>
    <t>^^^^, 100% to Steel</t>
  </si>
  <si>
    <t>Copper Ingots (Copper Alloy)</t>
  </si>
  <si>
    <t>Wire (Fused w / Caterium)</t>
  </si>
  <si>
    <t>Reinforced Iron Plate (Stitched Iron plate</t>
  </si>
  <si>
    <t>Encased Industrial Beams (Encased Industrial Pipes)</t>
  </si>
  <si>
    <t>Heavy Modular Frame (Heavy Encased Frame)</t>
  </si>
  <si>
    <t>Screws (Iron Leftover)</t>
  </si>
  <si>
    <t>Rods (Iron Leftover)</t>
  </si>
  <si>
    <t>Iron Plate (Iron Leftover)</t>
  </si>
  <si>
    <t>Circuit Boards (Silicon Circuit Boards)</t>
  </si>
  <si>
    <t>Rotors (Steel Rotors)</t>
  </si>
  <si>
    <t>Modular Frame (Steeled Frame)</t>
  </si>
  <si>
    <t>Sulfuric Acid</t>
  </si>
  <si>
    <t>Battery</t>
  </si>
  <si>
    <t>Heavy Oil - &gt;Petroleum Coke</t>
  </si>
  <si>
    <t>Pure Aluminum Ingot</t>
  </si>
  <si>
    <t>Empty Fluid Tank</t>
  </si>
  <si>
    <t>Aluminum Casing</t>
  </si>
  <si>
    <t>Heat Sink(Heat Exchanger)</t>
  </si>
  <si>
    <t>Computer(Caterium Computer</t>
  </si>
  <si>
    <t>Super Computer(Super-State Computer)</t>
  </si>
  <si>
    <t>Radio Control Unit ( Radio Connection Unit)</t>
  </si>
  <si>
    <t>High-Speed Connector (Silicon High-Speed Connector)</t>
  </si>
  <si>
    <t>Turbo Motor(Turbo Pressure Motor)</t>
  </si>
  <si>
    <t>Multiplier</t>
  </si>
  <si>
    <t>Mk</t>
  </si>
  <si>
    <t>Miner Mk Multiplier</t>
  </si>
  <si>
    <t>Shards</t>
  </si>
  <si>
    <t>Shard Multiplier</t>
  </si>
  <si>
    <t>Pure</t>
  </si>
  <si>
    <t>Normal</t>
  </si>
  <si>
    <t>Impure</t>
  </si>
  <si>
    <t>Value</t>
  </si>
  <si>
    <t>Type</t>
  </si>
  <si>
    <t>Base Output</t>
  </si>
  <si>
    <t>Miner Output Values and Multipliers</t>
  </si>
  <si>
    <t>Steel Ingot</t>
  </si>
  <si>
    <t>Iron Ingot from Excess</t>
  </si>
  <si>
    <t>Remainder Iron Ore</t>
  </si>
  <si>
    <t>Copper Ingot</t>
  </si>
  <si>
    <t>Amount</t>
  </si>
  <si>
    <t>Current Output</t>
  </si>
  <si>
    <t>Iron Ignot Modules</t>
  </si>
  <si>
    <t xml:space="preserve">Concrete Modules </t>
  </si>
  <si>
    <t>FloorsForMax</t>
  </si>
  <si>
    <t>Floor Output</t>
  </si>
  <si>
    <t>Module Type</t>
  </si>
  <si>
    <t>Stitched Plates</t>
  </si>
  <si>
    <t>Fused Wire</t>
  </si>
  <si>
    <t>Fused Quickwire</t>
  </si>
  <si>
    <t>Quickwire (Fused Quickwire)</t>
  </si>
  <si>
    <t>Steel Pipes</t>
  </si>
  <si>
    <t>A.I. Limiters(Storage Leftover)</t>
  </si>
  <si>
    <t xml:space="preserve">Fused Wire </t>
  </si>
  <si>
    <t>Steeled Frame</t>
  </si>
  <si>
    <t>Computers</t>
  </si>
  <si>
    <t>Motors (Stator + Rotor)</t>
  </si>
  <si>
    <t>Steel Rotors (Pipes, Wire)</t>
  </si>
  <si>
    <t>Stator (Pipes + Wire)</t>
  </si>
  <si>
    <t>Rotors</t>
  </si>
  <si>
    <t>Steel Frame</t>
  </si>
  <si>
    <t xml:space="preserve">Wire </t>
  </si>
  <si>
    <t>QuickWire</t>
  </si>
  <si>
    <t>Steel Beams (Excess Only)</t>
  </si>
  <si>
    <t>Encased Industrial Pipes</t>
  </si>
  <si>
    <t xml:space="preserve">Sites to Build , Oil Production Center: </t>
  </si>
  <si>
    <t>Copper Sheet</t>
  </si>
  <si>
    <t>Dropoff Input</t>
  </si>
  <si>
    <t>H.Frames</t>
  </si>
  <si>
    <t>Steel (2 Sites)</t>
  </si>
  <si>
    <t>Iron (1 Site)</t>
  </si>
  <si>
    <t>Caterium</t>
  </si>
  <si>
    <t>Concrete 2 Int Sites</t>
  </si>
  <si>
    <t>Steel Inogt Module</t>
  </si>
  <si>
    <t>Copper Ingot Module</t>
  </si>
  <si>
    <t>Iron Rod Module</t>
  </si>
  <si>
    <t>Cable Module</t>
  </si>
  <si>
    <t>Iron Plate Module</t>
  </si>
  <si>
    <t>Screws Production</t>
  </si>
  <si>
    <t>Reinforced Plate Production</t>
  </si>
  <si>
    <t>Steel Pipe Production</t>
  </si>
  <si>
    <t>Steel Beam Production</t>
  </si>
  <si>
    <t>Copper Sheet Production</t>
  </si>
  <si>
    <t>Wire Production</t>
  </si>
  <si>
    <t>Quickwire Production</t>
  </si>
  <si>
    <t xml:space="preserve">Input </t>
  </si>
  <si>
    <t>Input 2</t>
  </si>
  <si>
    <t>Total Output</t>
  </si>
  <si>
    <t>OutputPer</t>
  </si>
  <si>
    <t>Grassland Regional Production</t>
  </si>
  <si>
    <t>Current Max</t>
  </si>
  <si>
    <t>Max w/ Mk3 Miners</t>
  </si>
  <si>
    <t>Smelting Output Potential</t>
  </si>
  <si>
    <t>CurrentMax</t>
  </si>
  <si>
    <t>Mk3Max</t>
  </si>
  <si>
    <t>Current Miner Production</t>
  </si>
  <si>
    <t>Quality</t>
  </si>
  <si>
    <t>Shard Multiplyer</t>
  </si>
  <si>
    <t>Output Total</t>
  </si>
  <si>
    <t>Current Production</t>
  </si>
  <si>
    <t>FloorsPer600Line</t>
  </si>
  <si>
    <t>IronIngot</t>
  </si>
  <si>
    <t>CopperIngot</t>
  </si>
  <si>
    <t>CateriumIngot</t>
  </si>
  <si>
    <t>SteelIngot</t>
  </si>
  <si>
    <t>Quartz</t>
  </si>
  <si>
    <t>Fabric</t>
  </si>
  <si>
    <t>CopperSheet</t>
  </si>
  <si>
    <t>Wire</t>
  </si>
  <si>
    <t>Quickwire</t>
  </si>
  <si>
    <t>SteelPipes</t>
  </si>
  <si>
    <t>SteelBeams</t>
  </si>
  <si>
    <t>EncasedBeams</t>
  </si>
  <si>
    <t>ModFrames</t>
  </si>
  <si>
    <t>CircuitBoards</t>
  </si>
  <si>
    <t>High-Speed Connectors</t>
  </si>
  <si>
    <t>Heat Exchanger</t>
  </si>
  <si>
    <t>Sulfiric Acid</t>
  </si>
  <si>
    <t>Aluminum Scrap</t>
  </si>
  <si>
    <t>Aluminum Ingot</t>
  </si>
  <si>
    <t>In</t>
  </si>
  <si>
    <t>Out</t>
  </si>
  <si>
    <t>----&gt;</t>
  </si>
  <si>
    <t>Station 2</t>
  </si>
  <si>
    <t>Station 3</t>
  </si>
  <si>
    <t>Station 4</t>
  </si>
  <si>
    <t>Boards</t>
  </si>
  <si>
    <t>Circuit Boards</t>
  </si>
  <si>
    <t>Modular Frames</t>
  </si>
  <si>
    <t>Encased Beam</t>
  </si>
  <si>
    <t>Pipes</t>
  </si>
  <si>
    <t xml:space="preserve">In </t>
  </si>
  <si>
    <t>Aluminum Eventually at Oil Fields, Soon, Almost out of Belts</t>
  </si>
  <si>
    <t>Heavy Frames</t>
  </si>
  <si>
    <t xml:space="preserve">Computers </t>
  </si>
  <si>
    <t>Input Type</t>
  </si>
  <si>
    <t>Iron Ingot</t>
  </si>
  <si>
    <t>Current#Possible</t>
  </si>
  <si>
    <t>Input 2 Type</t>
  </si>
  <si>
    <t>Caterium Ingot</t>
  </si>
  <si>
    <t>All Iron Remainder = R.Plates</t>
  </si>
  <si>
    <t>AcctualCurrent#</t>
  </si>
  <si>
    <t>ActualCurrentOutput</t>
  </si>
  <si>
    <t>Quartz Crystals</t>
  </si>
  <si>
    <t>Beams Steel %</t>
  </si>
  <si>
    <t>Pipes Steel %</t>
  </si>
  <si>
    <t>Fused QuickWire Caterium %</t>
  </si>
  <si>
    <t>Fused Wire Caterium %</t>
  </si>
  <si>
    <t>Copper Sheet Copper %</t>
  </si>
  <si>
    <t xml:space="preserve">Silica Quarts % </t>
  </si>
  <si>
    <t>Crystal Quarts %</t>
  </si>
  <si>
    <t>Processing T1 Output</t>
  </si>
  <si>
    <t>Raw Ore Input Potential</t>
  </si>
  <si>
    <t>Smelting Building Plan Estimates</t>
  </si>
  <si>
    <t>Rotors Wire %</t>
  </si>
  <si>
    <t xml:space="preserve">Stators Wire % </t>
  </si>
  <si>
    <t>Stators Steel Pipe %</t>
  </si>
  <si>
    <t>Rotors Steel Pipe %</t>
  </si>
  <si>
    <t>Modular Frames Steel Pipe %</t>
  </si>
  <si>
    <t xml:space="preserve">Encased Beam Steel Pipe % </t>
  </si>
  <si>
    <t>Modular Frames R. Plate %</t>
  </si>
  <si>
    <t>Encased Beams Concrete %</t>
  </si>
  <si>
    <t>Circuit Boards % Silica</t>
  </si>
  <si>
    <t>Circuit Board Copper Sheets %</t>
  </si>
  <si>
    <t>Machines Supported By Input A</t>
  </si>
  <si>
    <t>Most Machines Supported by Both</t>
  </si>
  <si>
    <t xml:space="preserve">Percent </t>
  </si>
  <si>
    <t>Input A</t>
  </si>
  <si>
    <t>Input B</t>
  </si>
  <si>
    <t>Motors Rotor %</t>
  </si>
  <si>
    <t>Motors Stator %</t>
  </si>
  <si>
    <t>Output Difference</t>
  </si>
  <si>
    <t>Machines Supported By Input B</t>
  </si>
  <si>
    <t>Reinforced Iron Plate</t>
  </si>
  <si>
    <t>Rotor</t>
  </si>
  <si>
    <t>Stator</t>
  </si>
  <si>
    <t>X</t>
  </si>
  <si>
    <t>Lines Out</t>
  </si>
  <si>
    <t>1 @600/M</t>
  </si>
  <si>
    <t>3@600/M</t>
  </si>
  <si>
    <t>3@780/M</t>
  </si>
  <si>
    <t>2@240/M</t>
  </si>
  <si>
    <t>1@160/M</t>
  </si>
  <si>
    <t>2  @425</t>
  </si>
  <si>
    <t>Smelting Hub Train Stations</t>
  </si>
  <si>
    <t>Stations 1</t>
  </si>
  <si>
    <t>Empty Platform</t>
  </si>
  <si>
    <t>Quartz Crystal</t>
  </si>
  <si>
    <t>Encased Beams</t>
  </si>
  <si>
    <t>Reinforced Plated</t>
  </si>
  <si>
    <t>600 Limestone</t>
  </si>
  <si>
    <t>1200 Quartz</t>
  </si>
  <si>
    <t>1 Line</t>
  </si>
  <si>
    <t xml:space="preserve">2 to 3 Balance </t>
  </si>
  <si>
    <t>1 Line to Cheap Silica</t>
  </si>
  <si>
    <t>2 Lines to Silica</t>
  </si>
  <si>
    <t>37 Constructors</t>
  </si>
  <si>
    <t>32 Assemblers</t>
  </si>
  <si>
    <t>5 Floors of 8</t>
  </si>
  <si>
    <t>4 Floors of 8</t>
  </si>
  <si>
    <t>2 Lines out</t>
  </si>
  <si>
    <t>4 to 3 Balancer</t>
  </si>
  <si>
    <t xml:space="preserve">2240 Silica Out </t>
  </si>
  <si>
    <t>4. Get to and Make Nitrogen Gas Site</t>
  </si>
  <si>
    <t>5. Work Towards Turbo Motors</t>
  </si>
  <si>
    <t>Overall Build Diagram</t>
  </si>
  <si>
    <t>Steel Site Diagram</t>
  </si>
  <si>
    <t>2. Rubber / Aluminum / Battery Off-Shore Site</t>
  </si>
  <si>
    <t>1. Coal Lake Steel Site</t>
  </si>
  <si>
    <t>High Speed Connectors</t>
  </si>
  <si>
    <t>T1 Processing Sites</t>
  </si>
  <si>
    <t>T1 Pickup</t>
  </si>
  <si>
    <t>T2 Pickup</t>
  </si>
  <si>
    <t>T2 Processing Sites</t>
  </si>
  <si>
    <t>T3 Site Dropoff Items</t>
  </si>
  <si>
    <t>Crystal Oscillators(For Storage)</t>
  </si>
  <si>
    <t>Computers Out</t>
  </si>
  <si>
    <t>Heavy Frames Out</t>
  </si>
  <si>
    <t>High Speed Connector Out</t>
  </si>
  <si>
    <t>Intermediate Materials Processing Tiers 1 &amp; 2</t>
  </si>
  <si>
    <t>Basic Materials (Tier 0)</t>
  </si>
  <si>
    <t>Transport (Train) to Tier 1&amp; 2 processing centers</t>
  </si>
  <si>
    <t>Transport (Train) to Central Tier 3 Center</t>
  </si>
  <si>
    <t>Advanced Materials Processing (Tier 3)</t>
  </si>
  <si>
    <t>Off-Shore Rig Diagram</t>
  </si>
  <si>
    <t>Grass Smelt Hub In A</t>
  </si>
  <si>
    <t>Grass Smelt Hub In B</t>
  </si>
  <si>
    <t>Grass Smelt Hub Out A</t>
  </si>
  <si>
    <t>Oil Site In</t>
  </si>
  <si>
    <t>Oil Site Out</t>
  </si>
  <si>
    <t>Batteries</t>
  </si>
  <si>
    <t>Grass T1 In</t>
  </si>
  <si>
    <t>Grass T1 Out</t>
  </si>
  <si>
    <t>Grass T2 In</t>
  </si>
  <si>
    <t>Grass T2 Out</t>
  </si>
  <si>
    <t>Super-State Computers</t>
  </si>
  <si>
    <t>Electromagnetic Control Rods</t>
  </si>
  <si>
    <t>Radio Connection Units</t>
  </si>
  <si>
    <t>Grass Smelter Special Out</t>
  </si>
  <si>
    <t xml:space="preserve">Grass Smelter Special In </t>
  </si>
  <si>
    <t>Grass T3 In A</t>
  </si>
  <si>
    <t>Grass T3 Out A</t>
  </si>
  <si>
    <t>AI-Limiters (Storage Only)</t>
  </si>
  <si>
    <t>Crystal Osclliators (Storage Only)</t>
  </si>
  <si>
    <t>Reinforced Plates</t>
  </si>
  <si>
    <t>Grass T2.5 Out</t>
  </si>
  <si>
    <t>Grass T2.5 In</t>
  </si>
  <si>
    <t>Cooling Systems</t>
  </si>
  <si>
    <t>Fused Frames</t>
  </si>
  <si>
    <t>****</t>
  </si>
  <si>
    <t>**** = Need Add</t>
  </si>
  <si>
    <t xml:space="preserve">Rework These </t>
  </si>
  <si>
    <t>Need Add 4 Stations</t>
  </si>
  <si>
    <t>Rework 2</t>
  </si>
  <si>
    <t>Heat Exchangers</t>
  </si>
  <si>
    <t>Alclad Aluminum Sheet</t>
  </si>
  <si>
    <t>Resource Allocation</t>
  </si>
  <si>
    <t>Iron Plate Iron %</t>
  </si>
  <si>
    <t>Rubber Oil %</t>
  </si>
  <si>
    <t>Plastic Oil %</t>
  </si>
  <si>
    <t>Fabric Oil %</t>
  </si>
  <si>
    <t>Classic Batteries</t>
  </si>
  <si>
    <t>AI Limiter</t>
  </si>
  <si>
    <t>Casing Aluminum %</t>
  </si>
  <si>
    <t>(Except 4 Constructors for Empty Cases)</t>
  </si>
  <si>
    <t>AI Limiter Sheet %</t>
  </si>
  <si>
    <t>AI Limiter Quickwire %</t>
  </si>
  <si>
    <t>(Make at Quickwire / Wire Site for Storage Quantities)</t>
  </si>
  <si>
    <t>Heat Sink Casing %</t>
  </si>
  <si>
    <t>Heat Sink Rubber %</t>
  </si>
  <si>
    <t>Alclad Sheets Alum Ingot</t>
  </si>
  <si>
    <t>Alclade Sheets Copper Ingot</t>
  </si>
  <si>
    <t>Spare for Belt Materials</t>
  </si>
  <si>
    <t>Crystal Oscilator Quartz %</t>
  </si>
  <si>
    <t>Crystal Oscilator R.Plate %</t>
  </si>
  <si>
    <t>Crystal Oscilator Cable %</t>
  </si>
  <si>
    <t>Storage Amount Only</t>
  </si>
  <si>
    <t>Cable (Iron Leftover)</t>
  </si>
  <si>
    <t>Cables</t>
  </si>
  <si>
    <t>Batteries Sulfur %</t>
  </si>
  <si>
    <t>Batteries Casing / Ingot %</t>
  </si>
  <si>
    <t>Computer C. Board %</t>
  </si>
  <si>
    <t>Computer C. Quickwire %</t>
  </si>
  <si>
    <t>High-Speed C.Board %</t>
  </si>
  <si>
    <t>High-Speed Quickwire %</t>
  </si>
  <si>
    <t>High-Speed Silica %</t>
  </si>
  <si>
    <t>Computer Rubber %</t>
  </si>
  <si>
    <t>Heavy Frames M. Frame %</t>
  </si>
  <si>
    <t>Heavy Frames Encased %</t>
  </si>
  <si>
    <t>Heavy Frames Steel Pipes %</t>
  </si>
  <si>
    <t>Heavy Frames Concrete %</t>
  </si>
  <si>
    <t>Sheets, Silica, Quickwire only go to Computers, H.Speed, Boards</t>
  </si>
  <si>
    <t>Add Rubber, and make a mega Computer Site?!</t>
  </si>
  <si>
    <t>Electromagnetic Rod</t>
  </si>
  <si>
    <t>Electromagnetic Rod  Stator %</t>
  </si>
  <si>
    <t>Electromagnetic Rod  H.Speed %</t>
  </si>
  <si>
    <t>Tier 4 Dropoff</t>
  </si>
  <si>
    <t>Supercomputer Elctro Rod %</t>
  </si>
  <si>
    <t>Supercomputer , Computer %</t>
  </si>
  <si>
    <t>Supercomputer , Battery %</t>
  </si>
  <si>
    <t>Supercomputer, Wire %</t>
  </si>
  <si>
    <t>(Send .2 Batteries for Drones)</t>
  </si>
  <si>
    <t xml:space="preserve">(Parallel to Super Computer Site, Send Over) </t>
  </si>
  <si>
    <t>Radio Connection Crystal %</t>
  </si>
  <si>
    <t>Radio Connection High Speed %</t>
  </si>
  <si>
    <t>Radio Connection Heat Sink %</t>
  </si>
  <si>
    <t>Nitrogen Gas</t>
  </si>
  <si>
    <t>Cooling System , Motors %</t>
  </si>
  <si>
    <t>Cooling System , Heat Exchangers %</t>
  </si>
  <si>
    <t>Cooling System , Nitrogen %</t>
  </si>
  <si>
    <t>Fused Frames, Casing %</t>
  </si>
  <si>
    <t>Fused Frames, Nitrogen %</t>
  </si>
  <si>
    <t>Fused Frames, H.Frame %</t>
  </si>
  <si>
    <t>Empty Cases</t>
  </si>
  <si>
    <t>Packaged Nitrogen Gas</t>
  </si>
  <si>
    <t>Packaged Gas , Nitrogen %</t>
  </si>
  <si>
    <t>Packaged Gas, Empty Container %</t>
  </si>
  <si>
    <t>Turbo Motor</t>
  </si>
  <si>
    <t>Turbo Motor Dropoff</t>
  </si>
  <si>
    <t>Turbo Motor, Radio %</t>
  </si>
  <si>
    <t>Turbo Motor, Fused Frame %</t>
  </si>
  <si>
    <t>Turbo Motor, Motor %</t>
  </si>
  <si>
    <t>Turbo Motor, Packaged Nitrogen %</t>
  </si>
  <si>
    <t>Turbo Motor, Stator %</t>
  </si>
  <si>
    <t>w</t>
  </si>
  <si>
    <t>Miner 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</si>
</sst>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b/>
      <i/>
      <sz val="11"/>
      <color rgb="FF1A1A1B"/>
      <name val="Inherit"/>
    </font>
    <font>
      <sz val="11"/>
      <color rgb="FF1A1A1B"/>
      <name val="Noto Sans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rgb="FF1A1A1B"/>
      <name val="Inherit"/>
    </font>
    <font>
      <b/>
      <sz val="14"/>
      <color rgb="FF1A1A1B"/>
      <name val="Noto Sans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3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7030A0"/>
        <bgColor indexed="64"/>
      </patternFill>
    </fill>
  </fills>
  <borders count="18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 style="thick">
        <color rgb="FFEEEEEE"/>
      </left>
      <right style="medium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medium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thick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medium">
        <color rgb="FFEEEEEE"/>
      </right>
      <top style="thick">
        <color rgb="FFEEEEEE"/>
      </top>
      <bottom style="medium">
        <color rgb="FFEEEEEE"/>
      </bottom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thick">
        <color rgb="FFEEEEEE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rgb="FFEEEEEE"/>
      </left>
      <right/>
      <top/>
      <bottom style="thin">
        <color indexed="64"/>
      </bottom>
      <diagonal/>
    </border>
  </borders>
  <cellStyleXfs count="5">
    <xf numFmtId="0" fontId="0" fillId="0" borderId="0"/>
    <xf numFmtId="0" fontId="4" fillId="0" borderId="7" applyNumberFormat="0" applyFill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3" fillId="5" borderId="0" applyNumberFormat="0" applyBorder="0" applyAlignment="0" applyProtection="0"/>
  </cellStyleXfs>
  <cellXfs count="65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2" fontId="3" fillId="5" borderId="0" xfId="4" applyNumberFormat="1" applyAlignment="1">
      <alignment horizontal="left"/>
    </xf>
    <xf numFmtId="0" fontId="3" fillId="5" borderId="0" xfId="4" applyAlignment="1">
      <alignment horizontal="left"/>
    </xf>
    <xf numFmtId="0" fontId="0" fillId="5" borderId="0" xfId="4" applyFont="1" applyAlignment="1">
      <alignment horizontal="left"/>
    </xf>
    <xf numFmtId="0" fontId="0" fillId="5" borderId="0" xfId="4" applyFont="1"/>
    <xf numFmtId="0" fontId="5" fillId="4" borderId="8" xfId="3" applyBorder="1"/>
    <xf numFmtId="0" fontId="3" fillId="5" borderId="8" xfId="4" applyBorder="1"/>
    <xf numFmtId="0" fontId="5" fillId="4" borderId="8" xfId="3" applyBorder="1" applyAlignment="1">
      <alignment horizontal="center"/>
    </xf>
    <xf numFmtId="0" fontId="0" fillId="5" borderId="8" xfId="4" applyFont="1" applyBorder="1"/>
    <xf numFmtId="2" fontId="0" fillId="0" borderId="0" xfId="0" applyNumberFormat="1"/>
    <xf numFmtId="2" fontId="5" fillId="4" borderId="0" xfId="3" applyNumberFormat="1" applyAlignment="1">
      <alignment horizontal="center"/>
    </xf>
    <xf numFmtId="0" fontId="0" fillId="0" borderId="0" xfId="0" quotePrefix="1"/>
    <xf numFmtId="0" fontId="7" fillId="0" borderId="0" xfId="0" applyFont="1"/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left" vertical="center" wrapText="1"/>
    </xf>
    <xf numFmtId="0" fontId="7" fillId="10" borderId="0" xfId="0" applyFont="1" applyFill="1"/>
    <xf numFmtId="0" fontId="7" fillId="8" borderId="0" xfId="0" applyFont="1" applyFill="1"/>
    <xf numFmtId="0" fontId="7" fillId="7" borderId="0" xfId="0" applyFont="1" applyFill="1"/>
    <xf numFmtId="0" fontId="10" fillId="13" borderId="0" xfId="0" applyFont="1" applyFill="1"/>
    <xf numFmtId="0" fontId="7" fillId="9" borderId="0" xfId="0" applyFont="1" applyFill="1"/>
    <xf numFmtId="0" fontId="9" fillId="2" borderId="0" xfId="0" applyFont="1" applyFill="1" applyBorder="1" applyAlignment="1">
      <alignment horizontal="left" vertical="center" wrapText="1"/>
    </xf>
    <xf numFmtId="0" fontId="9" fillId="11" borderId="5" xfId="0" applyFont="1" applyFill="1" applyBorder="1" applyAlignment="1">
      <alignment horizontal="left" vertical="center" wrapText="1"/>
    </xf>
    <xf numFmtId="0" fontId="5" fillId="4" borderId="0" xfId="3" applyBorder="1"/>
    <xf numFmtId="0" fontId="5" fillId="3" borderId="8" xfId="2" applyBorder="1" applyAlignment="1">
      <alignment horizontal="center"/>
    </xf>
    <xf numFmtId="0" fontId="5" fillId="4" borderId="12" xfId="3" applyBorder="1" applyAlignment="1">
      <alignment horizontal="center"/>
    </xf>
    <xf numFmtId="0" fontId="5" fillId="3" borderId="0" xfId="2" applyBorder="1" applyAlignment="1">
      <alignment horizontal="center"/>
    </xf>
    <xf numFmtId="0" fontId="5" fillId="3" borderId="12" xfId="2" applyBorder="1" applyAlignment="1">
      <alignment horizontal="center"/>
    </xf>
    <xf numFmtId="0" fontId="0" fillId="0" borderId="0" xfId="0" applyAlignment="1">
      <alignment horizontal="center"/>
    </xf>
    <xf numFmtId="0" fontId="5" fillId="4" borderId="16" xfId="3" applyBorder="1" applyAlignment="1">
      <alignment horizontal="center"/>
    </xf>
    <xf numFmtId="0" fontId="3" fillId="5" borderId="8" xfId="4" applyBorder="1" applyAlignment="1">
      <alignment horizontal="right"/>
    </xf>
    <xf numFmtId="0" fontId="11" fillId="5" borderId="8" xfId="4" applyFont="1" applyBorder="1"/>
    <xf numFmtId="0" fontId="7" fillId="10" borderId="0" xfId="0" applyFont="1" applyFill="1" applyBorder="1"/>
    <xf numFmtId="0" fontId="7" fillId="14" borderId="0" xfId="0" applyFont="1" applyFill="1"/>
    <xf numFmtId="0" fontId="14" fillId="15" borderId="0" xfId="0" applyFont="1" applyFill="1"/>
    <xf numFmtId="0" fontId="7" fillId="12" borderId="0" xfId="0" applyFont="1" applyFill="1"/>
    <xf numFmtId="0" fontId="7" fillId="10" borderId="0" xfId="0" applyFont="1" applyFill="1" applyAlignment="1">
      <alignment horizontal="center"/>
    </xf>
    <xf numFmtId="0" fontId="10" fillId="16" borderId="0" xfId="0" applyFont="1" applyFill="1"/>
    <xf numFmtId="0" fontId="10" fillId="17" borderId="0" xfId="0" applyFont="1" applyFill="1"/>
    <xf numFmtId="0" fontId="1" fillId="2" borderId="17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3" fillId="0" borderId="7" xfId="1" applyFont="1" applyAlignment="1">
      <alignment horizontal="center" vertical="center"/>
    </xf>
    <xf numFmtId="0" fontId="13" fillId="0" borderId="0" xfId="1" applyFont="1" applyBorder="1" applyAlignment="1">
      <alignment horizontal="center" vertical="center"/>
    </xf>
    <xf numFmtId="0" fontId="10" fillId="13" borderId="0" xfId="0" applyFont="1" applyFill="1" applyAlignment="1">
      <alignment horizontal="center"/>
    </xf>
    <xf numFmtId="0" fontId="6" fillId="6" borderId="0" xfId="1" applyFont="1" applyFill="1" applyBorder="1" applyAlignment="1">
      <alignment horizontal="center"/>
    </xf>
    <xf numFmtId="0" fontId="5" fillId="3" borderId="9" xfId="2" applyBorder="1" applyAlignment="1">
      <alignment horizontal="center"/>
    </xf>
    <xf numFmtId="0" fontId="5" fillId="3" borderId="10" xfId="2" applyBorder="1" applyAlignment="1">
      <alignment horizontal="center"/>
    </xf>
    <xf numFmtId="0" fontId="5" fillId="4" borderId="9" xfId="3" applyBorder="1" applyAlignment="1">
      <alignment horizontal="center"/>
    </xf>
    <xf numFmtId="0" fontId="5" fillId="4" borderId="10" xfId="3" applyBorder="1" applyAlignment="1">
      <alignment horizontal="center"/>
    </xf>
    <xf numFmtId="0" fontId="5" fillId="4" borderId="11" xfId="3" applyBorder="1" applyAlignment="1">
      <alignment horizontal="center"/>
    </xf>
    <xf numFmtId="0" fontId="5" fillId="3" borderId="14" xfId="2" applyBorder="1" applyAlignment="1">
      <alignment horizontal="center"/>
    </xf>
    <xf numFmtId="0" fontId="5" fillId="3" borderId="15" xfId="2" applyBorder="1" applyAlignment="1">
      <alignment horizontal="center"/>
    </xf>
    <xf numFmtId="0" fontId="5" fillId="3" borderId="13" xfId="2" applyBorder="1" applyAlignment="1">
      <alignment horizontal="center"/>
    </xf>
    <xf numFmtId="0" fontId="5" fillId="3" borderId="0" xfId="2" applyBorder="1" applyAlignment="1">
      <alignment horizontal="center"/>
    </xf>
    <xf numFmtId="2" fontId="5" fillId="3" borderId="0" xfId="2" applyNumberFormat="1" applyAlignment="1">
      <alignment horizontal="center"/>
    </xf>
    <xf numFmtId="0" fontId="4" fillId="0" borderId="7" xfId="1" applyAlignment="1">
      <alignment horizontal="center"/>
    </xf>
    <xf numFmtId="0" fontId="5" fillId="4" borderId="0" xfId="3" applyAlignment="1">
      <alignment horizontal="center"/>
    </xf>
  </cellXfs>
  <cellStyles count="5">
    <cellStyle name="40% - Accent3" xfId="4" builtinId="39"/>
    <cellStyle name="Accent1" xfId="2" builtinId="29"/>
    <cellStyle name="Accent2" xfId="3" builtinId="33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10</xdr:col>
      <xdr:colOff>39609</xdr:colOff>
      <xdr:row>21</xdr:row>
      <xdr:rowOff>130629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C0E8A8-CF39-4595-B8CD-0C33F411E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16893" y="190500"/>
          <a:ext cx="6162823" cy="3314701"/>
        </a:xfrm>
        <a:prstGeom prst="rect">
          <a:avLst/>
        </a:prstGeom>
      </xdr:spPr>
    </xdr:pic>
    <xdr:clientData/>
  </xdr:twoCellAnchor>
  <xdr:twoCellAnchor editAs="oneCell">
    <xdr:from>
      <xdr:col>10</xdr:col>
      <xdr:colOff>41672</xdr:colOff>
      <xdr:row>4</xdr:row>
      <xdr:rowOff>5953</xdr:rowOff>
    </xdr:from>
    <xdr:to>
      <xdr:col>18</xdr:col>
      <xdr:colOff>206659</xdr:colOff>
      <xdr:row>21</xdr:row>
      <xdr:rowOff>159021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EAA087E-250C-49D5-B313-3790D7059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13860" y="5953"/>
          <a:ext cx="4522674" cy="3337140"/>
        </a:xfrm>
        <a:prstGeom prst="rect">
          <a:avLst/>
        </a:prstGeom>
      </xdr:spPr>
    </xdr:pic>
    <xdr:clientData/>
  </xdr:twoCellAnchor>
  <xdr:twoCellAnchor editAs="oneCell">
    <xdr:from>
      <xdr:col>0</xdr:col>
      <xdr:colOff>41673</xdr:colOff>
      <xdr:row>21</xdr:row>
      <xdr:rowOff>65485</xdr:rowOff>
    </xdr:from>
    <xdr:to>
      <xdr:col>10</xdr:col>
      <xdr:colOff>44499</xdr:colOff>
      <xdr:row>40</xdr:row>
      <xdr:rowOff>185398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2023671-3175-4599-A9AD-548B10C70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673" y="4060972"/>
          <a:ext cx="6118879" cy="3699308"/>
        </a:xfrm>
        <a:prstGeom prst="rect">
          <a:avLst/>
        </a:prstGeom>
      </xdr:spPr>
    </xdr:pic>
    <xdr:clientData/>
  </xdr:twoCellAnchor>
  <xdr:twoCellAnchor editAs="oneCell">
    <xdr:from>
      <xdr:col>10</xdr:col>
      <xdr:colOff>23812</xdr:colOff>
      <xdr:row>21</xdr:row>
      <xdr:rowOff>71437</xdr:rowOff>
    </xdr:from>
    <xdr:to>
      <xdr:col>22</xdr:col>
      <xdr:colOff>295838</xdr:colOff>
      <xdr:row>40</xdr:row>
      <xdr:rowOff>177742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4FAEF69-4102-4B1F-A173-221E7896A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0" y="3309937"/>
          <a:ext cx="7058588" cy="36875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17860</xdr:rowOff>
    </xdr:from>
    <xdr:to>
      <xdr:col>10</xdr:col>
      <xdr:colOff>40820</xdr:colOff>
      <xdr:row>49</xdr:row>
      <xdr:rowOff>78278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84C3C92-FB09-4412-AD29-CD8F5CF22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7000876"/>
          <a:ext cx="6113008" cy="1589520"/>
        </a:xfrm>
        <a:prstGeom prst="rect">
          <a:avLst/>
        </a:prstGeom>
      </xdr:spPr>
    </xdr:pic>
    <xdr:clientData/>
  </xdr:twoCellAnchor>
  <xdr:twoCellAnchor editAs="oneCell">
    <xdr:from>
      <xdr:col>10</xdr:col>
      <xdr:colOff>35718</xdr:colOff>
      <xdr:row>41</xdr:row>
      <xdr:rowOff>5953</xdr:rowOff>
    </xdr:from>
    <xdr:to>
      <xdr:col>15</xdr:col>
      <xdr:colOff>472847</xdr:colOff>
      <xdr:row>49</xdr:row>
      <xdr:rowOff>72502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28AC772-A39C-41B7-9B83-48930C976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07906" y="6988969"/>
          <a:ext cx="2973160" cy="1595651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43</xdr:row>
      <xdr:rowOff>190499</xdr:rowOff>
    </xdr:from>
    <xdr:to>
      <xdr:col>52</xdr:col>
      <xdr:colOff>489857</xdr:colOff>
      <xdr:row>93</xdr:row>
      <xdr:rowOff>142008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0987DD-9C07-4DA4-A6E2-EFF6FD59FC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192250" y="8327570"/>
          <a:ext cx="17634857" cy="9476509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4</xdr:row>
      <xdr:rowOff>0</xdr:rowOff>
    </xdr:from>
    <xdr:to>
      <xdr:col>49</xdr:col>
      <xdr:colOff>449035</xdr:colOff>
      <xdr:row>41</xdr:row>
      <xdr:rowOff>13034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8D09EB7-C9F6-4E06-9C71-1CE35494A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192250" y="802821"/>
          <a:ext cx="15757071" cy="69662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2@240/M" TargetMode="External"/><Relationship Id="rId2" Type="http://schemas.openxmlformats.org/officeDocument/2006/relationships/hyperlink" Target="mailto:3@780/M" TargetMode="External"/><Relationship Id="rId1" Type="http://schemas.openxmlformats.org/officeDocument/2006/relationships/hyperlink" Target="mailto:3@600/M" TargetMode="External"/><Relationship Id="rId5" Type="http://schemas.openxmlformats.org/officeDocument/2006/relationships/printerSettings" Target="../printerSettings/printerSettings9.bin"/><Relationship Id="rId4" Type="http://schemas.openxmlformats.org/officeDocument/2006/relationships/hyperlink" Target="mailto:1@160/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AA758-A5B7-4FA8-94DC-BA3EAA457D3D}">
  <sheetPr>
    <pageSetUpPr fitToPage="1"/>
  </sheetPr>
  <dimension ref="C1:U44"/>
  <sheetViews>
    <sheetView workbookViewId="0">
      <selection activeCell="D17" sqref="D17"/>
    </sheetView>
  </sheetViews>
  <sheetFormatPr defaultRowHeight="18.75"/>
  <cols>
    <col min="1" max="2" width="9.140625" style="21"/>
    <col min="3" max="3" width="70.140625" style="21" bestFit="1" customWidth="1"/>
    <col min="4" max="4" width="20.7109375" style="21" customWidth="1"/>
    <col min="5" max="5" width="37.85546875" style="21" bestFit="1" customWidth="1"/>
    <col min="6" max="6" width="31.5703125" style="21" bestFit="1" customWidth="1"/>
    <col min="7" max="7" width="21.5703125" style="21" bestFit="1" customWidth="1"/>
    <col min="8" max="8" width="11.5703125" style="21" bestFit="1" customWidth="1"/>
    <col min="9" max="9" width="22.7109375" style="21" bestFit="1" customWidth="1"/>
    <col min="10" max="10" width="11.5703125" style="21" bestFit="1" customWidth="1"/>
    <col min="11" max="11" width="30.140625" style="21" bestFit="1" customWidth="1"/>
    <col min="12" max="12" width="7.85546875" style="21" bestFit="1" customWidth="1"/>
    <col min="13" max="13" width="26" style="21" bestFit="1" customWidth="1"/>
    <col min="14" max="14" width="9.42578125" style="21" customWidth="1"/>
    <col min="15" max="15" width="24" style="21" bestFit="1" customWidth="1"/>
    <col min="16" max="16384" width="9.140625" style="21"/>
  </cols>
  <sheetData>
    <row r="1" spans="3:20" ht="19.5" thickBot="1">
      <c r="E1"/>
      <c r="F1"/>
      <c r="G1"/>
      <c r="H1"/>
      <c r="I1"/>
      <c r="J1"/>
      <c r="K1"/>
      <c r="L1"/>
      <c r="M1"/>
    </row>
    <row r="2" spans="3:20" ht="20.25" thickTop="1" thickBot="1">
      <c r="D2" s="22"/>
      <c r="E2"/>
      <c r="F2"/>
      <c r="G2"/>
      <c r="H2"/>
      <c r="I2"/>
      <c r="J2"/>
      <c r="K2"/>
      <c r="L2"/>
      <c r="M2"/>
      <c r="N2"/>
      <c r="O2"/>
      <c r="P2"/>
    </row>
    <row r="3" spans="3:20" ht="19.5" thickTop="1">
      <c r="C3" s="24" t="s">
        <v>234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</row>
    <row r="4" spans="3:20">
      <c r="C4" s="24" t="s">
        <v>233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3:20">
      <c r="C5" s="40" t="s">
        <v>229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</row>
    <row r="6" spans="3:20">
      <c r="C6" s="40" t="s">
        <v>230</v>
      </c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</row>
    <row r="7" spans="3:20">
      <c r="C7" s="40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</row>
    <row r="8" spans="3:20"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</row>
    <row r="9" spans="3:20"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3:20" ht="19.5" thickBot="1"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3:20" ht="20.25" thickTop="1" thickBot="1">
      <c r="C11" s="22" t="s">
        <v>91</v>
      </c>
      <c r="E11"/>
      <c r="F11"/>
      <c r="G11"/>
      <c r="H11"/>
      <c r="I11"/>
      <c r="J11"/>
      <c r="K11"/>
      <c r="L11"/>
      <c r="M11"/>
      <c r="N11"/>
      <c r="O11"/>
      <c r="P11"/>
    </row>
    <row r="12" spans="3:20" ht="22.5" thickTop="1" thickBot="1">
      <c r="C12" s="30" t="s">
        <v>14</v>
      </c>
      <c r="E12"/>
      <c r="F12"/>
      <c r="G12"/>
      <c r="H12"/>
      <c r="I12"/>
      <c r="J12"/>
      <c r="K12"/>
      <c r="L12"/>
      <c r="M12"/>
      <c r="N12"/>
      <c r="O12"/>
      <c r="P12"/>
    </row>
    <row r="13" spans="3:20" ht="43.5" thickTop="1" thickBot="1">
      <c r="C13" s="30" t="s">
        <v>158</v>
      </c>
      <c r="E13"/>
      <c r="F13"/>
      <c r="G13"/>
      <c r="H13"/>
      <c r="I13"/>
      <c r="J13"/>
      <c r="K13"/>
      <c r="L13"/>
      <c r="M13"/>
      <c r="N13"/>
      <c r="O13"/>
      <c r="P13"/>
    </row>
    <row r="14" spans="3:20">
      <c r="E14"/>
      <c r="F14"/>
      <c r="G14"/>
      <c r="H14"/>
      <c r="I14"/>
      <c r="J14"/>
      <c r="K14"/>
      <c r="L14"/>
      <c r="M14"/>
      <c r="N14"/>
      <c r="O14"/>
      <c r="P14"/>
    </row>
    <row r="15" spans="3:20">
      <c r="C15"/>
      <c r="D15"/>
      <c r="E15"/>
      <c r="F15"/>
      <c r="G15"/>
      <c r="H15"/>
      <c r="I15"/>
      <c r="J15"/>
      <c r="K15"/>
      <c r="L15"/>
      <c r="M15"/>
      <c r="N15"/>
      <c r="O15"/>
      <c r="P15"/>
    </row>
    <row r="16" spans="3:20">
      <c r="C16"/>
      <c r="D16"/>
      <c r="E16"/>
      <c r="F16"/>
      <c r="G16"/>
      <c r="H16"/>
      <c r="I16"/>
      <c r="J16"/>
      <c r="K16"/>
      <c r="L16"/>
      <c r="M16"/>
      <c r="N16"/>
      <c r="O16"/>
      <c r="P16"/>
    </row>
    <row r="17" spans="3:19">
      <c r="C17"/>
      <c r="D17"/>
      <c r="E17"/>
      <c r="F17"/>
      <c r="G17"/>
      <c r="H17"/>
      <c r="I17"/>
      <c r="J17"/>
      <c r="K17"/>
      <c r="L17"/>
      <c r="M17"/>
      <c r="N17"/>
      <c r="O17"/>
      <c r="P17"/>
    </row>
    <row r="18" spans="3:19">
      <c r="C18"/>
      <c r="D18"/>
      <c r="E18"/>
      <c r="F18"/>
      <c r="G18"/>
      <c r="H18"/>
      <c r="I18"/>
      <c r="J18"/>
      <c r="K18"/>
      <c r="L18"/>
      <c r="M18"/>
      <c r="N18"/>
      <c r="O18"/>
      <c r="P18"/>
    </row>
    <row r="19" spans="3:19">
      <c r="C19"/>
      <c r="D19"/>
      <c r="E19"/>
      <c r="F19"/>
      <c r="G19"/>
      <c r="H19"/>
      <c r="I19"/>
      <c r="J19"/>
      <c r="K19"/>
      <c r="L19"/>
      <c r="M19"/>
      <c r="N19"/>
      <c r="O19"/>
      <c r="P19"/>
    </row>
    <row r="20" spans="3:19"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3:19">
      <c r="C21"/>
      <c r="D21"/>
      <c r="E21"/>
      <c r="F21"/>
      <c r="G21"/>
      <c r="H21"/>
      <c r="I21"/>
      <c r="J21"/>
      <c r="K21"/>
      <c r="L21"/>
      <c r="M21"/>
      <c r="N21"/>
      <c r="O21"/>
      <c r="P21"/>
    </row>
    <row r="22" spans="3:19">
      <c r="C22"/>
      <c r="D22"/>
      <c r="E22"/>
      <c r="F22"/>
      <c r="G22"/>
      <c r="H22"/>
      <c r="I22"/>
      <c r="J22"/>
      <c r="K22"/>
      <c r="L22"/>
      <c r="M22"/>
      <c r="N22"/>
      <c r="O22"/>
      <c r="P22"/>
    </row>
    <row r="23" spans="3:19">
      <c r="C23"/>
      <c r="D23"/>
      <c r="E23"/>
      <c r="F23"/>
      <c r="G23"/>
      <c r="H23"/>
      <c r="I23"/>
      <c r="J23"/>
      <c r="K23"/>
      <c r="L23"/>
      <c r="M23"/>
      <c r="N23"/>
      <c r="O23"/>
      <c r="P23"/>
    </row>
    <row r="24" spans="3:19">
      <c r="C24"/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3:19">
      <c r="C25"/>
      <c r="D25"/>
      <c r="E25"/>
      <c r="F25"/>
      <c r="G25"/>
      <c r="H25"/>
      <c r="I25"/>
      <c r="J25"/>
      <c r="K25"/>
      <c r="L25"/>
      <c r="M25"/>
      <c r="N25"/>
      <c r="O25"/>
      <c r="P25"/>
    </row>
    <row r="26" spans="3:19">
      <c r="C26"/>
      <c r="D26"/>
      <c r="E26"/>
      <c r="F26"/>
      <c r="G26"/>
      <c r="H26"/>
      <c r="I26"/>
      <c r="J26"/>
      <c r="K26"/>
      <c r="L26"/>
      <c r="M26"/>
      <c r="N26"/>
      <c r="O26"/>
      <c r="P26"/>
    </row>
    <row r="27" spans="3:19">
      <c r="C27"/>
      <c r="D27"/>
      <c r="E27"/>
      <c r="F27"/>
      <c r="G27"/>
      <c r="H27"/>
      <c r="I27"/>
      <c r="J27"/>
      <c r="K27"/>
      <c r="L27"/>
      <c r="M27"/>
      <c r="N27"/>
      <c r="O27"/>
      <c r="P27"/>
    </row>
    <row r="28" spans="3:19">
      <c r="C28"/>
      <c r="D28"/>
      <c r="E28"/>
      <c r="F28"/>
      <c r="G28"/>
      <c r="H28"/>
      <c r="I28"/>
      <c r="J28"/>
      <c r="K28"/>
      <c r="L28"/>
      <c r="M28"/>
      <c r="N28"/>
      <c r="O28"/>
      <c r="P28"/>
    </row>
    <row r="29" spans="3:19">
      <c r="C29"/>
      <c r="D29"/>
      <c r="E29"/>
      <c r="F29"/>
      <c r="G29"/>
      <c r="H29"/>
      <c r="I29"/>
      <c r="J29"/>
      <c r="K29"/>
      <c r="L29"/>
      <c r="M29"/>
      <c r="N29"/>
      <c r="O29"/>
      <c r="P29"/>
    </row>
    <row r="30" spans="3:19">
      <c r="C30"/>
      <c r="D30"/>
      <c r="E30"/>
      <c r="F30"/>
      <c r="G30"/>
      <c r="H30"/>
      <c r="I30"/>
      <c r="J30"/>
      <c r="K30"/>
      <c r="L30"/>
      <c r="M30"/>
      <c r="N30"/>
      <c r="O30"/>
      <c r="P30"/>
    </row>
    <row r="31" spans="3:19">
      <c r="C31"/>
    </row>
    <row r="32" spans="3:19">
      <c r="C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</row>
    <row r="33" spans="3:21">
      <c r="C33"/>
      <c r="E33"/>
      <c r="F33"/>
      <c r="G33"/>
    </row>
    <row r="36" spans="3:21">
      <c r="T36"/>
      <c r="U36"/>
    </row>
    <row r="43" spans="3:21">
      <c r="T43"/>
      <c r="U43"/>
    </row>
    <row r="44" spans="3:21">
      <c r="T44"/>
      <c r="U44"/>
    </row>
  </sheetData>
  <pageMargins left="0.7" right="0.7" top="0.75" bottom="0.75" header="0.3" footer="0.3"/>
  <pageSetup scale="37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A4D7D-2B40-4F26-A6BD-214006A713CE}">
  <dimension ref="C3:D21"/>
  <sheetViews>
    <sheetView workbookViewId="0">
      <selection activeCell="D8" sqref="D8"/>
    </sheetView>
  </sheetViews>
  <sheetFormatPr defaultRowHeight="15"/>
  <cols>
    <col min="3" max="3" width="7.5703125" bestFit="1" customWidth="1"/>
    <col min="4" max="4" width="22.85546875" customWidth="1"/>
  </cols>
  <sheetData>
    <row r="3" spans="3:4" ht="20.25" thickBot="1">
      <c r="C3" s="63" t="s">
        <v>61</v>
      </c>
      <c r="D3" s="63"/>
    </row>
    <row r="4" spans="3:4" ht="15.75" thickTop="1">
      <c r="C4" s="64" t="s">
        <v>60</v>
      </c>
      <c r="D4" s="64"/>
    </row>
    <row r="5" spans="3:4">
      <c r="C5" s="12" t="s">
        <v>59</v>
      </c>
      <c r="D5" s="13" t="s">
        <v>58</v>
      </c>
    </row>
    <row r="6" spans="3:4">
      <c r="C6" s="12" t="s">
        <v>57</v>
      </c>
      <c r="D6" s="11">
        <v>30</v>
      </c>
    </row>
    <row r="7" spans="3:4">
      <c r="C7" s="12" t="s">
        <v>56</v>
      </c>
      <c r="D7" s="11">
        <v>60</v>
      </c>
    </row>
    <row r="8" spans="3:4">
      <c r="C8" s="12" t="s">
        <v>55</v>
      </c>
      <c r="D8" s="11">
        <v>120</v>
      </c>
    </row>
    <row r="10" spans="3:4">
      <c r="C10" s="64" t="s">
        <v>54</v>
      </c>
      <c r="D10" s="64"/>
    </row>
    <row r="11" spans="3:4">
      <c r="C11" s="11" t="s">
        <v>53</v>
      </c>
      <c r="D11" s="11" t="s">
        <v>50</v>
      </c>
    </row>
    <row r="12" spans="3:4">
      <c r="C12" s="11">
        <v>0</v>
      </c>
      <c r="D12" s="10">
        <v>1</v>
      </c>
    </row>
    <row r="13" spans="3:4">
      <c r="C13" s="11">
        <v>1</v>
      </c>
      <c r="D13" s="10">
        <v>1.5</v>
      </c>
    </row>
    <row r="14" spans="3:4">
      <c r="C14" s="11">
        <v>2</v>
      </c>
      <c r="D14" s="10">
        <v>2</v>
      </c>
    </row>
    <row r="15" spans="3:4">
      <c r="C15" s="11">
        <v>3</v>
      </c>
      <c r="D15" s="10">
        <v>2.5</v>
      </c>
    </row>
    <row r="17" spans="3:4">
      <c r="C17" s="64" t="s">
        <v>52</v>
      </c>
      <c r="D17" s="64"/>
    </row>
    <row r="18" spans="3:4">
      <c r="C18" s="11" t="s">
        <v>51</v>
      </c>
      <c r="D18" s="11" t="s">
        <v>50</v>
      </c>
    </row>
    <row r="19" spans="3:4">
      <c r="C19" s="11">
        <v>1</v>
      </c>
      <c r="D19" s="10">
        <v>1</v>
      </c>
    </row>
    <row r="20" spans="3:4">
      <c r="C20" s="11">
        <v>2</v>
      </c>
      <c r="D20" s="10">
        <v>2</v>
      </c>
    </row>
    <row r="21" spans="3:4">
      <c r="C21" s="11">
        <v>3</v>
      </c>
      <c r="D21" s="10">
        <v>4</v>
      </c>
    </row>
  </sheetData>
  <mergeCells count="4">
    <mergeCell ref="C3:D3"/>
    <mergeCell ref="C10:D10"/>
    <mergeCell ref="C17:D17"/>
    <mergeCell ref="C4:D4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FF9CB-C54B-4DF7-BCB6-6C966AE969A7}">
  <sheetPr>
    <pageSetUpPr fitToPage="1"/>
  </sheetPr>
  <dimension ref="C1:V96"/>
  <sheetViews>
    <sheetView topLeftCell="B1" workbookViewId="0">
      <selection activeCell="E108" sqref="E108"/>
    </sheetView>
  </sheetViews>
  <sheetFormatPr defaultRowHeight="15"/>
  <cols>
    <col min="1" max="2" width="1.7109375" customWidth="1"/>
    <col min="3" max="3" width="35" bestFit="1" customWidth="1"/>
    <col min="4" max="4" width="38" bestFit="1" customWidth="1"/>
    <col min="5" max="5" width="47.5703125" bestFit="1" customWidth="1"/>
    <col min="6" max="6" width="61.28515625" bestFit="1" customWidth="1"/>
    <col min="7" max="7" width="13" customWidth="1"/>
    <col min="8" max="8" width="64" bestFit="1" customWidth="1"/>
    <col min="10" max="10" width="23.85546875" bestFit="1" customWidth="1"/>
    <col min="11" max="11" width="31.5703125" bestFit="1" customWidth="1"/>
    <col min="12" max="12" width="4.85546875" bestFit="1" customWidth="1"/>
    <col min="13" max="13" width="18.5703125" bestFit="1" customWidth="1"/>
    <col min="14" max="14" width="29.140625" bestFit="1" customWidth="1"/>
    <col min="15" max="15" width="18.5703125" bestFit="1" customWidth="1"/>
    <col min="16" max="16" width="29.140625" bestFit="1" customWidth="1"/>
    <col min="17" max="17" width="9" customWidth="1"/>
    <col min="18" max="18" width="59.7109375" bestFit="1" customWidth="1"/>
    <col min="19" max="19" width="4.85546875" bestFit="1" customWidth="1"/>
    <col min="20" max="20" width="51.7109375" bestFit="1" customWidth="1"/>
    <col min="21" max="21" width="4.85546875" bestFit="1" customWidth="1"/>
    <col min="22" max="22" width="53.5703125" bestFit="1" customWidth="1"/>
  </cols>
  <sheetData>
    <row r="1" spans="3:22" ht="9" customHeight="1"/>
    <row r="2" spans="3:22" ht="9" customHeight="1" thickBot="1"/>
    <row r="3" spans="3:22" ht="58.5" thickTop="1" thickBot="1">
      <c r="C3" s="1" t="s">
        <v>0</v>
      </c>
      <c r="D3" s="2" t="s">
        <v>246</v>
      </c>
      <c r="E3" s="2" t="s">
        <v>247</v>
      </c>
      <c r="F3" s="2" t="s">
        <v>245</v>
      </c>
      <c r="G3" s="2" t="s">
        <v>248</v>
      </c>
      <c r="H3" s="3" t="s">
        <v>249</v>
      </c>
      <c r="J3" s="22" t="s">
        <v>93</v>
      </c>
      <c r="K3" s="22" t="s">
        <v>236</v>
      </c>
      <c r="L3" s="23" t="s">
        <v>2</v>
      </c>
      <c r="M3" s="23" t="s">
        <v>2</v>
      </c>
      <c r="N3" s="22" t="s">
        <v>239</v>
      </c>
      <c r="O3" s="22" t="s">
        <v>237</v>
      </c>
      <c r="P3" s="22" t="s">
        <v>238</v>
      </c>
      <c r="Q3" s="23" t="s">
        <v>2</v>
      </c>
      <c r="R3" s="22" t="s">
        <v>240</v>
      </c>
      <c r="S3" s="23" t="s">
        <v>2</v>
      </c>
      <c r="T3" s="22" t="s">
        <v>322</v>
      </c>
      <c r="U3" s="23" t="s">
        <v>2</v>
      </c>
      <c r="V3" s="29" t="s">
        <v>344</v>
      </c>
    </row>
    <row r="4" spans="3:22" ht="20.25" thickTop="1" thickBot="1">
      <c r="C4" s="41" t="s">
        <v>1</v>
      </c>
      <c r="D4" s="24" t="s">
        <v>25</v>
      </c>
      <c r="E4" s="5" t="s">
        <v>2</v>
      </c>
      <c r="F4" s="25" t="s">
        <v>3</v>
      </c>
      <c r="G4" s="5" t="s">
        <v>2</v>
      </c>
      <c r="H4" s="27" t="s">
        <v>45</v>
      </c>
      <c r="J4" s="24" t="s">
        <v>96</v>
      </c>
      <c r="K4" s="25" t="s">
        <v>73</v>
      </c>
      <c r="M4" s="25" t="s">
        <v>87</v>
      </c>
      <c r="N4" s="26" t="s">
        <v>20</v>
      </c>
      <c r="O4" s="25" t="s">
        <v>73</v>
      </c>
      <c r="P4" s="26" t="s">
        <v>153</v>
      </c>
      <c r="Q4" s="21"/>
      <c r="R4" s="27" t="s">
        <v>160</v>
      </c>
      <c r="T4" s="45" t="s">
        <v>319</v>
      </c>
      <c r="V4" s="46" t="s">
        <v>343</v>
      </c>
    </row>
    <row r="5" spans="3:22" ht="20.25" thickTop="1" thickBot="1">
      <c r="C5" s="41" t="s">
        <v>7</v>
      </c>
      <c r="D5" s="24" t="s">
        <v>26</v>
      </c>
      <c r="E5" s="6" t="s">
        <v>2</v>
      </c>
      <c r="F5" s="25" t="s">
        <v>6</v>
      </c>
      <c r="G5" s="5" t="s">
        <v>2</v>
      </c>
      <c r="H5" s="27" t="s">
        <v>48</v>
      </c>
      <c r="J5" s="21"/>
      <c r="K5" s="21"/>
      <c r="M5" s="25" t="s">
        <v>77</v>
      </c>
      <c r="N5" s="26" t="s">
        <v>85</v>
      </c>
      <c r="O5" s="25" t="s">
        <v>77</v>
      </c>
      <c r="P5" s="26" t="s">
        <v>86</v>
      </c>
      <c r="Q5" s="21"/>
      <c r="R5" s="26" t="s">
        <v>153</v>
      </c>
      <c r="S5" s="21"/>
      <c r="T5" s="27" t="s">
        <v>235</v>
      </c>
      <c r="U5" s="21"/>
      <c r="V5" s="45" t="s">
        <v>274</v>
      </c>
    </row>
    <row r="6" spans="3:22" ht="20.25" thickTop="1" thickBot="1">
      <c r="F6" s="25" t="s">
        <v>29</v>
      </c>
      <c r="G6" s="5" t="s">
        <v>2</v>
      </c>
      <c r="H6" s="27" t="s">
        <v>31</v>
      </c>
      <c r="J6" s="24" t="s">
        <v>24</v>
      </c>
      <c r="K6" s="25" t="s">
        <v>19</v>
      </c>
      <c r="M6" s="21"/>
      <c r="N6" s="21"/>
      <c r="O6" s="25" t="s">
        <v>3</v>
      </c>
      <c r="P6" s="26" t="s">
        <v>90</v>
      </c>
      <c r="Q6" s="21"/>
      <c r="R6" s="25" t="s">
        <v>88</v>
      </c>
      <c r="S6" s="21"/>
      <c r="T6" s="26" t="s">
        <v>20</v>
      </c>
      <c r="U6" s="21"/>
      <c r="V6" s="45" t="s">
        <v>47</v>
      </c>
    </row>
    <row r="7" spans="3:22" ht="20.25" thickTop="1" thickBot="1">
      <c r="F7" s="25" t="s">
        <v>32</v>
      </c>
      <c r="G7" s="5" t="s">
        <v>2</v>
      </c>
      <c r="H7" s="27" t="s">
        <v>39</v>
      </c>
      <c r="J7" s="24" t="s">
        <v>97</v>
      </c>
      <c r="K7" s="25" t="s">
        <v>74</v>
      </c>
      <c r="M7" s="25" t="s">
        <v>77</v>
      </c>
      <c r="N7" s="26" t="s">
        <v>86</v>
      </c>
      <c r="O7" s="25" t="s">
        <v>88</v>
      </c>
      <c r="P7" s="28" t="s">
        <v>12</v>
      </c>
      <c r="Q7" s="21"/>
      <c r="R7" s="24" t="s">
        <v>14</v>
      </c>
      <c r="T7" s="41" t="s">
        <v>328</v>
      </c>
      <c r="V7" s="28" t="s">
        <v>12</v>
      </c>
    </row>
    <row r="8" spans="3:22" ht="20.25" thickTop="1" thickBot="1">
      <c r="F8" s="25" t="s">
        <v>33</v>
      </c>
      <c r="G8" s="5" t="s">
        <v>2</v>
      </c>
      <c r="H8" s="27" t="s">
        <v>241</v>
      </c>
      <c r="J8" s="21"/>
      <c r="K8" s="25" t="s">
        <v>75</v>
      </c>
      <c r="M8" s="25" t="s">
        <v>73</v>
      </c>
      <c r="N8" s="21"/>
      <c r="O8" s="25" t="s">
        <v>87</v>
      </c>
      <c r="P8" s="26" t="s">
        <v>85</v>
      </c>
      <c r="Q8" s="21"/>
      <c r="S8" s="21"/>
      <c r="U8" s="21"/>
      <c r="V8" s="26" t="s">
        <v>340</v>
      </c>
    </row>
    <row r="9" spans="3:22" ht="20.25" thickTop="1" thickBot="1">
      <c r="F9" s="25" t="s">
        <v>34</v>
      </c>
      <c r="G9" s="5" t="s">
        <v>2</v>
      </c>
      <c r="H9" s="27" t="s">
        <v>319</v>
      </c>
      <c r="J9" s="21"/>
      <c r="K9" s="21"/>
      <c r="M9" s="21"/>
      <c r="N9" s="21"/>
      <c r="O9" s="25" t="s">
        <v>92</v>
      </c>
      <c r="P9" s="26" t="s">
        <v>20</v>
      </c>
      <c r="Q9" s="21"/>
      <c r="R9" s="27" t="s">
        <v>159</v>
      </c>
      <c r="S9" s="21"/>
      <c r="T9" s="45" t="s">
        <v>46</v>
      </c>
      <c r="U9" s="21"/>
      <c r="V9" s="26" t="s">
        <v>20</v>
      </c>
    </row>
    <row r="10" spans="3:22" ht="20.25" thickTop="1" thickBot="1">
      <c r="F10" s="26" t="s">
        <v>20</v>
      </c>
      <c r="G10" s="5" t="s">
        <v>2</v>
      </c>
      <c r="H10" s="27" t="s">
        <v>47</v>
      </c>
      <c r="J10" s="24" t="s">
        <v>95</v>
      </c>
      <c r="K10" s="25" t="s">
        <v>77</v>
      </c>
      <c r="M10" s="25" t="s">
        <v>77</v>
      </c>
      <c r="N10" s="26" t="s">
        <v>90</v>
      </c>
      <c r="P10" s="21"/>
      <c r="Q10" s="21"/>
      <c r="R10" s="26" t="s">
        <v>154</v>
      </c>
      <c r="S10" s="21"/>
      <c r="T10" s="27" t="s">
        <v>287</v>
      </c>
      <c r="U10" s="21"/>
    </row>
    <row r="11" spans="3:22" ht="20.25" thickTop="1" thickBot="1">
      <c r="F11" s="26" t="s">
        <v>36</v>
      </c>
      <c r="G11" s="5" t="s">
        <v>2</v>
      </c>
      <c r="H11" s="27" t="s">
        <v>46</v>
      </c>
      <c r="J11" s="21"/>
      <c r="K11" s="25" t="s">
        <v>89</v>
      </c>
      <c r="M11" s="24" t="s">
        <v>16</v>
      </c>
      <c r="N11" s="21"/>
      <c r="P11" s="22"/>
      <c r="Q11" s="21"/>
      <c r="R11" s="26" t="s">
        <v>155</v>
      </c>
      <c r="S11" s="21"/>
      <c r="T11" s="27" t="s">
        <v>160</v>
      </c>
      <c r="U11" s="21"/>
    </row>
    <row r="12" spans="3:22" ht="20.25" thickTop="1" thickBot="1">
      <c r="F12" s="28" t="s">
        <v>12</v>
      </c>
      <c r="G12" s="5" t="s">
        <v>2</v>
      </c>
      <c r="H12" s="27" t="s">
        <v>274</v>
      </c>
      <c r="J12" s="21"/>
      <c r="K12" s="21"/>
      <c r="M12" s="21"/>
      <c r="N12" s="21"/>
      <c r="O12" s="21"/>
      <c r="P12" s="21"/>
      <c r="Q12" s="21"/>
      <c r="R12" s="25" t="s">
        <v>77</v>
      </c>
      <c r="T12" s="45" t="s">
        <v>319</v>
      </c>
    </row>
    <row r="13" spans="3:22" ht="21.75" thickBot="1">
      <c r="F13" s="26" t="s">
        <v>37</v>
      </c>
      <c r="H13" s="27" t="s">
        <v>273</v>
      </c>
      <c r="J13" s="24" t="s">
        <v>98</v>
      </c>
      <c r="K13" s="26" t="s">
        <v>84</v>
      </c>
      <c r="M13" s="26" t="s">
        <v>19</v>
      </c>
      <c r="N13" s="26" t="s">
        <v>153</v>
      </c>
      <c r="Q13" s="23"/>
      <c r="R13" s="24" t="s">
        <v>16</v>
      </c>
      <c r="S13" s="21"/>
      <c r="T13" s="25" t="s">
        <v>87</v>
      </c>
      <c r="U13" s="21"/>
    </row>
    <row r="14" spans="3:22" ht="20.25" thickTop="1" thickBot="1">
      <c r="C14" s="41" t="s">
        <v>4</v>
      </c>
      <c r="D14" s="24" t="s">
        <v>27</v>
      </c>
      <c r="E14" s="8" t="s">
        <v>2</v>
      </c>
      <c r="F14" s="25" t="s">
        <v>28</v>
      </c>
      <c r="G14" s="5" t="s">
        <v>2</v>
      </c>
      <c r="H14" s="27" t="s">
        <v>49</v>
      </c>
      <c r="J14" s="21"/>
      <c r="K14" s="26" t="s">
        <v>83</v>
      </c>
      <c r="M14" s="24" t="s">
        <v>18</v>
      </c>
      <c r="N14" s="21"/>
      <c r="Q14" s="21"/>
      <c r="S14" s="21"/>
      <c r="U14" s="21"/>
    </row>
    <row r="15" spans="3:22" ht="19.5" thickTop="1">
      <c r="F15" s="25" t="s">
        <v>19</v>
      </c>
      <c r="J15" s="21"/>
      <c r="K15" s="21"/>
      <c r="M15" s="21"/>
      <c r="N15" s="21"/>
      <c r="Q15" s="21"/>
      <c r="R15" s="27" t="s">
        <v>235</v>
      </c>
      <c r="S15" s="21"/>
      <c r="T15" s="45" t="s">
        <v>47</v>
      </c>
      <c r="U15" s="21"/>
    </row>
    <row r="16" spans="3:22" ht="19.5" thickBot="1">
      <c r="F16" s="25" t="s">
        <v>303</v>
      </c>
      <c r="J16" s="21"/>
      <c r="K16" s="26" t="s">
        <v>80</v>
      </c>
      <c r="M16" s="26" t="s">
        <v>20</v>
      </c>
      <c r="N16" s="28" t="s">
        <v>12</v>
      </c>
      <c r="Q16" s="21"/>
      <c r="R16" s="26" t="s">
        <v>153</v>
      </c>
      <c r="T16" s="24" t="s">
        <v>169</v>
      </c>
    </row>
    <row r="17" spans="3:21" ht="20.25" thickTop="1" thickBot="1">
      <c r="C17" s="41" t="s">
        <v>8</v>
      </c>
      <c r="D17" s="24" t="s">
        <v>16</v>
      </c>
      <c r="E17" s="5" t="s">
        <v>2</v>
      </c>
      <c r="F17" s="26" t="s">
        <v>30</v>
      </c>
      <c r="J17" s="21"/>
      <c r="K17" s="26" t="s">
        <v>90</v>
      </c>
      <c r="M17" s="26" t="s">
        <v>85</v>
      </c>
      <c r="N17" s="21"/>
      <c r="Q17" s="21"/>
      <c r="R17" s="25" t="s">
        <v>135</v>
      </c>
      <c r="T17" s="26" t="s">
        <v>280</v>
      </c>
    </row>
    <row r="18" spans="3:21" ht="19.5" thickBot="1">
      <c r="J18" s="21"/>
      <c r="K18" s="21"/>
      <c r="M18" s="21"/>
      <c r="Q18" s="21"/>
      <c r="R18" s="24" t="s">
        <v>18</v>
      </c>
      <c r="S18" s="21"/>
      <c r="T18" s="27" t="s">
        <v>235</v>
      </c>
      <c r="U18" s="21"/>
    </row>
    <row r="19" spans="3:21" ht="20.25" thickTop="1" thickBot="1">
      <c r="C19" s="41" t="s">
        <v>15</v>
      </c>
      <c r="D19" s="24" t="s">
        <v>5</v>
      </c>
      <c r="E19" s="6" t="s">
        <v>2</v>
      </c>
      <c r="F19" s="25" t="s">
        <v>76</v>
      </c>
      <c r="G19" s="9" t="s">
        <v>2</v>
      </c>
      <c r="J19" s="21"/>
      <c r="K19" s="28" t="s">
        <v>82</v>
      </c>
      <c r="M19" s="21"/>
      <c r="Q19" s="21"/>
      <c r="R19" s="21"/>
      <c r="S19" s="21"/>
      <c r="T19" s="21"/>
      <c r="U19" s="21"/>
    </row>
    <row r="20" spans="3:21" ht="20.25" thickTop="1" thickBot="1">
      <c r="F20" s="25" t="s">
        <v>79</v>
      </c>
      <c r="G20" s="6" t="s">
        <v>2</v>
      </c>
      <c r="J20" s="21"/>
      <c r="K20" s="21"/>
      <c r="M20" s="21"/>
      <c r="Q20" s="21"/>
      <c r="R20" s="27" t="s">
        <v>287</v>
      </c>
      <c r="S20" s="21"/>
      <c r="T20" s="45" t="s">
        <v>274</v>
      </c>
      <c r="U20" s="21"/>
    </row>
    <row r="21" spans="3:21" ht="19.5" thickTop="1">
      <c r="F21" s="26" t="s">
        <v>78</v>
      </c>
      <c r="J21" s="24" t="s">
        <v>18</v>
      </c>
      <c r="K21" s="26" t="s">
        <v>153</v>
      </c>
      <c r="M21" s="21"/>
      <c r="Q21" s="21"/>
      <c r="R21" s="24" t="s">
        <v>11</v>
      </c>
      <c r="S21" s="21"/>
      <c r="T21" s="25" t="s">
        <v>43</v>
      </c>
      <c r="U21" s="21"/>
    </row>
    <row r="22" spans="3:21" ht="19.5" thickBot="1">
      <c r="J22" s="21"/>
      <c r="K22" s="21"/>
      <c r="M22" s="21"/>
      <c r="Q22" s="21"/>
      <c r="R22" s="25" t="s">
        <v>74</v>
      </c>
      <c r="S22" s="21"/>
      <c r="T22" s="27" t="s">
        <v>159</v>
      </c>
      <c r="U22" s="21"/>
    </row>
    <row r="23" spans="3:21" ht="19.5" thickBot="1">
      <c r="C23" s="41" t="s">
        <v>13</v>
      </c>
      <c r="D23" s="24" t="s">
        <v>169</v>
      </c>
      <c r="E23" s="6" t="s">
        <v>2</v>
      </c>
      <c r="F23" s="24" t="s">
        <v>18</v>
      </c>
      <c r="G23" s="4" t="s">
        <v>2</v>
      </c>
      <c r="J23" s="24" t="s">
        <v>145</v>
      </c>
      <c r="K23" s="25" t="s">
        <v>43</v>
      </c>
      <c r="M23" s="25" t="s">
        <v>43</v>
      </c>
      <c r="N23" s="26" t="s">
        <v>280</v>
      </c>
      <c r="Q23" s="21"/>
      <c r="R23" s="25" t="s">
        <v>281</v>
      </c>
      <c r="S23" s="21"/>
      <c r="T23" s="41" t="s">
        <v>332</v>
      </c>
      <c r="U23" s="21"/>
    </row>
    <row r="24" spans="3:21" ht="20.25" thickTop="1" thickBot="1">
      <c r="D24" s="24" t="s">
        <v>18</v>
      </c>
      <c r="E24" s="4" t="s">
        <v>2</v>
      </c>
      <c r="F24" s="24" t="s">
        <v>11</v>
      </c>
      <c r="G24" s="4" t="s">
        <v>2</v>
      </c>
      <c r="J24" s="21"/>
      <c r="K24" s="21"/>
      <c r="M24" s="24" t="s">
        <v>14</v>
      </c>
      <c r="Q24" s="21"/>
      <c r="R24" s="41" t="s">
        <v>17</v>
      </c>
      <c r="S24" s="21"/>
      <c r="U24" s="21"/>
    </row>
    <row r="25" spans="3:21" ht="18.75">
      <c r="J25" s="24" t="s">
        <v>145</v>
      </c>
      <c r="K25" s="25" t="s">
        <v>339</v>
      </c>
      <c r="M25" s="21"/>
      <c r="Q25" s="21"/>
      <c r="R25" s="21"/>
      <c r="S25" s="21"/>
      <c r="U25" s="21"/>
    </row>
    <row r="26" spans="3:21" ht="19.5" thickBot="1">
      <c r="F26" s="26" t="s">
        <v>35</v>
      </c>
      <c r="M26" s="24" t="s">
        <v>145</v>
      </c>
      <c r="N26" s="25" t="s">
        <v>281</v>
      </c>
      <c r="Q26" s="21"/>
      <c r="R26" s="27" t="s">
        <v>21</v>
      </c>
      <c r="S26" s="21"/>
      <c r="U26" s="21"/>
    </row>
    <row r="27" spans="3:21" ht="19.5" thickBot="1">
      <c r="C27" s="41" t="s">
        <v>9</v>
      </c>
      <c r="D27" s="24" t="s">
        <v>11</v>
      </c>
      <c r="E27" s="4" t="s">
        <v>2</v>
      </c>
      <c r="F27" s="24" t="s">
        <v>14</v>
      </c>
      <c r="G27" s="4" t="s">
        <v>2</v>
      </c>
      <c r="M27" s="24" t="s">
        <v>24</v>
      </c>
      <c r="N27" s="21"/>
      <c r="R27" s="24" t="s">
        <v>169</v>
      </c>
    </row>
    <row r="28" spans="3:21" ht="20.25" thickTop="1" thickBot="1">
      <c r="D28" s="24" t="s">
        <v>14</v>
      </c>
      <c r="E28" s="4" t="s">
        <v>2</v>
      </c>
      <c r="F28" s="5"/>
      <c r="G28" s="4" t="s">
        <v>2</v>
      </c>
      <c r="R28" s="25" t="s">
        <v>73</v>
      </c>
    </row>
    <row r="29" spans="3:21" ht="19.5" thickBot="1">
      <c r="D29" s="24" t="s">
        <v>40</v>
      </c>
      <c r="E29" s="4" t="s">
        <v>2</v>
      </c>
      <c r="G29" s="6" t="s">
        <v>2</v>
      </c>
      <c r="M29" s="25" t="s">
        <v>19</v>
      </c>
      <c r="N29" s="26" t="s">
        <v>288</v>
      </c>
      <c r="R29" s="25" t="s">
        <v>304</v>
      </c>
    </row>
    <row r="30" spans="3:21" ht="18.75">
      <c r="M30" s="25" t="s">
        <v>75</v>
      </c>
    </row>
    <row r="31" spans="3:21" ht="18.75">
      <c r="C31" s="41" t="s">
        <v>17</v>
      </c>
      <c r="F31" s="24" t="s">
        <v>41</v>
      </c>
      <c r="R31" s="27" t="s">
        <v>273</v>
      </c>
    </row>
    <row r="32" spans="3:21" ht="18.75">
      <c r="C32" s="41" t="s">
        <v>10</v>
      </c>
      <c r="F32" s="25" t="s">
        <v>42</v>
      </c>
      <c r="M32" s="25" t="s">
        <v>339</v>
      </c>
      <c r="N32" s="26" t="s">
        <v>340</v>
      </c>
      <c r="R32" s="26" t="s">
        <v>280</v>
      </c>
    </row>
    <row r="33" spans="3:18" ht="18.75">
      <c r="C33" s="41" t="s">
        <v>144</v>
      </c>
      <c r="F33" s="25" t="s">
        <v>43</v>
      </c>
      <c r="M33" s="41" t="s">
        <v>332</v>
      </c>
      <c r="R33" s="28" t="s">
        <v>12</v>
      </c>
    </row>
    <row r="34" spans="3:18" ht="18.75">
      <c r="C34" s="41" t="s">
        <v>332</v>
      </c>
      <c r="F34" s="26" t="s">
        <v>44</v>
      </c>
      <c r="R34" s="41" t="s">
        <v>332</v>
      </c>
    </row>
    <row r="35" spans="3:18" ht="18.75">
      <c r="F35" s="25" t="s">
        <v>22</v>
      </c>
    </row>
    <row r="36" spans="3:18" ht="18.75">
      <c r="F36" s="25" t="s">
        <v>38</v>
      </c>
    </row>
    <row r="39" spans="3:18" ht="30" customHeight="1">
      <c r="C39" s="47" t="s">
        <v>282</v>
      </c>
      <c r="D39" s="48"/>
    </row>
    <row r="40" spans="3:18" ht="18.75">
      <c r="C40" s="24" t="s">
        <v>283</v>
      </c>
      <c r="D40" s="44">
        <v>1</v>
      </c>
    </row>
    <row r="41" spans="3:18" ht="18.75">
      <c r="C41" s="24" t="s">
        <v>174</v>
      </c>
      <c r="D41" s="44">
        <v>0.5</v>
      </c>
    </row>
    <row r="42" spans="3:18" ht="18.75">
      <c r="C42" s="24" t="s">
        <v>173</v>
      </c>
      <c r="D42" s="44">
        <v>0.35</v>
      </c>
    </row>
    <row r="43" spans="3:18" ht="18.75">
      <c r="C43" s="24" t="s">
        <v>172</v>
      </c>
      <c r="D43" s="44">
        <v>0.65</v>
      </c>
    </row>
    <row r="44" spans="3:18" ht="18.75">
      <c r="C44" s="24" t="s">
        <v>171</v>
      </c>
      <c r="D44" s="44">
        <v>0.8</v>
      </c>
    </row>
    <row r="45" spans="3:18" ht="18.75">
      <c r="C45" s="24" t="s">
        <v>170</v>
      </c>
      <c r="D45" s="44">
        <v>0.2</v>
      </c>
    </row>
    <row r="46" spans="3:18" ht="18.75">
      <c r="C46" s="24" t="s">
        <v>175</v>
      </c>
      <c r="D46" s="44">
        <v>0.85</v>
      </c>
    </row>
    <row r="47" spans="3:18" ht="18.75">
      <c r="C47" s="24" t="s">
        <v>176</v>
      </c>
      <c r="D47" s="44">
        <v>0.15</v>
      </c>
    </row>
    <row r="48" spans="3:18" ht="18.75">
      <c r="C48" s="24" t="s">
        <v>284</v>
      </c>
      <c r="D48" s="44">
        <v>0.9</v>
      </c>
    </row>
    <row r="49" spans="3:8" ht="18.75">
      <c r="C49" s="24" t="s">
        <v>285</v>
      </c>
      <c r="D49" s="44">
        <v>0.05</v>
      </c>
    </row>
    <row r="50" spans="3:8" ht="18.75">
      <c r="C50" s="24" t="s">
        <v>286</v>
      </c>
      <c r="D50" s="44">
        <v>0.05</v>
      </c>
    </row>
    <row r="51" spans="3:8" ht="18.75">
      <c r="C51" s="24" t="s">
        <v>289</v>
      </c>
      <c r="D51" s="44">
        <v>1</v>
      </c>
      <c r="E51" s="41" t="s">
        <v>290</v>
      </c>
    </row>
    <row r="55" spans="3:8" ht="18.75">
      <c r="C55" s="26" t="s">
        <v>188</v>
      </c>
      <c r="D55" s="26">
        <v>0.5</v>
      </c>
      <c r="E55" s="26" t="s">
        <v>189</v>
      </c>
      <c r="F55" s="26">
        <v>1</v>
      </c>
    </row>
    <row r="56" spans="3:8" ht="18.75">
      <c r="C56" s="26" t="s">
        <v>187</v>
      </c>
      <c r="D56" s="26">
        <v>0.7</v>
      </c>
      <c r="E56" s="26" t="s">
        <v>185</v>
      </c>
      <c r="F56" s="26">
        <v>0.25</v>
      </c>
    </row>
    <row r="57" spans="3:8" ht="18.75">
      <c r="C57" s="26" t="s">
        <v>186</v>
      </c>
      <c r="D57" s="26">
        <v>1</v>
      </c>
      <c r="E57" s="26" t="s">
        <v>184</v>
      </c>
      <c r="F57" s="26">
        <v>0.15</v>
      </c>
    </row>
    <row r="58" spans="3:8" ht="18.75">
      <c r="C58" s="26" t="s">
        <v>181</v>
      </c>
      <c r="D58" s="26">
        <v>0.8</v>
      </c>
      <c r="E58" s="26" t="s">
        <v>182</v>
      </c>
      <c r="F58" s="26">
        <v>0.25</v>
      </c>
    </row>
    <row r="59" spans="3:8" ht="18.75">
      <c r="C59" s="26" t="s">
        <v>180</v>
      </c>
      <c r="D59" s="26">
        <v>0.2</v>
      </c>
      <c r="E59" s="26" t="s">
        <v>183</v>
      </c>
      <c r="F59" s="26">
        <v>0.17</v>
      </c>
    </row>
    <row r="60" spans="3:8" ht="18.75">
      <c r="C60" s="26" t="s">
        <v>195</v>
      </c>
      <c r="D60" s="26">
        <v>1</v>
      </c>
      <c r="E60" s="26" t="s">
        <v>196</v>
      </c>
      <c r="F60" s="26">
        <v>0.5</v>
      </c>
    </row>
    <row r="61" spans="3:8" ht="18.75">
      <c r="C61" s="26" t="s">
        <v>291</v>
      </c>
      <c r="D61" s="26">
        <v>0.05</v>
      </c>
      <c r="E61" s="26" t="s">
        <v>292</v>
      </c>
      <c r="F61" s="26">
        <v>0.05</v>
      </c>
      <c r="H61" s="41" t="s">
        <v>293</v>
      </c>
    </row>
    <row r="62" spans="3:8" ht="18.75">
      <c r="C62" s="26" t="s">
        <v>294</v>
      </c>
      <c r="D62" s="26">
        <v>0.25</v>
      </c>
      <c r="E62" s="26" t="s">
        <v>295</v>
      </c>
      <c r="F62" s="26">
        <v>0.3</v>
      </c>
    </row>
    <row r="63" spans="3:8" ht="18.75">
      <c r="C63" s="26" t="s">
        <v>296</v>
      </c>
      <c r="D63" s="26">
        <v>0.01</v>
      </c>
      <c r="E63" s="26" t="s">
        <v>297</v>
      </c>
      <c r="F63" s="26">
        <v>0.01</v>
      </c>
      <c r="H63" s="41" t="s">
        <v>298</v>
      </c>
    </row>
    <row r="64" spans="3:8" ht="18.75">
      <c r="C64" s="26" t="s">
        <v>341</v>
      </c>
      <c r="D64" s="26">
        <v>0.3</v>
      </c>
      <c r="E64" s="26" t="s">
        <v>342</v>
      </c>
      <c r="F64" s="26">
        <v>1</v>
      </c>
    </row>
    <row r="65" spans="3:8" ht="18.75">
      <c r="H65" s="41" t="s">
        <v>302</v>
      </c>
    </row>
    <row r="66" spans="3:8" ht="18.75">
      <c r="C66" s="27" t="s">
        <v>299</v>
      </c>
      <c r="D66" s="27">
        <v>0.01</v>
      </c>
      <c r="E66" s="27" t="s">
        <v>300</v>
      </c>
      <c r="F66" s="27">
        <v>0.01</v>
      </c>
    </row>
    <row r="67" spans="3:8" ht="18.75">
      <c r="C67" s="27" t="s">
        <v>301</v>
      </c>
      <c r="D67" s="27">
        <v>0.05</v>
      </c>
    </row>
    <row r="68" spans="3:8" ht="15.75" thickBot="1"/>
    <row r="69" spans="3:8" ht="20.25" thickTop="1" thickBot="1">
      <c r="C69" s="27" t="s">
        <v>305</v>
      </c>
      <c r="D69" s="27">
        <v>1</v>
      </c>
      <c r="E69" s="27" t="s">
        <v>306</v>
      </c>
      <c r="F69" s="27">
        <v>0.25</v>
      </c>
      <c r="G69" s="9"/>
    </row>
    <row r="70" spans="3:8" ht="18" thickTop="1" thickBot="1">
      <c r="G70" s="9"/>
    </row>
    <row r="71" spans="3:8" ht="20.25" thickTop="1" thickBot="1">
      <c r="C71" s="27" t="s">
        <v>307</v>
      </c>
      <c r="D71" s="27">
        <v>0.7</v>
      </c>
      <c r="E71" s="27" t="s">
        <v>312</v>
      </c>
      <c r="F71" s="27">
        <v>0.25</v>
      </c>
      <c r="G71" s="9"/>
      <c r="H71" s="41" t="s">
        <v>317</v>
      </c>
    </row>
    <row r="72" spans="3:8" ht="20.25" thickTop="1" thickBot="1">
      <c r="C72" s="27" t="s">
        <v>308</v>
      </c>
      <c r="D72" s="27">
        <v>0.35</v>
      </c>
      <c r="E72" s="7"/>
      <c r="G72" s="9"/>
      <c r="H72" s="41" t="s">
        <v>318</v>
      </c>
    </row>
    <row r="73" spans="3:8" ht="18" thickTop="1" thickBot="1">
      <c r="E73" s="7"/>
      <c r="G73" s="9"/>
    </row>
    <row r="74" spans="3:8" ht="20.25" thickTop="1" thickBot="1">
      <c r="C74" s="27" t="s">
        <v>309</v>
      </c>
      <c r="D74" s="27">
        <v>0.3</v>
      </c>
      <c r="E74" s="27" t="s">
        <v>310</v>
      </c>
      <c r="F74" s="27">
        <v>0.65</v>
      </c>
      <c r="G74" s="9"/>
    </row>
    <row r="75" spans="3:8" ht="20.25" thickTop="1" thickBot="1">
      <c r="C75" s="27" t="s">
        <v>311</v>
      </c>
      <c r="D75" s="27">
        <v>0.5</v>
      </c>
      <c r="E75" s="7"/>
      <c r="G75" s="9"/>
    </row>
    <row r="76" spans="3:8" ht="18" thickTop="1" thickBot="1">
      <c r="E76" s="7"/>
      <c r="G76" s="9"/>
    </row>
    <row r="77" spans="3:8" ht="20.25" thickTop="1" thickBot="1">
      <c r="C77" s="27" t="s">
        <v>313</v>
      </c>
      <c r="D77" s="27">
        <v>1</v>
      </c>
      <c r="E77" s="27" t="s">
        <v>315</v>
      </c>
      <c r="F77" s="27">
        <v>0.18</v>
      </c>
      <c r="G77" s="9"/>
    </row>
    <row r="78" spans="3:8" ht="20.25" thickTop="1" thickBot="1">
      <c r="C78" s="27" t="s">
        <v>314</v>
      </c>
      <c r="D78" s="27">
        <v>1</v>
      </c>
      <c r="E78" s="27" t="s">
        <v>316</v>
      </c>
      <c r="F78" s="27">
        <v>0.3</v>
      </c>
    </row>
    <row r="79" spans="3:8" ht="18" thickTop="1" thickBot="1">
      <c r="E79" s="7"/>
    </row>
    <row r="80" spans="3:8" ht="19.5" thickTop="1">
      <c r="C80" s="27" t="s">
        <v>333</v>
      </c>
      <c r="D80" s="27">
        <v>0.5</v>
      </c>
      <c r="E80" s="27" t="s">
        <v>334</v>
      </c>
      <c r="F80" s="27">
        <v>0.4</v>
      </c>
    </row>
    <row r="81" spans="3:8" ht="18.75">
      <c r="C81" s="27" t="s">
        <v>335</v>
      </c>
      <c r="D81" s="27">
        <v>0.3</v>
      </c>
    </row>
    <row r="83" spans="3:8" ht="18.75">
      <c r="C83" s="45" t="s">
        <v>329</v>
      </c>
      <c r="D83" s="45">
        <v>0.99</v>
      </c>
      <c r="E83" s="45" t="s">
        <v>330</v>
      </c>
      <c r="F83" s="45">
        <v>0.55000000000000004</v>
      </c>
    </row>
    <row r="84" spans="3:8" ht="18.75">
      <c r="C84" s="45" t="s">
        <v>331</v>
      </c>
      <c r="D84" s="45">
        <v>0.6</v>
      </c>
    </row>
    <row r="86" spans="3:8" ht="18.75">
      <c r="C86" s="45" t="s">
        <v>320</v>
      </c>
      <c r="D86" s="45">
        <v>0.25</v>
      </c>
      <c r="E86" s="45" t="s">
        <v>321</v>
      </c>
      <c r="F86" s="45">
        <v>0.45</v>
      </c>
    </row>
    <row r="88" spans="3:8" ht="18.75">
      <c r="C88" s="45" t="s">
        <v>323</v>
      </c>
      <c r="D88" s="45">
        <v>1</v>
      </c>
      <c r="E88" s="45" t="s">
        <v>325</v>
      </c>
      <c r="F88" s="45">
        <v>0.8</v>
      </c>
      <c r="H88" s="45" t="s">
        <v>327</v>
      </c>
    </row>
    <row r="89" spans="3:8" ht="18.75">
      <c r="C89" s="45" t="s">
        <v>324</v>
      </c>
      <c r="D89" s="45">
        <v>1</v>
      </c>
      <c r="E89" s="45" t="s">
        <v>326</v>
      </c>
      <c r="F89" s="45">
        <v>0.15</v>
      </c>
    </row>
    <row r="91" spans="3:8" ht="18.75">
      <c r="C91" s="45" t="s">
        <v>336</v>
      </c>
      <c r="D91" s="45">
        <v>0.5</v>
      </c>
      <c r="E91" s="45" t="s">
        <v>338</v>
      </c>
      <c r="F91" s="45">
        <v>1</v>
      </c>
    </row>
    <row r="92" spans="3:8" ht="18.75">
      <c r="C92" s="45" t="s">
        <v>337</v>
      </c>
      <c r="D92" s="45">
        <v>0.4</v>
      </c>
    </row>
    <row r="94" spans="3:8" ht="18.75">
      <c r="C94" s="46" t="s">
        <v>345</v>
      </c>
      <c r="D94" s="46">
        <v>1</v>
      </c>
      <c r="E94" s="46" t="s">
        <v>346</v>
      </c>
      <c r="F94" s="46">
        <v>1</v>
      </c>
    </row>
    <row r="95" spans="3:8" ht="18.75">
      <c r="C95" s="46" t="s">
        <v>347</v>
      </c>
      <c r="D95" s="46">
        <v>0.5</v>
      </c>
      <c r="E95" s="46" t="s">
        <v>348</v>
      </c>
      <c r="F95" s="46">
        <v>1</v>
      </c>
    </row>
    <row r="96" spans="3:8" ht="18.75">
      <c r="C96" s="46" t="s">
        <v>349</v>
      </c>
      <c r="D96" s="46">
        <v>0.25</v>
      </c>
    </row>
  </sheetData>
  <mergeCells count="1">
    <mergeCell ref="C39:D39"/>
  </mergeCells>
  <pageMargins left="0.7" right="0.7" top="0.75" bottom="0.75" header="0.3" footer="0.3"/>
  <pageSetup scale="65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799F3-40C0-4069-9E55-C2D3A52CF011}">
  <dimension ref="A2:AZ44"/>
  <sheetViews>
    <sheetView tabSelected="1" topLeftCell="O1" zoomScale="70" zoomScaleNormal="70" workbookViewId="0">
      <selection activeCell="BA17" sqref="BA17"/>
    </sheetView>
  </sheetViews>
  <sheetFormatPr defaultRowHeight="15"/>
  <cols>
    <col min="11" max="11" width="9.140625" customWidth="1"/>
    <col min="12" max="12" width="1.5703125" customWidth="1"/>
  </cols>
  <sheetData>
    <row r="2" spans="1:52" ht="15.75" customHeight="1" thickBot="1">
      <c r="A2" s="49" t="s">
        <v>231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Y2" s="50" t="s">
        <v>232</v>
      </c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</row>
    <row r="3" spans="1:52" ht="16.5" customHeight="1" thickTop="1" thickBot="1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</row>
    <row r="4" spans="1:52" ht="16.5" customHeight="1" thickTop="1" thickBot="1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</row>
    <row r="5" spans="1:52" ht="15.75" thickTop="1"/>
    <row r="19" ht="9.75" customHeight="1"/>
    <row r="39" spans="25:52" ht="12" customHeight="1"/>
    <row r="42" spans="25:52">
      <c r="Y42" s="50" t="s">
        <v>250</v>
      </c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</row>
    <row r="43" spans="25:52"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</row>
    <row r="44" spans="25:52"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</row>
  </sheetData>
  <mergeCells count="3">
    <mergeCell ref="A2:R4"/>
    <mergeCell ref="Y2:AZ4"/>
    <mergeCell ref="Y42:AZ44"/>
  </mergeCells>
  <pageMargins left="0.7" right="0.7" top="0.75" bottom="0.75" header="0.3" footer="0.3"/>
  <pageSetup orientation="portrait" horizontalDpi="90" verticalDpi="9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0751C-1EB6-4741-8406-B680E49C7543}">
  <dimension ref="M2:Q37"/>
  <sheetViews>
    <sheetView workbookViewId="0">
      <selection activeCell="G30" sqref="G30:H30"/>
    </sheetView>
  </sheetViews>
  <sheetFormatPr defaultRowHeight="15"/>
  <cols>
    <col min="5" max="5" width="39.28515625" bestFit="1" customWidth="1"/>
    <col min="13" max="13" width="14.5703125" bestFit="1" customWidth="1"/>
    <col min="14" max="14" width="15.85546875" bestFit="1" customWidth="1"/>
    <col min="15" max="15" width="15.7109375" bestFit="1" customWidth="1"/>
    <col min="16" max="16" width="12.140625" bestFit="1" customWidth="1"/>
    <col min="17" max="17" width="11.42578125" customWidth="1"/>
  </cols>
  <sheetData>
    <row r="2" spans="13:17">
      <c r="M2" s="53" t="s">
        <v>178</v>
      </c>
      <c r="N2" s="54"/>
      <c r="O2" s="54"/>
      <c r="P2" s="54"/>
      <c r="Q2" s="54"/>
    </row>
    <row r="3" spans="13:17">
      <c r="M3" s="14" t="s">
        <v>59</v>
      </c>
      <c r="N3" s="14" t="s">
        <v>23</v>
      </c>
      <c r="O3" s="14" t="s">
        <v>24</v>
      </c>
      <c r="P3" s="14" t="s">
        <v>8</v>
      </c>
      <c r="Q3" s="14" t="s">
        <v>7</v>
      </c>
    </row>
    <row r="4" spans="13:17">
      <c r="M4" s="15" t="s">
        <v>57</v>
      </c>
      <c r="N4" s="15">
        <v>6</v>
      </c>
      <c r="O4" s="15">
        <v>1</v>
      </c>
      <c r="P4" s="15">
        <v>0</v>
      </c>
      <c r="Q4" s="15">
        <v>0</v>
      </c>
    </row>
    <row r="5" spans="13:17">
      <c r="M5" s="15" t="s">
        <v>56</v>
      </c>
      <c r="N5" s="15">
        <v>0</v>
      </c>
      <c r="O5" s="15">
        <v>1</v>
      </c>
      <c r="P5" s="15">
        <v>1</v>
      </c>
      <c r="Q5" s="15">
        <v>4</v>
      </c>
    </row>
    <row r="6" spans="13:17">
      <c r="M6" s="15" t="s">
        <v>55</v>
      </c>
      <c r="N6" s="15">
        <v>1</v>
      </c>
      <c r="O6" s="15">
        <v>0</v>
      </c>
      <c r="P6" s="15">
        <v>2</v>
      </c>
      <c r="Q6" s="15">
        <v>1</v>
      </c>
    </row>
    <row r="7" spans="13:17">
      <c r="M7" s="15" t="s">
        <v>67</v>
      </c>
      <c r="N7" s="15">
        <f>P18</f>
        <v>2520</v>
      </c>
      <c r="O7" s="15">
        <f>P23</f>
        <v>900</v>
      </c>
      <c r="P7" s="15">
        <f>P29</f>
        <v>2040</v>
      </c>
      <c r="Q7" s="15">
        <f>P37</f>
        <v>3120</v>
      </c>
    </row>
    <row r="8" spans="13:17">
      <c r="M8" s="53" t="s">
        <v>121</v>
      </c>
      <c r="N8" s="54"/>
      <c r="O8" s="54"/>
      <c r="P8" s="54"/>
    </row>
    <row r="9" spans="13:17">
      <c r="M9" s="55" t="s">
        <v>23</v>
      </c>
      <c r="N9" s="56"/>
      <c r="O9" s="56"/>
      <c r="P9" s="57"/>
    </row>
    <row r="10" spans="13:17">
      <c r="M10" s="15" t="s">
        <v>122</v>
      </c>
      <c r="N10" s="15" t="s">
        <v>123</v>
      </c>
      <c r="O10" s="15" t="s">
        <v>351</v>
      </c>
      <c r="P10" s="15" t="s">
        <v>124</v>
      </c>
    </row>
    <row r="11" spans="13:17">
      <c r="M11" s="15">
        <v>30</v>
      </c>
      <c r="N11" s="15">
        <v>2.5</v>
      </c>
      <c r="O11" s="15">
        <v>4</v>
      </c>
      <c r="P11" s="15">
        <f>M11*N11*O11</f>
        <v>300</v>
      </c>
    </row>
    <row r="12" spans="13:17">
      <c r="M12" s="15">
        <v>30</v>
      </c>
      <c r="N12" s="15">
        <v>2.5</v>
      </c>
      <c r="O12" s="15">
        <v>4</v>
      </c>
      <c r="P12" s="15">
        <f t="shared" ref="P12:P17" si="0">M12*N12*O12</f>
        <v>300</v>
      </c>
    </row>
    <row r="13" spans="13:17">
      <c r="M13" s="15">
        <v>30</v>
      </c>
      <c r="N13" s="15">
        <v>2.5</v>
      </c>
      <c r="O13" s="15">
        <v>4</v>
      </c>
      <c r="P13" s="15">
        <f t="shared" si="0"/>
        <v>300</v>
      </c>
    </row>
    <row r="14" spans="13:17">
      <c r="M14" s="15">
        <v>30</v>
      </c>
      <c r="N14" s="15">
        <v>2.5</v>
      </c>
      <c r="O14" s="15">
        <v>4</v>
      </c>
      <c r="P14" s="15">
        <f t="shared" si="0"/>
        <v>300</v>
      </c>
    </row>
    <row r="15" spans="13:17">
      <c r="M15" s="15">
        <v>30</v>
      </c>
      <c r="N15" s="15">
        <v>2.5</v>
      </c>
      <c r="O15" s="15">
        <v>4</v>
      </c>
      <c r="P15" s="15">
        <f t="shared" si="0"/>
        <v>300</v>
      </c>
    </row>
    <row r="16" spans="13:17">
      <c r="M16" s="15">
        <v>30</v>
      </c>
      <c r="N16" s="15">
        <v>2.5</v>
      </c>
      <c r="O16" s="15">
        <v>4</v>
      </c>
      <c r="P16" s="15">
        <f t="shared" si="0"/>
        <v>300</v>
      </c>
    </row>
    <row r="17" spans="13:16">
      <c r="M17" s="15">
        <v>120</v>
      </c>
      <c r="N17" s="15">
        <v>1.5</v>
      </c>
      <c r="O17" s="15">
        <v>4</v>
      </c>
      <c r="P17" s="15">
        <f t="shared" si="0"/>
        <v>720</v>
      </c>
    </row>
    <row r="18" spans="13:16">
      <c r="M18" s="15" t="s">
        <v>113</v>
      </c>
      <c r="N18" s="15"/>
      <c r="O18" s="15"/>
      <c r="P18" s="15">
        <f>SUM(P11:P17)</f>
        <v>2520</v>
      </c>
    </row>
    <row r="19" spans="13:16">
      <c r="M19" s="55" t="s">
        <v>24</v>
      </c>
      <c r="N19" s="56"/>
      <c r="O19" s="56"/>
      <c r="P19" s="57"/>
    </row>
    <row r="20" spans="13:16">
      <c r="M20" s="15" t="s">
        <v>122</v>
      </c>
      <c r="N20" s="15" t="s">
        <v>123</v>
      </c>
      <c r="O20" s="15" t="s">
        <v>351</v>
      </c>
      <c r="P20" s="15" t="s">
        <v>124</v>
      </c>
    </row>
    <row r="21" spans="13:16">
      <c r="M21" s="15">
        <v>30</v>
      </c>
      <c r="N21" s="15">
        <v>2.5</v>
      </c>
      <c r="O21" s="15">
        <v>4</v>
      </c>
      <c r="P21" s="15">
        <f>M21*N21*O21</f>
        <v>300</v>
      </c>
    </row>
    <row r="22" spans="13:16">
      <c r="M22" s="15">
        <v>60</v>
      </c>
      <c r="N22" s="15">
        <v>2.5</v>
      </c>
      <c r="O22" s="15">
        <v>4</v>
      </c>
      <c r="P22" s="15">
        <f t="shared" ref="P22" si="1">M22*N22*O22</f>
        <v>600</v>
      </c>
    </row>
    <row r="23" spans="13:16">
      <c r="M23" s="15" t="s">
        <v>113</v>
      </c>
      <c r="N23" s="15"/>
      <c r="O23" s="15"/>
      <c r="P23" s="15">
        <f>SUM(P21:P22)</f>
        <v>900</v>
      </c>
    </row>
    <row r="24" spans="13:16">
      <c r="M24" s="55" t="s">
        <v>8</v>
      </c>
      <c r="N24" s="56"/>
      <c r="O24" s="56"/>
      <c r="P24" s="57"/>
    </row>
    <row r="25" spans="13:16">
      <c r="M25" s="15" t="s">
        <v>122</v>
      </c>
      <c r="N25" s="15" t="s">
        <v>123</v>
      </c>
      <c r="O25" s="15" t="s">
        <v>351</v>
      </c>
      <c r="P25" s="15" t="s">
        <v>124</v>
      </c>
    </row>
    <row r="26" spans="13:16">
      <c r="M26" s="15">
        <v>60</v>
      </c>
      <c r="N26" s="15">
        <v>2.5</v>
      </c>
      <c r="O26" s="15">
        <v>4</v>
      </c>
      <c r="P26" s="15">
        <f>M26*N26*O26</f>
        <v>600</v>
      </c>
    </row>
    <row r="27" spans="13:16">
      <c r="M27" s="15">
        <v>120</v>
      </c>
      <c r="N27" s="15">
        <v>1.5</v>
      </c>
      <c r="O27" s="15">
        <v>4</v>
      </c>
      <c r="P27" s="15">
        <f t="shared" ref="P27" si="2">M27*N27*O27</f>
        <v>720</v>
      </c>
    </row>
    <row r="28" spans="13:16">
      <c r="M28" s="15">
        <v>120</v>
      </c>
      <c r="N28" s="15">
        <v>1.5</v>
      </c>
      <c r="O28" s="15">
        <v>4</v>
      </c>
      <c r="P28" s="15">
        <f t="shared" ref="P28" si="3">M28*N28*O28</f>
        <v>720</v>
      </c>
    </row>
    <row r="29" spans="13:16">
      <c r="M29" s="15" t="s">
        <v>113</v>
      </c>
      <c r="N29" s="15"/>
      <c r="O29" s="15"/>
      <c r="P29" s="15">
        <f>SUM(P26:P28)</f>
        <v>2040</v>
      </c>
    </row>
    <row r="30" spans="13:16">
      <c r="M30" s="55" t="s">
        <v>7</v>
      </c>
      <c r="N30" s="56"/>
      <c r="O30" s="56"/>
      <c r="P30" s="57"/>
    </row>
    <row r="31" spans="13:16">
      <c r="M31" s="15" t="s">
        <v>122</v>
      </c>
      <c r="N31" s="15" t="s">
        <v>123</v>
      </c>
      <c r="O31" s="15" t="s">
        <v>351</v>
      </c>
      <c r="P31" s="15" t="s">
        <v>124</v>
      </c>
    </row>
    <row r="32" spans="13:16">
      <c r="M32" s="15">
        <v>60</v>
      </c>
      <c r="N32" s="15">
        <v>2.5</v>
      </c>
      <c r="O32" s="15">
        <v>4</v>
      </c>
      <c r="P32" s="15">
        <f>M32*N32*O32</f>
        <v>600</v>
      </c>
    </row>
    <row r="33" spans="13:16">
      <c r="M33" s="15">
        <v>60</v>
      </c>
      <c r="N33" s="15">
        <v>2.5</v>
      </c>
      <c r="O33" s="15">
        <v>4</v>
      </c>
      <c r="P33" s="15">
        <f t="shared" ref="P33:P34" si="4">M33*N33*O33</f>
        <v>600</v>
      </c>
    </row>
    <row r="34" spans="13:16">
      <c r="M34" s="15">
        <v>60</v>
      </c>
      <c r="N34" s="15">
        <v>2.5</v>
      </c>
      <c r="O34" s="15">
        <v>4</v>
      </c>
      <c r="P34" s="15">
        <f t="shared" ref="P34:P35" si="5">M34*N34*O34</f>
        <v>600</v>
      </c>
    </row>
    <row r="35" spans="13:16">
      <c r="M35" s="15">
        <v>60</v>
      </c>
      <c r="N35" s="15">
        <v>2.5</v>
      </c>
      <c r="O35" s="15">
        <v>4</v>
      </c>
      <c r="P35" s="15">
        <f t="shared" si="5"/>
        <v>600</v>
      </c>
    </row>
    <row r="36" spans="13:16">
      <c r="M36" s="15">
        <v>120</v>
      </c>
      <c r="N36" s="15">
        <v>1.5</v>
      </c>
      <c r="O36" s="15">
        <v>4</v>
      </c>
      <c r="P36" s="15">
        <f>M36*N36*O36</f>
        <v>720</v>
      </c>
    </row>
    <row r="37" spans="13:16">
      <c r="M37" s="15" t="s">
        <v>113</v>
      </c>
      <c r="N37" s="15"/>
      <c r="O37" s="15"/>
      <c r="P37" s="15">
        <f>SUM(P32:P36)</f>
        <v>3120</v>
      </c>
    </row>
  </sheetData>
  <mergeCells count="6">
    <mergeCell ref="M19:P19"/>
    <mergeCell ref="M24:P24"/>
    <mergeCell ref="M30:P30"/>
    <mergeCell ref="M2:Q2"/>
    <mergeCell ref="M8:P8"/>
    <mergeCell ref="M9:P9"/>
  </mergeCells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8995F-0120-482A-8124-986E8EA27808}">
  <dimension ref="A1"/>
  <sheetViews>
    <sheetView workbookViewId="0"/>
  </sheetViews>
  <sheetFormatPr defaultRowHeight="15"/>
  <sheetData/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E9EB0-3E23-4641-A58B-1165AA753DC6}">
  <dimension ref="A1"/>
  <sheetViews>
    <sheetView workbookViewId="0"/>
  </sheetViews>
  <sheetFormatPr defaultRowHeight="15"/>
  <sheetData/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353B9-1CC2-4B24-B610-97234758C445}">
  <dimension ref="C3:E13"/>
  <sheetViews>
    <sheetView workbookViewId="0">
      <selection activeCell="G30" sqref="G30"/>
    </sheetView>
  </sheetViews>
  <sheetFormatPr defaultRowHeight="15"/>
  <cols>
    <col min="3" max="3" width="19.5703125" bestFit="1" customWidth="1"/>
    <col min="4" max="4" width="20.42578125" customWidth="1"/>
    <col min="5" max="5" width="29" bestFit="1" customWidth="1"/>
    <col min="6" max="6" width="10.42578125" bestFit="1" customWidth="1"/>
    <col min="7" max="7" width="13.85546875" bestFit="1" customWidth="1"/>
    <col min="8" max="8" width="14.28515625" bestFit="1" customWidth="1"/>
  </cols>
  <sheetData>
    <row r="3" spans="3:5" ht="18.75">
      <c r="C3" s="41" t="s">
        <v>216</v>
      </c>
      <c r="D3" s="26" t="s">
        <v>218</v>
      </c>
      <c r="E3" s="26" t="s">
        <v>220</v>
      </c>
    </row>
    <row r="6" spans="3:5" ht="18.75">
      <c r="C6" s="41" t="s">
        <v>217</v>
      </c>
      <c r="D6" s="26" t="s">
        <v>219</v>
      </c>
      <c r="E6" s="26" t="s">
        <v>221</v>
      </c>
    </row>
    <row r="7" spans="3:5" ht="18.75">
      <c r="E7" s="26" t="s">
        <v>220</v>
      </c>
    </row>
    <row r="9" spans="3:5" ht="18.75">
      <c r="C9" s="41" t="s">
        <v>222</v>
      </c>
      <c r="D9" s="26" t="s">
        <v>224</v>
      </c>
    </row>
    <row r="10" spans="3:5" ht="18.75">
      <c r="C10" s="41" t="s">
        <v>223</v>
      </c>
      <c r="D10" s="26" t="s">
        <v>225</v>
      </c>
    </row>
    <row r="12" spans="3:5" ht="18.75">
      <c r="C12" s="41" t="s">
        <v>226</v>
      </c>
      <c r="D12" s="26" t="s">
        <v>227</v>
      </c>
      <c r="E12" s="24" t="s">
        <v>228</v>
      </c>
    </row>
    <row r="13" spans="3:5" ht="18.75">
      <c r="C13" s="41" t="s">
        <v>226</v>
      </c>
    </row>
  </sheetData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FA3DA-A5F3-411F-AB6B-7EB05B935F88}">
  <dimension ref="A1:L34"/>
  <sheetViews>
    <sheetView workbookViewId="0"/>
  </sheetViews>
  <sheetFormatPr defaultRowHeight="15"/>
  <cols>
    <col min="1" max="1" width="20.42578125" bestFit="1" customWidth="1"/>
    <col min="2" max="2" width="53.42578125" customWidth="1"/>
    <col min="3" max="3" width="6.42578125" bestFit="1" customWidth="1"/>
    <col min="4" max="4" width="39.7109375" bestFit="1" customWidth="1"/>
    <col min="5" max="5" width="6.42578125" bestFit="1" customWidth="1"/>
    <col min="6" max="6" width="34.85546875" bestFit="1" customWidth="1"/>
    <col min="7" max="7" width="6.42578125" bestFit="1" customWidth="1"/>
    <col min="8" max="8" width="33.7109375" bestFit="1" customWidth="1"/>
    <col min="9" max="9" width="1.7109375" customWidth="1"/>
    <col min="10" max="10" width="35.7109375" bestFit="1" customWidth="1"/>
    <col min="11" max="11" width="4.28515625" customWidth="1"/>
    <col min="12" max="12" width="35.7109375" bestFit="1" customWidth="1"/>
    <col min="13" max="13" width="2.5703125" customWidth="1"/>
    <col min="14" max="14" width="25.42578125" customWidth="1"/>
    <col min="16" max="16" width="14.140625" bestFit="1" customWidth="1"/>
  </cols>
  <sheetData>
    <row r="1" spans="1:12" ht="18.75">
      <c r="A1" s="27" t="s">
        <v>276</v>
      </c>
      <c r="J1" s="51" t="s">
        <v>277</v>
      </c>
      <c r="K1" s="51"/>
      <c r="L1" s="51"/>
    </row>
    <row r="2" spans="1:12" ht="21">
      <c r="B2" s="42" t="s">
        <v>251</v>
      </c>
      <c r="D2" s="42" t="s">
        <v>253</v>
      </c>
      <c r="F2" s="42" t="s">
        <v>252</v>
      </c>
      <c r="H2" s="42" t="s">
        <v>253</v>
      </c>
      <c r="J2" s="42" t="s">
        <v>254</v>
      </c>
      <c r="L2" s="42" t="s">
        <v>255</v>
      </c>
    </row>
    <row r="3" spans="1:12" ht="18.75">
      <c r="B3" s="41" t="s">
        <v>146</v>
      </c>
      <c r="D3" s="43" t="s">
        <v>147</v>
      </c>
      <c r="F3" s="41" t="s">
        <v>146</v>
      </c>
      <c r="H3" s="43" t="s">
        <v>147</v>
      </c>
      <c r="J3" s="41" t="s">
        <v>146</v>
      </c>
      <c r="L3" s="43" t="s">
        <v>147</v>
      </c>
    </row>
    <row r="4" spans="1:12" ht="18.75">
      <c r="B4" s="24" t="s">
        <v>127</v>
      </c>
      <c r="C4" s="20" t="s">
        <v>148</v>
      </c>
      <c r="D4" s="24" t="s">
        <v>127</v>
      </c>
      <c r="F4" s="24" t="s">
        <v>127</v>
      </c>
      <c r="G4" s="20" t="s">
        <v>148</v>
      </c>
      <c r="H4" s="24" t="s">
        <v>127</v>
      </c>
      <c r="J4" s="24" t="s">
        <v>14</v>
      </c>
      <c r="K4" s="20" t="s">
        <v>148</v>
      </c>
      <c r="L4" s="24" t="s">
        <v>14</v>
      </c>
    </row>
    <row r="5" spans="1:12" ht="18.75">
      <c r="B5" s="24" t="s">
        <v>128</v>
      </c>
      <c r="C5" s="20" t="s">
        <v>148</v>
      </c>
      <c r="D5" s="24" t="s">
        <v>128</v>
      </c>
      <c r="F5" s="24" t="s">
        <v>128</v>
      </c>
      <c r="G5" s="20" t="s">
        <v>148</v>
      </c>
      <c r="H5" s="24" t="s">
        <v>128</v>
      </c>
      <c r="J5" s="24" t="s">
        <v>11</v>
      </c>
      <c r="K5" s="20" t="s">
        <v>148</v>
      </c>
      <c r="L5" s="24" t="s">
        <v>11</v>
      </c>
    </row>
    <row r="6" spans="1:12" ht="18.75">
      <c r="B6" s="24" t="s">
        <v>129</v>
      </c>
      <c r="C6" s="20" t="s">
        <v>148</v>
      </c>
      <c r="D6" s="24" t="s">
        <v>129</v>
      </c>
      <c r="F6" s="24" t="s">
        <v>129</v>
      </c>
      <c r="G6" s="20" t="s">
        <v>148</v>
      </c>
      <c r="H6" s="24" t="s">
        <v>129</v>
      </c>
      <c r="J6" s="24" t="s">
        <v>145</v>
      </c>
      <c r="K6" s="20" t="s">
        <v>148</v>
      </c>
      <c r="L6" s="24" t="s">
        <v>145</v>
      </c>
    </row>
    <row r="7" spans="1:12" ht="18.75">
      <c r="B7" s="24" t="s">
        <v>130</v>
      </c>
      <c r="C7" s="20" t="s">
        <v>148</v>
      </c>
      <c r="D7" s="24" t="s">
        <v>130</v>
      </c>
      <c r="F7" s="24" t="s">
        <v>130</v>
      </c>
      <c r="G7" s="20" t="s">
        <v>148</v>
      </c>
      <c r="H7" s="24" t="s">
        <v>130</v>
      </c>
      <c r="J7" s="25" t="s">
        <v>43</v>
      </c>
      <c r="K7" s="20" t="s">
        <v>148</v>
      </c>
      <c r="L7" s="25" t="s">
        <v>43</v>
      </c>
    </row>
    <row r="8" spans="1:12" ht="18.75">
      <c r="B8" s="24" t="s">
        <v>16</v>
      </c>
      <c r="C8" s="20" t="s">
        <v>148</v>
      </c>
      <c r="D8" s="24" t="s">
        <v>16</v>
      </c>
      <c r="F8" s="24" t="s">
        <v>16</v>
      </c>
      <c r="G8" s="20" t="s">
        <v>148</v>
      </c>
      <c r="H8" s="24" t="s">
        <v>16</v>
      </c>
      <c r="J8" s="27" t="s">
        <v>256</v>
      </c>
      <c r="L8" s="27" t="s">
        <v>256</v>
      </c>
    </row>
    <row r="9" spans="1:12" ht="18.75">
      <c r="B9" s="24" t="s">
        <v>18</v>
      </c>
      <c r="C9" s="20" t="s">
        <v>148</v>
      </c>
      <c r="D9" s="24" t="s">
        <v>18</v>
      </c>
      <c r="F9" s="24" t="s">
        <v>18</v>
      </c>
      <c r="G9" s="20" t="s">
        <v>148</v>
      </c>
      <c r="H9" s="24" t="s">
        <v>18</v>
      </c>
      <c r="J9" s="24" t="s">
        <v>132</v>
      </c>
      <c r="K9" s="20" t="s">
        <v>148</v>
      </c>
      <c r="L9" s="24" t="s">
        <v>132</v>
      </c>
    </row>
    <row r="11" spans="1:12" ht="21">
      <c r="B11" s="42" t="s">
        <v>257</v>
      </c>
      <c r="D11" s="42" t="s">
        <v>258</v>
      </c>
      <c r="F11" s="42" t="s">
        <v>259</v>
      </c>
      <c r="H11" s="42" t="s">
        <v>260</v>
      </c>
      <c r="J11" s="42" t="s">
        <v>266</v>
      </c>
      <c r="L11" s="42" t="s">
        <v>267</v>
      </c>
    </row>
    <row r="12" spans="1:12" ht="18.75">
      <c r="B12" s="41" t="s">
        <v>146</v>
      </c>
      <c r="D12" s="43" t="s">
        <v>147</v>
      </c>
      <c r="F12" s="41" t="s">
        <v>146</v>
      </c>
      <c r="H12" s="43" t="s">
        <v>147</v>
      </c>
      <c r="J12" s="41" t="s">
        <v>157</v>
      </c>
      <c r="L12" s="43" t="s">
        <v>147</v>
      </c>
    </row>
    <row r="13" spans="1:12" ht="18.75">
      <c r="B13" s="25" t="s">
        <v>270</v>
      </c>
      <c r="C13" s="20" t="s">
        <v>148</v>
      </c>
      <c r="D13" s="25" t="s">
        <v>270</v>
      </c>
      <c r="F13" s="26" t="s">
        <v>140</v>
      </c>
      <c r="G13" s="20" t="s">
        <v>148</v>
      </c>
      <c r="H13" s="26" t="s">
        <v>140</v>
      </c>
      <c r="J13" s="27" t="s">
        <v>94</v>
      </c>
      <c r="K13" s="20" t="s">
        <v>148</v>
      </c>
      <c r="L13" s="27" t="s">
        <v>94</v>
      </c>
    </row>
    <row r="14" spans="1:12" ht="18.75">
      <c r="B14" s="25" t="s">
        <v>136</v>
      </c>
      <c r="C14" s="20" t="s">
        <v>148</v>
      </c>
      <c r="D14" s="25" t="s">
        <v>136</v>
      </c>
      <c r="F14" s="26" t="s">
        <v>139</v>
      </c>
      <c r="G14" s="20" t="s">
        <v>148</v>
      </c>
      <c r="H14" s="26" t="s">
        <v>139</v>
      </c>
      <c r="J14" s="27" t="s">
        <v>81</v>
      </c>
      <c r="K14" s="20" t="s">
        <v>148</v>
      </c>
      <c r="L14" s="27" t="s">
        <v>81</v>
      </c>
    </row>
    <row r="15" spans="1:12" ht="18.75">
      <c r="B15" s="25" t="s">
        <v>137</v>
      </c>
      <c r="C15" s="20" t="s">
        <v>148</v>
      </c>
      <c r="D15" s="25" t="s">
        <v>137</v>
      </c>
      <c r="F15" s="26" t="s">
        <v>138</v>
      </c>
      <c r="G15" s="20" t="s">
        <v>148</v>
      </c>
      <c r="H15" s="26" t="s">
        <v>138</v>
      </c>
      <c r="J15" s="27" t="s">
        <v>141</v>
      </c>
      <c r="K15" s="20" t="s">
        <v>148</v>
      </c>
      <c r="L15" s="27" t="s">
        <v>141</v>
      </c>
    </row>
    <row r="16" spans="1:12" ht="18.75">
      <c r="B16" s="25" t="s">
        <v>134</v>
      </c>
      <c r="C16" s="20" t="s">
        <v>148</v>
      </c>
      <c r="D16" s="25" t="s">
        <v>134</v>
      </c>
      <c r="F16" s="28" t="s">
        <v>12</v>
      </c>
      <c r="G16" s="20" t="s">
        <v>148</v>
      </c>
      <c r="H16" s="28" t="s">
        <v>12</v>
      </c>
      <c r="J16" s="27" t="s">
        <v>261</v>
      </c>
      <c r="K16" s="20" t="s">
        <v>148</v>
      </c>
      <c r="L16" s="27" t="s">
        <v>261</v>
      </c>
    </row>
    <row r="17" spans="1:12" ht="18.75">
      <c r="B17" s="25" t="s">
        <v>135</v>
      </c>
      <c r="C17" s="20" t="s">
        <v>148</v>
      </c>
      <c r="D17" s="25" t="s">
        <v>135</v>
      </c>
      <c r="F17" s="26" t="s">
        <v>85</v>
      </c>
      <c r="G17" s="20" t="s">
        <v>148</v>
      </c>
      <c r="H17" s="26" t="s">
        <v>85</v>
      </c>
      <c r="J17" s="27" t="s">
        <v>262</v>
      </c>
      <c r="K17" s="20" t="s">
        <v>148</v>
      </c>
      <c r="L17" s="27" t="s">
        <v>262</v>
      </c>
    </row>
    <row r="18" spans="1:12" ht="18.75">
      <c r="B18" s="25" t="s">
        <v>133</v>
      </c>
      <c r="C18" s="20" t="s">
        <v>148</v>
      </c>
      <c r="D18" s="25" t="s">
        <v>133</v>
      </c>
      <c r="F18" s="26" t="s">
        <v>20</v>
      </c>
      <c r="G18" s="20" t="s">
        <v>148</v>
      </c>
      <c r="H18" s="26" t="s">
        <v>20</v>
      </c>
      <c r="J18" s="27" t="s">
        <v>263</v>
      </c>
      <c r="K18" s="20" t="s">
        <v>148</v>
      </c>
      <c r="L18" s="27" t="s">
        <v>263</v>
      </c>
    </row>
    <row r="20" spans="1:12" ht="21">
      <c r="A20" s="27" t="s">
        <v>275</v>
      </c>
      <c r="B20" s="42" t="s">
        <v>272</v>
      </c>
      <c r="C20" s="27" t="s">
        <v>275</v>
      </c>
      <c r="D20" s="42" t="s">
        <v>271</v>
      </c>
      <c r="E20" s="27" t="s">
        <v>275</v>
      </c>
      <c r="F20" s="42" t="s">
        <v>265</v>
      </c>
      <c r="G20" s="27" t="s">
        <v>275</v>
      </c>
      <c r="H20" s="42" t="s">
        <v>264</v>
      </c>
    </row>
    <row r="21" spans="1:12" ht="18.75">
      <c r="B21" s="41" t="s">
        <v>146</v>
      </c>
      <c r="D21" s="43" t="s">
        <v>147</v>
      </c>
      <c r="F21" s="41" t="s">
        <v>146</v>
      </c>
      <c r="H21" s="43" t="s">
        <v>147</v>
      </c>
    </row>
    <row r="22" spans="1:12" ht="18.75">
      <c r="B22" s="25" t="s">
        <v>43</v>
      </c>
      <c r="C22" s="20" t="s">
        <v>148</v>
      </c>
      <c r="D22" s="25" t="s">
        <v>43</v>
      </c>
      <c r="F22" s="24" t="s">
        <v>17</v>
      </c>
      <c r="G22" s="20" t="s">
        <v>148</v>
      </c>
      <c r="H22" s="24" t="s">
        <v>17</v>
      </c>
    </row>
    <row r="23" spans="1:12" ht="18.75">
      <c r="B23" s="25" t="s">
        <v>22</v>
      </c>
      <c r="C23" s="20" t="s">
        <v>148</v>
      </c>
      <c r="D23" s="25" t="s">
        <v>22</v>
      </c>
      <c r="F23" s="24" t="s">
        <v>131</v>
      </c>
      <c r="G23" s="20" t="s">
        <v>148</v>
      </c>
      <c r="H23" s="24" t="s">
        <v>131</v>
      </c>
    </row>
    <row r="24" spans="1:12" ht="18.75">
      <c r="B24" s="26" t="s">
        <v>142</v>
      </c>
      <c r="C24" s="20" t="s">
        <v>148</v>
      </c>
      <c r="D24" s="26" t="s">
        <v>142</v>
      </c>
    </row>
    <row r="25" spans="1:12" ht="18.75">
      <c r="B25" s="24" t="s">
        <v>143</v>
      </c>
      <c r="C25" s="20" t="s">
        <v>148</v>
      </c>
      <c r="D25" s="24" t="s">
        <v>143</v>
      </c>
      <c r="J25" s="27" t="s">
        <v>278</v>
      </c>
    </row>
    <row r="26" spans="1:12" ht="18.75">
      <c r="B26" s="26" t="s">
        <v>268</v>
      </c>
      <c r="C26" s="20" t="s">
        <v>148</v>
      </c>
      <c r="D26" s="26" t="s">
        <v>268</v>
      </c>
      <c r="J26" s="27" t="s">
        <v>279</v>
      </c>
    </row>
    <row r="27" spans="1:12" ht="18.75">
      <c r="B27" s="28" t="s">
        <v>269</v>
      </c>
      <c r="C27" s="20" t="s">
        <v>148</v>
      </c>
      <c r="D27" s="28" t="s">
        <v>269</v>
      </c>
    </row>
    <row r="29" spans="1:12" ht="21">
      <c r="B29" s="42" t="s">
        <v>242</v>
      </c>
      <c r="D29" s="42" t="s">
        <v>243</v>
      </c>
      <c r="F29" s="42" t="s">
        <v>244</v>
      </c>
    </row>
    <row r="30" spans="1:12" ht="18.75">
      <c r="B30" s="43" t="s">
        <v>147</v>
      </c>
      <c r="D30" s="43" t="s">
        <v>147</v>
      </c>
      <c r="F30" s="43" t="s">
        <v>147</v>
      </c>
    </row>
    <row r="31" spans="1:12" ht="18.75">
      <c r="B31" s="26" t="s">
        <v>140</v>
      </c>
      <c r="C31" s="20" t="s">
        <v>148</v>
      </c>
      <c r="D31" s="26" t="s">
        <v>154</v>
      </c>
      <c r="E31" s="20" t="s">
        <v>148</v>
      </c>
      <c r="F31" s="24" t="s">
        <v>18</v>
      </c>
    </row>
    <row r="32" spans="1:12" ht="18.75">
      <c r="B32" s="24" t="s">
        <v>14</v>
      </c>
      <c r="C32" s="20" t="s">
        <v>148</v>
      </c>
      <c r="D32" s="26" t="s">
        <v>155</v>
      </c>
      <c r="E32" s="20" t="s">
        <v>148</v>
      </c>
      <c r="F32" s="25" t="s">
        <v>135</v>
      </c>
    </row>
    <row r="33" spans="2:6" ht="18.75">
      <c r="B33" s="25" t="s">
        <v>135</v>
      </c>
      <c r="C33" s="20" t="s">
        <v>148</v>
      </c>
      <c r="D33" s="25" t="s">
        <v>156</v>
      </c>
      <c r="E33" s="20" t="s">
        <v>148</v>
      </c>
      <c r="F33" s="26" t="s">
        <v>152</v>
      </c>
    </row>
    <row r="34" spans="2:6" ht="18.75">
      <c r="D34" s="24" t="s">
        <v>16</v>
      </c>
    </row>
  </sheetData>
  <mergeCells count="1">
    <mergeCell ref="J1:L1"/>
  </mergeCells>
  <pageMargins left="0.7" right="0.7" top="0.75" bottom="0.75" header="0.3" footer="0.3"/>
  <pageSetup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AA81C-BDE0-4633-9B14-45484F776F72}">
  <dimension ref="C1:V92"/>
  <sheetViews>
    <sheetView topLeftCell="A53" workbookViewId="0">
      <selection activeCell="C25" sqref="C25:F78"/>
    </sheetView>
  </sheetViews>
  <sheetFormatPr defaultRowHeight="15"/>
  <cols>
    <col min="1" max="2" width="2.5703125" customWidth="1"/>
    <col min="3" max="3" width="20.7109375" bestFit="1" customWidth="1"/>
    <col min="4" max="4" width="15.85546875" bestFit="1" customWidth="1"/>
    <col min="5" max="5" width="12.140625" bestFit="1" customWidth="1"/>
    <col min="6" max="6" width="10.28515625" bestFit="1" customWidth="1"/>
    <col min="7" max="7" width="9.85546875" bestFit="1" customWidth="1"/>
    <col min="8" max="8" width="6.85546875" bestFit="1" customWidth="1"/>
    <col min="9" max="9" width="27.140625" bestFit="1" customWidth="1"/>
    <col min="10" max="10" width="19.85546875" bestFit="1" customWidth="1"/>
    <col min="11" max="11" width="29.140625" bestFit="1" customWidth="1"/>
    <col min="12" max="12" width="28.140625" bestFit="1" customWidth="1"/>
    <col min="13" max="13" width="14.85546875" bestFit="1" customWidth="1"/>
    <col min="14" max="14" width="29" bestFit="1" customWidth="1"/>
    <col min="15" max="15" width="31.85546875" bestFit="1" customWidth="1"/>
    <col min="16" max="17" width="16.28515625" bestFit="1" customWidth="1"/>
    <col min="18" max="18" width="19.85546875" bestFit="1" customWidth="1"/>
    <col min="19" max="19" width="17.42578125" bestFit="1" customWidth="1"/>
    <col min="20" max="20" width="15.140625" bestFit="1" customWidth="1"/>
    <col min="21" max="21" width="16" bestFit="1" customWidth="1"/>
    <col min="22" max="22" width="14" bestFit="1" customWidth="1"/>
    <col min="23" max="23" width="16.140625" bestFit="1" customWidth="1"/>
  </cols>
  <sheetData>
    <row r="1" spans="3:21" ht="8.25" customHeight="1"/>
    <row r="2" spans="3:21" ht="8.25" customHeight="1"/>
    <row r="3" spans="3:21" ht="23.25">
      <c r="C3" s="52" t="s">
        <v>115</v>
      </c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</row>
    <row r="4" spans="3:21">
      <c r="C4" s="53" t="s">
        <v>178</v>
      </c>
      <c r="D4" s="54"/>
      <c r="E4" s="54"/>
      <c r="F4" s="54"/>
      <c r="G4" s="54"/>
      <c r="H4" s="54"/>
      <c r="I4" s="54"/>
      <c r="J4" s="54"/>
    </row>
    <row r="5" spans="3:21">
      <c r="C5" s="14" t="s">
        <v>59</v>
      </c>
      <c r="D5" s="14" t="s">
        <v>23</v>
      </c>
      <c r="E5" s="14" t="s">
        <v>24</v>
      </c>
      <c r="F5" s="14" t="s">
        <v>8</v>
      </c>
      <c r="G5" s="14" t="s">
        <v>7</v>
      </c>
      <c r="H5" s="31" t="s">
        <v>131</v>
      </c>
      <c r="I5" s="31" t="s">
        <v>97</v>
      </c>
      <c r="J5" s="31" t="s">
        <v>17</v>
      </c>
      <c r="L5" s="62" t="s">
        <v>179</v>
      </c>
      <c r="M5" s="62"/>
      <c r="N5" s="62"/>
      <c r="O5" s="62"/>
      <c r="P5" s="62"/>
      <c r="Q5" s="62"/>
    </row>
    <row r="6" spans="3:21">
      <c r="C6" s="15" t="s">
        <v>57</v>
      </c>
      <c r="D6" s="15">
        <v>10</v>
      </c>
      <c r="E6" s="15">
        <v>2</v>
      </c>
      <c r="F6" s="15">
        <v>6</v>
      </c>
      <c r="G6" s="15">
        <v>0</v>
      </c>
      <c r="H6" s="15">
        <v>0</v>
      </c>
      <c r="I6" s="15">
        <v>0</v>
      </c>
      <c r="J6" s="15">
        <v>0</v>
      </c>
      <c r="L6" s="19" t="s">
        <v>72</v>
      </c>
      <c r="M6" s="19" t="s">
        <v>71</v>
      </c>
      <c r="N6" s="19" t="s">
        <v>125</v>
      </c>
      <c r="O6" s="19" t="s">
        <v>116</v>
      </c>
      <c r="P6" s="19" t="s">
        <v>70</v>
      </c>
      <c r="Q6" s="19" t="s">
        <v>126</v>
      </c>
    </row>
    <row r="7" spans="3:21">
      <c r="C7" s="15" t="s">
        <v>56</v>
      </c>
      <c r="D7" s="15">
        <v>9</v>
      </c>
      <c r="E7" s="15">
        <v>4</v>
      </c>
      <c r="F7" s="15">
        <v>7</v>
      </c>
      <c r="G7" s="15">
        <v>0</v>
      </c>
      <c r="H7" s="15">
        <v>2</v>
      </c>
      <c r="I7" s="15">
        <v>0</v>
      </c>
      <c r="J7" s="15">
        <v>1</v>
      </c>
      <c r="L7" s="15" t="s">
        <v>69</v>
      </c>
      <c r="M7" s="15">
        <f>SUM(8*15)</f>
        <v>120</v>
      </c>
      <c r="N7" s="15">
        <f>D16</f>
        <v>480</v>
      </c>
      <c r="O7" s="15">
        <f>E16</f>
        <v>1200</v>
      </c>
      <c r="P7" s="15">
        <f>ROUNDDOWN(O7/M7,0)</f>
        <v>10</v>
      </c>
      <c r="Q7" s="15">
        <f>ROUNDDOWN(600/M7,0)</f>
        <v>5</v>
      </c>
    </row>
    <row r="8" spans="3:21">
      <c r="C8" s="15" t="s">
        <v>55</v>
      </c>
      <c r="D8" s="15">
        <v>0</v>
      </c>
      <c r="E8" s="15">
        <v>0</v>
      </c>
      <c r="F8" s="15">
        <v>1</v>
      </c>
      <c r="G8" s="15">
        <v>2</v>
      </c>
      <c r="H8" s="15">
        <v>0</v>
      </c>
      <c r="I8" s="15">
        <v>2</v>
      </c>
      <c r="J8" s="15">
        <v>0</v>
      </c>
      <c r="L8" s="15" t="s">
        <v>68</v>
      </c>
      <c r="M8" s="15">
        <f>SUM(8*30)</f>
        <v>240</v>
      </c>
      <c r="N8" s="15">
        <f>D20</f>
        <v>600</v>
      </c>
      <c r="O8" s="15">
        <f>E20</f>
        <v>2250</v>
      </c>
      <c r="P8" s="15">
        <f>ROUNDDOWN(O8/M8,0)</f>
        <v>9</v>
      </c>
      <c r="Q8" s="15">
        <f>ROUNDDOWN(O8/M8,0)</f>
        <v>9</v>
      </c>
    </row>
    <row r="9" spans="3:21">
      <c r="C9" s="15" t="s">
        <v>67</v>
      </c>
      <c r="D9" s="15">
        <f>E47</f>
        <v>2400</v>
      </c>
      <c r="E9" s="15">
        <f>E56</f>
        <v>1200</v>
      </c>
      <c r="F9" s="15">
        <f>E73</f>
        <v>1440</v>
      </c>
      <c r="G9" s="15">
        <f>E78</f>
        <v>1200</v>
      </c>
      <c r="H9" s="15">
        <f>E83</f>
        <v>1200</v>
      </c>
      <c r="I9" s="15">
        <f>E92</f>
        <v>1200</v>
      </c>
      <c r="J9" s="15">
        <f>E87</f>
        <v>300</v>
      </c>
      <c r="L9" s="15" t="s">
        <v>99</v>
      </c>
      <c r="M9" s="15">
        <f>SUM(15*60)</f>
        <v>900</v>
      </c>
      <c r="N9" s="15">
        <f>D18</f>
        <v>1800</v>
      </c>
      <c r="O9" s="15">
        <f>E18</f>
        <v>1800</v>
      </c>
      <c r="P9" s="15"/>
      <c r="Q9" s="15"/>
    </row>
    <row r="10" spans="3:21">
      <c r="C10" s="15" t="s">
        <v>116</v>
      </c>
      <c r="D10" s="15">
        <f>SUM((D6*MinerOutputValues!D6*MinerOutputValues!D15*MinerOutputValues!D20) + (D7*MinerOutputValues!D7*MinerOutputValues!D15*MinerOutputValues!D20) + (D8*MinerOutputValues!D8*MinerOutputValues!D15*MinerOutputValues!D20) )</f>
        <v>4200</v>
      </c>
      <c r="E10" s="15">
        <f>SUM((E6*MinerOutputValues!D6*MinerOutputValues!D15*MinerOutputValues!D20) + (E7*MinerOutputValues!D7*MinerOutputValues!D15*MinerOutputValues!D20) + (E8*MinerOutputValues!D8*MinerOutputValues!D15*MinerOutputValues!D20) )</f>
        <v>1500</v>
      </c>
      <c r="F10" s="15">
        <f>SUM((F6*MinerOutputValues!D6*MinerOutputValues!D15*MinerOutputValues!D20) + (F7*MinerOutputValues!D7*MinerOutputValues!D15*MinerOutputValues!D20) + (F8*MinerOutputValues!D8*MinerOutputValues!D15*MinerOutputValues!D20) )</f>
        <v>3600</v>
      </c>
      <c r="G10" s="15">
        <f>SUM((G6*MinerOutputValues!D6*MinerOutputValues!D15*MinerOutputValues!D20) + (G7*MinerOutputValues!D7*MinerOutputValues!D15*MinerOutputValues!D20) + (G8*MinerOutputValues!D8*MinerOutputValues!D15*MinerOutputValues!D20) )</f>
        <v>1200</v>
      </c>
      <c r="H10" s="15">
        <f>SUM((H6*MinerOutputValues!D6*MinerOutputValues!D15*MinerOutputValues!D20) + (H7*MinerOutputValues!D7*MinerOutputValues!D15*MinerOutputValues!D20) + (H8*MinerOutputValues!D8*MinerOutputValues!D15*MinerOutputValues!D20) )</f>
        <v>600</v>
      </c>
      <c r="I10" s="15">
        <f>SUM((I6*MinerOutputValues!D6*MinerOutputValues!D15*MinerOutputValues!D20) + (I7*MinerOutputValues!D7*MinerOutputValues!D15*MinerOutputValues!D20) + (I8*MinerOutputValues!D8*MinerOutputValues!D15*MinerOutputValues!D20) )</f>
        <v>1200</v>
      </c>
      <c r="J10" s="15">
        <f>SUM((J6*MinerOutputValues!D6*MinerOutputValues!D15*MinerOutputValues!D20) + (J7*MinerOutputValues!D7*MinerOutputValues!D15*MinerOutputValues!D20) + (J8*MinerOutputValues!D8*MinerOutputValues!D15*MinerOutputValues!D20) )</f>
        <v>300</v>
      </c>
      <c r="L10" s="15" t="s">
        <v>100</v>
      </c>
      <c r="M10" s="15">
        <f>SUM(12*100)</f>
        <v>1200</v>
      </c>
      <c r="N10" s="15">
        <f>D17</f>
        <v>2400</v>
      </c>
      <c r="O10" s="15">
        <f>E17</f>
        <v>3000</v>
      </c>
      <c r="P10" s="15"/>
      <c r="Q10" s="15"/>
    </row>
    <row r="11" spans="3:21">
      <c r="C11" s="15" t="s">
        <v>117</v>
      </c>
      <c r="D11" s="15">
        <f>SUM((D6*MinerOutputValues!D6*MinerOutputValues!D15*MinerOutputValues!D21) + (D7*MinerOutputValues!D7*MinerOutputValues!D15*MinerOutputValues!D21) + (D8*MinerOutputValues!D8*MinerOutputValues!D13*MinerOutputValues!D21) )</f>
        <v>8400</v>
      </c>
      <c r="E11" s="15">
        <f>SUM((E6*MinerOutputValues!D6*MinerOutputValues!D15*MinerOutputValues!D21) + (E7*MinerOutputValues!D7*MinerOutputValues!D15*MinerOutputValues!D21) + (E8*MinerOutputValues!D8*MinerOutputValues!D13*MinerOutputValues!D21) )</f>
        <v>3000</v>
      </c>
      <c r="F11" s="15">
        <f>SUM((F6*MinerOutputValues!D6*MinerOutputValues!D15*MinerOutputValues!D21) + (F7*MinerOutputValues!D7*MinerOutputValues!D15*MinerOutputValues!D21) + (F8*MinerOutputValues!D8*MinerOutputValues!D13*MinerOutputValues!D21) )</f>
        <v>6720</v>
      </c>
      <c r="G11" s="15">
        <f>SUM((G6*MinerOutputValues!D6*MinerOutputValues!D15*MinerOutputValues!D21) + (G7*MinerOutputValues!D7*MinerOutputValues!D15*MinerOutputValues!D21) + (G8*MinerOutputValues!D8*MinerOutputValues!D13*MinerOutputValues!D21) )</f>
        <v>1440</v>
      </c>
      <c r="H11" s="15">
        <f>SUM((H6*MinerOutputValues!D6*MinerOutputValues!D15*MinerOutputValues!D21) + (H7*MinerOutputValues!D7*MinerOutputValues!D15*MinerOutputValues!D21) + (H8*MinerOutputValues!D8*MinerOutputValues!D13*MinerOutputValues!D21) )</f>
        <v>1200</v>
      </c>
      <c r="I11" s="15">
        <f>SUM((I6*MinerOutputValues!D6*MinerOutputValues!D15*MinerOutputValues!D21) + (I7*MinerOutputValues!D7*MinerOutputValues!D15*MinerOutputValues!D21) + (I8*MinerOutputValues!D8*MinerOutputValues!D13*MinerOutputValues!D21) )</f>
        <v>1440</v>
      </c>
      <c r="J11" s="15">
        <f>SUM((J6*MinerOutputValues!D6*MinerOutputValues!D15*MinerOutputValues!D21) + (J7*MinerOutputValues!D7*MinerOutputValues!D15*MinerOutputValues!D21) + (J8*MinerOutputValues!D8*MinerOutputValues!D13*MinerOutputValues!D21) )</f>
        <v>600</v>
      </c>
    </row>
    <row r="13" spans="3:21">
      <c r="F13" s="36"/>
    </row>
    <row r="14" spans="3:21">
      <c r="C14" s="60" t="s">
        <v>118</v>
      </c>
      <c r="D14" s="61"/>
      <c r="E14" s="61"/>
      <c r="F14" s="61"/>
      <c r="G14" s="61"/>
      <c r="I14" s="58" t="s">
        <v>166</v>
      </c>
      <c r="J14" s="59"/>
      <c r="L14" s="60" t="s">
        <v>210</v>
      </c>
      <c r="M14" s="61"/>
      <c r="N14" s="61"/>
      <c r="O14" s="61"/>
    </row>
    <row r="15" spans="3:21">
      <c r="C15" s="16" t="s">
        <v>59</v>
      </c>
      <c r="D15" s="16" t="s">
        <v>66</v>
      </c>
      <c r="E15" s="16" t="s">
        <v>119</v>
      </c>
      <c r="F15" s="16" t="s">
        <v>120</v>
      </c>
      <c r="G15" s="37" t="s">
        <v>203</v>
      </c>
      <c r="I15" s="32" t="s">
        <v>174</v>
      </c>
      <c r="J15" s="32">
        <v>0.5</v>
      </c>
      <c r="L15" s="16" t="s">
        <v>211</v>
      </c>
      <c r="M15" s="16" t="s">
        <v>149</v>
      </c>
      <c r="N15" s="16" t="s">
        <v>150</v>
      </c>
      <c r="O15" s="16" t="s">
        <v>151</v>
      </c>
    </row>
    <row r="16" spans="3:21">
      <c r="C16" s="15" t="s">
        <v>16</v>
      </c>
      <c r="D16" s="15">
        <f>SUM((F9/45)*15)</f>
        <v>480</v>
      </c>
      <c r="E16" s="15">
        <f>SUM((F10/45)*15)</f>
        <v>1200</v>
      </c>
      <c r="F16" s="15">
        <f>SUM((F11/45)*15)</f>
        <v>2240</v>
      </c>
      <c r="G16" s="38" t="s">
        <v>207</v>
      </c>
      <c r="H16">
        <v>2</v>
      </c>
      <c r="I16" s="32" t="s">
        <v>173</v>
      </c>
      <c r="J16" s="32">
        <v>0.35</v>
      </c>
      <c r="L16" s="15" t="s">
        <v>162</v>
      </c>
      <c r="M16" s="15" t="s">
        <v>162</v>
      </c>
      <c r="N16" s="15" t="s">
        <v>162</v>
      </c>
      <c r="O16" s="15" t="s">
        <v>162</v>
      </c>
    </row>
    <row r="17" spans="3:22">
      <c r="C17" s="15" t="s">
        <v>65</v>
      </c>
      <c r="D17" s="15">
        <f>SUM((E9/50)*100)</f>
        <v>2400</v>
      </c>
      <c r="E17" s="15">
        <f>SUM((E10/50)*100)</f>
        <v>3000</v>
      </c>
      <c r="F17" s="15">
        <f>SUM((E11/50)*100)</f>
        <v>6000</v>
      </c>
      <c r="G17" s="38" t="s">
        <v>206</v>
      </c>
      <c r="H17">
        <v>4</v>
      </c>
      <c r="I17" s="32" t="s">
        <v>172</v>
      </c>
      <c r="J17" s="32">
        <v>0.65</v>
      </c>
      <c r="L17" s="15" t="s">
        <v>65</v>
      </c>
      <c r="M17" s="15" t="s">
        <v>65</v>
      </c>
      <c r="N17" s="15" t="s">
        <v>65</v>
      </c>
      <c r="O17" s="15" t="s">
        <v>65</v>
      </c>
    </row>
    <row r="18" spans="3:22">
      <c r="C18" s="15" t="s">
        <v>62</v>
      </c>
      <c r="D18" s="15">
        <f>SUM((G9/40)*60)</f>
        <v>1800</v>
      </c>
      <c r="E18" s="15">
        <f>SUM((G10/40)*60)</f>
        <v>1800</v>
      </c>
      <c r="F18" s="15">
        <f>SUM((G11/40)*60)</f>
        <v>2160</v>
      </c>
      <c r="G18" s="38" t="s">
        <v>205</v>
      </c>
      <c r="H18">
        <v>2</v>
      </c>
      <c r="I18" s="32" t="s">
        <v>171</v>
      </c>
      <c r="J18" s="32">
        <v>0.8</v>
      </c>
      <c r="L18" s="15" t="s">
        <v>62</v>
      </c>
      <c r="M18" s="15" t="s">
        <v>62</v>
      </c>
      <c r="N18" s="15" t="s">
        <v>213</v>
      </c>
      <c r="O18" s="15" t="s">
        <v>202</v>
      </c>
    </row>
    <row r="19" spans="3:22">
      <c r="C19" s="17" t="s">
        <v>64</v>
      </c>
      <c r="D19" s="15">
        <f>SUM(D9-(E9/2)-G9)</f>
        <v>600</v>
      </c>
      <c r="E19" s="15">
        <f>SUM(D10-(E10/2)-G10)</f>
        <v>2250</v>
      </c>
      <c r="F19" s="17">
        <f>SUM(D11-(E11/2)-G11)</f>
        <v>5460</v>
      </c>
      <c r="G19" s="38">
        <v>0</v>
      </c>
      <c r="I19" s="32" t="s">
        <v>170</v>
      </c>
      <c r="J19" s="32">
        <v>0.2</v>
      </c>
      <c r="L19" s="15" t="s">
        <v>212</v>
      </c>
      <c r="M19" s="15" t="s">
        <v>212</v>
      </c>
      <c r="N19" s="15"/>
      <c r="O19" s="15"/>
    </row>
    <row r="20" spans="3:22">
      <c r="C20" s="15" t="s">
        <v>63</v>
      </c>
      <c r="D20" s="15">
        <f>SUM((D19/30)*30)</f>
        <v>600</v>
      </c>
      <c r="E20" s="15">
        <f>SUM((E19/30)*30)</f>
        <v>2250</v>
      </c>
      <c r="F20" s="17">
        <f>SUM((F19/30)*30)</f>
        <v>5460</v>
      </c>
      <c r="G20" s="38" t="s">
        <v>204</v>
      </c>
      <c r="H20">
        <v>4</v>
      </c>
      <c r="I20" s="34" t="s">
        <v>175</v>
      </c>
      <c r="J20" s="35">
        <v>0.85</v>
      </c>
      <c r="L20" s="15" t="s">
        <v>16</v>
      </c>
      <c r="M20" s="15" t="s">
        <v>16</v>
      </c>
      <c r="N20" s="15"/>
      <c r="O20" s="15"/>
    </row>
    <row r="21" spans="3:22">
      <c r="C21" s="17" t="s">
        <v>165</v>
      </c>
      <c r="D21" s="17">
        <f>SUM((I9/45)*15)</f>
        <v>400</v>
      </c>
      <c r="E21" s="15">
        <f>SUM((I10/45)*15)</f>
        <v>400</v>
      </c>
      <c r="F21" s="15">
        <f>SUM((I11/45)*15)</f>
        <v>480</v>
      </c>
      <c r="G21" s="38" t="s">
        <v>208</v>
      </c>
      <c r="I21" s="34" t="s">
        <v>176</v>
      </c>
      <c r="J21" s="35">
        <v>0.15</v>
      </c>
      <c r="L21" s="15" t="s">
        <v>18</v>
      </c>
      <c r="M21" s="15" t="s">
        <v>18</v>
      </c>
      <c r="N21" s="15"/>
      <c r="O21" s="15"/>
    </row>
    <row r="22" spans="3:22">
      <c r="C22" s="17" t="s">
        <v>18</v>
      </c>
      <c r="D22" s="17" t="s">
        <v>350</v>
      </c>
      <c r="E22" s="17">
        <f>SUM(((H10*0.85)/22.5)*37.5)</f>
        <v>850</v>
      </c>
      <c r="F22" s="17">
        <f>SUM(((H11*0.85)/22.5)*37.5)</f>
        <v>1700</v>
      </c>
      <c r="G22" s="38" t="s">
        <v>209</v>
      </c>
      <c r="H22">
        <v>2</v>
      </c>
      <c r="S22" s="18"/>
      <c r="T22" s="18"/>
      <c r="U22" s="18"/>
      <c r="V22" s="18"/>
    </row>
    <row r="23" spans="3:22">
      <c r="C23" s="17" t="s">
        <v>169</v>
      </c>
      <c r="D23" s="17">
        <f>SUM(((H9*0.15)/37.5)*22.5)</f>
        <v>108</v>
      </c>
      <c r="E23" s="17">
        <f>SUM(((H10*0.15)/37.5)*22.5)</f>
        <v>54</v>
      </c>
      <c r="F23" s="17">
        <f>SUM(((H11*0.15)/37.5)*22.5)</f>
        <v>108</v>
      </c>
      <c r="G23" s="38">
        <f t="shared" ref="G23" si="0">ROUND(D23/780,0)</f>
        <v>0</v>
      </c>
      <c r="H23">
        <v>1</v>
      </c>
      <c r="I23" s="60" t="s">
        <v>177</v>
      </c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18"/>
      <c r="U23" s="18"/>
      <c r="V23" s="18"/>
    </row>
    <row r="24" spans="3:22">
      <c r="I24" s="16" t="s">
        <v>59</v>
      </c>
      <c r="J24" s="16" t="s">
        <v>111</v>
      </c>
      <c r="K24" s="16" t="s">
        <v>161</v>
      </c>
      <c r="L24" s="16" t="s">
        <v>112</v>
      </c>
      <c r="M24" s="16" t="s">
        <v>164</v>
      </c>
      <c r="N24" s="16" t="s">
        <v>114</v>
      </c>
      <c r="O24" s="16" t="s">
        <v>163</v>
      </c>
      <c r="P24" s="16" t="s">
        <v>113</v>
      </c>
      <c r="Q24" s="33" t="s">
        <v>167</v>
      </c>
      <c r="R24" s="33" t="s">
        <v>168</v>
      </c>
      <c r="S24" s="33" t="s">
        <v>197</v>
      </c>
      <c r="T24" s="18"/>
      <c r="U24" s="18"/>
      <c r="V24" s="18"/>
    </row>
    <row r="25" spans="3:22" ht="15.75">
      <c r="C25" s="53" t="s">
        <v>121</v>
      </c>
      <c r="D25" s="54"/>
      <c r="E25" s="54"/>
      <c r="F25" s="54"/>
      <c r="I25" s="15" t="s">
        <v>101</v>
      </c>
      <c r="J25" s="15">
        <v>15</v>
      </c>
      <c r="K25" s="15" t="s">
        <v>162</v>
      </c>
      <c r="L25" s="15"/>
      <c r="M25" s="15"/>
      <c r="N25" s="15">
        <v>15</v>
      </c>
      <c r="O25" s="39">
        <v>8</v>
      </c>
      <c r="P25" s="15">
        <f>N25*O25</f>
        <v>120</v>
      </c>
      <c r="Q25" s="39">
        <v>8</v>
      </c>
      <c r="R25" s="15">
        <f>N25*Q25</f>
        <v>120</v>
      </c>
      <c r="S25" s="15">
        <f>P25-R25</f>
        <v>0</v>
      </c>
      <c r="T25" s="18"/>
      <c r="U25" s="18"/>
      <c r="V25" s="18"/>
    </row>
    <row r="26" spans="3:22" ht="15.75">
      <c r="C26" s="55" t="s">
        <v>23</v>
      </c>
      <c r="D26" s="56"/>
      <c r="E26" s="56"/>
      <c r="F26" s="57"/>
      <c r="I26" s="15" t="s">
        <v>102</v>
      </c>
      <c r="J26" s="15">
        <v>120</v>
      </c>
      <c r="K26" s="15" t="s">
        <v>162</v>
      </c>
      <c r="L26" s="15"/>
      <c r="M26" s="15"/>
      <c r="N26" s="15">
        <v>30</v>
      </c>
      <c r="O26" s="39">
        <v>4</v>
      </c>
      <c r="P26" s="15">
        <f>N26*O26</f>
        <v>120</v>
      </c>
      <c r="Q26" s="39">
        <v>4</v>
      </c>
      <c r="R26" s="15">
        <f t="shared" ref="R26:R34" si="1">N26*Q26</f>
        <v>120</v>
      </c>
      <c r="S26" s="15">
        <f t="shared" ref="S26:S34" si="2">P26-R26</f>
        <v>0</v>
      </c>
      <c r="T26" s="18"/>
      <c r="U26" s="18"/>
      <c r="V26" s="18"/>
    </row>
    <row r="27" spans="3:22" ht="15.75">
      <c r="C27" s="15" t="s">
        <v>122</v>
      </c>
      <c r="D27" s="15" t="s">
        <v>123</v>
      </c>
      <c r="E27" s="15" t="s">
        <v>124</v>
      </c>
      <c r="F27" s="15"/>
      <c r="I27" s="15" t="s">
        <v>103</v>
      </c>
      <c r="J27" s="15">
        <v>120</v>
      </c>
      <c r="K27" s="15" t="s">
        <v>162</v>
      </c>
      <c r="L27" s="15"/>
      <c r="M27" s="15"/>
      <c r="N27" s="15">
        <v>20</v>
      </c>
      <c r="O27" s="39">
        <v>4</v>
      </c>
      <c r="P27" s="15">
        <f t="shared" ref="P27:P34" si="3">N27*O27</f>
        <v>80</v>
      </c>
      <c r="Q27" s="39">
        <v>4</v>
      </c>
      <c r="R27" s="15">
        <f t="shared" si="1"/>
        <v>80</v>
      </c>
      <c r="S27" s="15">
        <f t="shared" si="2"/>
        <v>0</v>
      </c>
    </row>
    <row r="28" spans="3:22" ht="15.75">
      <c r="C28" s="15">
        <v>60</v>
      </c>
      <c r="D28" s="15">
        <v>1</v>
      </c>
      <c r="E28" s="15">
        <f>C28*D28</f>
        <v>60</v>
      </c>
      <c r="F28" s="15"/>
      <c r="I28" s="15" t="s">
        <v>104</v>
      </c>
      <c r="J28" s="15">
        <v>120</v>
      </c>
      <c r="K28" s="15" t="s">
        <v>162</v>
      </c>
      <c r="L28" s="15"/>
      <c r="M28" s="15"/>
      <c r="N28" s="15">
        <v>50</v>
      </c>
      <c r="O28" s="39">
        <v>10</v>
      </c>
      <c r="P28" s="15">
        <f t="shared" si="3"/>
        <v>500</v>
      </c>
      <c r="Q28" s="39">
        <v>10</v>
      </c>
      <c r="R28" s="15">
        <f t="shared" si="1"/>
        <v>500</v>
      </c>
      <c r="S28" s="15">
        <f t="shared" si="2"/>
        <v>0</v>
      </c>
    </row>
    <row r="29" spans="3:22" ht="15.75">
      <c r="C29" s="15">
        <v>60</v>
      </c>
      <c r="D29" s="15">
        <v>1</v>
      </c>
      <c r="E29" s="15">
        <f t="shared" ref="E29:E46" si="4">C29*D29</f>
        <v>60</v>
      </c>
      <c r="F29" s="15"/>
      <c r="I29" s="15" t="s">
        <v>105</v>
      </c>
      <c r="J29" s="15">
        <v>60</v>
      </c>
      <c r="K29" s="15" t="s">
        <v>162</v>
      </c>
      <c r="L29" s="15"/>
      <c r="M29" s="15"/>
      <c r="N29" s="15">
        <v>5.625</v>
      </c>
      <c r="O29" s="39">
        <f>ROUNDDOWN(SUM(D20/J29),0)</f>
        <v>10</v>
      </c>
      <c r="P29" s="15">
        <v>67</v>
      </c>
      <c r="Q29" s="39">
        <v>10</v>
      </c>
      <c r="R29" s="15">
        <f t="shared" si="1"/>
        <v>56.25</v>
      </c>
      <c r="S29" s="15">
        <f t="shared" si="2"/>
        <v>10.75</v>
      </c>
    </row>
    <row r="30" spans="3:22" ht="15.75">
      <c r="C30" s="15">
        <v>60</v>
      </c>
      <c r="D30" s="15">
        <v>1</v>
      </c>
      <c r="E30" s="15">
        <f t="shared" si="4"/>
        <v>60</v>
      </c>
      <c r="F30" s="15"/>
      <c r="I30" s="15" t="s">
        <v>106</v>
      </c>
      <c r="J30" s="15">
        <v>30</v>
      </c>
      <c r="K30" s="15" t="s">
        <v>62</v>
      </c>
      <c r="L30" s="15"/>
      <c r="M30" s="15"/>
      <c r="N30" s="15">
        <v>20</v>
      </c>
      <c r="O30" s="39">
        <f>ROUNDDOWN(SUM(D18*J18)/J30,0)</f>
        <v>48</v>
      </c>
      <c r="P30" s="15">
        <f t="shared" si="3"/>
        <v>960</v>
      </c>
      <c r="Q30" s="39">
        <v>48</v>
      </c>
      <c r="R30" s="15">
        <f t="shared" si="1"/>
        <v>960</v>
      </c>
      <c r="S30" s="15">
        <f t="shared" si="2"/>
        <v>0</v>
      </c>
    </row>
    <row r="31" spans="3:22" ht="15.75">
      <c r="C31" s="15">
        <v>60</v>
      </c>
      <c r="D31" s="15">
        <v>1</v>
      </c>
      <c r="E31" s="15">
        <f t="shared" si="4"/>
        <v>60</v>
      </c>
      <c r="F31" s="15"/>
      <c r="I31" s="15" t="s">
        <v>107</v>
      </c>
      <c r="J31" s="15">
        <v>60</v>
      </c>
      <c r="K31" s="15" t="s">
        <v>62</v>
      </c>
      <c r="L31" s="15"/>
      <c r="M31" s="15"/>
      <c r="N31" s="15">
        <v>15</v>
      </c>
      <c r="O31" s="39">
        <f>ROUNDDOWN(SUM(D18*J19)/J31,0)</f>
        <v>6</v>
      </c>
      <c r="P31" s="15">
        <f t="shared" si="3"/>
        <v>90</v>
      </c>
      <c r="Q31" s="39">
        <v>5</v>
      </c>
      <c r="R31" s="15">
        <f t="shared" si="1"/>
        <v>75</v>
      </c>
      <c r="S31" s="15">
        <f t="shared" si="2"/>
        <v>15</v>
      </c>
    </row>
    <row r="32" spans="3:22" ht="15.75">
      <c r="C32" s="15">
        <v>60</v>
      </c>
      <c r="D32" s="15">
        <v>1</v>
      </c>
      <c r="E32" s="15">
        <f t="shared" si="4"/>
        <v>60</v>
      </c>
      <c r="F32" s="15"/>
      <c r="I32" s="15" t="s">
        <v>108</v>
      </c>
      <c r="J32" s="15">
        <v>20</v>
      </c>
      <c r="K32" s="15" t="s">
        <v>65</v>
      </c>
      <c r="L32" s="15"/>
      <c r="M32" s="15"/>
      <c r="N32" s="15">
        <v>10</v>
      </c>
      <c r="O32" s="39">
        <f>ROUNDDOWN(SUM(D17*J15)/J32,0)</f>
        <v>60</v>
      </c>
      <c r="P32" s="15">
        <f t="shared" si="3"/>
        <v>600</v>
      </c>
      <c r="Q32" s="39">
        <v>60</v>
      </c>
      <c r="R32" s="15">
        <f t="shared" si="1"/>
        <v>600</v>
      </c>
      <c r="S32" s="15">
        <f t="shared" si="2"/>
        <v>0</v>
      </c>
    </row>
    <row r="33" spans="3:19" ht="15.75">
      <c r="C33" s="15">
        <v>60</v>
      </c>
      <c r="D33" s="15">
        <v>1</v>
      </c>
      <c r="E33" s="15">
        <f t="shared" si="4"/>
        <v>60</v>
      </c>
      <c r="F33" s="15"/>
      <c r="I33" s="15" t="s">
        <v>109</v>
      </c>
      <c r="J33" s="15">
        <v>12</v>
      </c>
      <c r="K33" s="15" t="s">
        <v>65</v>
      </c>
      <c r="L33" s="15">
        <v>3</v>
      </c>
      <c r="M33" s="15" t="s">
        <v>165</v>
      </c>
      <c r="N33" s="15">
        <v>90</v>
      </c>
      <c r="O33" s="39">
        <f>ROUNDDOWN(SUM(D21*J16)/L33,0)</f>
        <v>46</v>
      </c>
      <c r="P33" s="15">
        <f t="shared" si="3"/>
        <v>4140</v>
      </c>
      <c r="Q33" s="39">
        <v>16</v>
      </c>
      <c r="R33" s="15">
        <f t="shared" si="1"/>
        <v>1440</v>
      </c>
      <c r="S33" s="15">
        <f t="shared" si="2"/>
        <v>2700</v>
      </c>
    </row>
    <row r="34" spans="3:19" ht="15.75">
      <c r="C34" s="15">
        <v>60</v>
      </c>
      <c r="D34" s="15">
        <v>1</v>
      </c>
      <c r="E34" s="15">
        <f t="shared" si="4"/>
        <v>60</v>
      </c>
      <c r="F34" s="15"/>
      <c r="I34" s="15" t="s">
        <v>110</v>
      </c>
      <c r="J34" s="15">
        <v>37.5</v>
      </c>
      <c r="K34" s="15" t="s">
        <v>65</v>
      </c>
      <c r="L34" s="15">
        <v>7.5</v>
      </c>
      <c r="M34" s="15" t="s">
        <v>165</v>
      </c>
      <c r="N34" s="15">
        <v>90</v>
      </c>
      <c r="O34" s="39">
        <f>ROUNDDOWN(SUM(D21*J17)/L34,0)</f>
        <v>34</v>
      </c>
      <c r="P34" s="15">
        <f t="shared" si="3"/>
        <v>3060</v>
      </c>
      <c r="Q34" s="39">
        <v>14</v>
      </c>
      <c r="R34" s="15">
        <f t="shared" si="1"/>
        <v>1260</v>
      </c>
      <c r="S34" s="15">
        <f t="shared" si="2"/>
        <v>1800</v>
      </c>
    </row>
    <row r="35" spans="3:19">
      <c r="C35" s="15">
        <v>60</v>
      </c>
      <c r="D35" s="15">
        <v>1</v>
      </c>
      <c r="E35" s="15">
        <f t="shared" si="4"/>
        <v>60</v>
      </c>
      <c r="F35" s="15"/>
    </row>
    <row r="36" spans="3:19">
      <c r="C36" s="15">
        <v>60</v>
      </c>
      <c r="D36" s="15">
        <v>1</v>
      </c>
      <c r="E36" s="15">
        <f t="shared" si="4"/>
        <v>60</v>
      </c>
      <c r="F36" s="15"/>
      <c r="I36" s="32" t="s">
        <v>193</v>
      </c>
      <c r="J36" s="32" t="s">
        <v>192</v>
      </c>
      <c r="K36" s="32" t="s">
        <v>190</v>
      </c>
      <c r="L36" s="32" t="s">
        <v>194</v>
      </c>
      <c r="M36" s="32" t="s">
        <v>192</v>
      </c>
      <c r="N36" s="32" t="s">
        <v>198</v>
      </c>
      <c r="O36" s="32" t="s">
        <v>191</v>
      </c>
      <c r="P36" s="33" t="s">
        <v>167</v>
      </c>
    </row>
    <row r="37" spans="3:19">
      <c r="C37" s="15">
        <v>60</v>
      </c>
      <c r="D37" s="15">
        <v>1</v>
      </c>
      <c r="E37" s="15">
        <f t="shared" si="4"/>
        <v>60</v>
      </c>
      <c r="F37" s="15"/>
      <c r="I37" s="32" t="s">
        <v>188</v>
      </c>
      <c r="J37" s="32">
        <v>0.5</v>
      </c>
      <c r="K37" s="32" t="e">
        <f>ROUNDDOWN(SUM((D22*0.5)/27.5),0)</f>
        <v>#VALUE!</v>
      </c>
      <c r="L37" s="32" t="s">
        <v>189</v>
      </c>
      <c r="M37" s="32">
        <v>1</v>
      </c>
      <c r="N37" s="32">
        <f>ROUNDDOWN(SUM((P32*1)/27.5),0)</f>
        <v>21</v>
      </c>
      <c r="O37" s="32" t="e">
        <f>IF(K37&gt;N37,N37,K37)</f>
        <v>#VALUE!</v>
      </c>
      <c r="P37" s="32">
        <v>15</v>
      </c>
    </row>
    <row r="38" spans="3:19">
      <c r="C38" s="15">
        <v>120</v>
      </c>
      <c r="D38" s="15">
        <v>1</v>
      </c>
      <c r="E38" s="15">
        <f t="shared" si="4"/>
        <v>120</v>
      </c>
      <c r="F38" s="15"/>
      <c r="I38" s="32" t="s">
        <v>187</v>
      </c>
      <c r="J38" s="32">
        <v>0.7</v>
      </c>
      <c r="K38" s="32">
        <f>ROUNDDOWN(SUM((D16*J38)/20),0)</f>
        <v>16</v>
      </c>
      <c r="L38" s="32" t="s">
        <v>185</v>
      </c>
      <c r="M38" s="32">
        <v>0.25</v>
      </c>
      <c r="N38" s="32">
        <f>ROUNDDOWN(SUM((P30*M38)/28),0)</f>
        <v>8</v>
      </c>
      <c r="O38" s="32">
        <f t="shared" ref="O38:O40" si="5">IF(K38&gt;N38,N38,K38)</f>
        <v>8</v>
      </c>
      <c r="P38" s="32">
        <v>8</v>
      </c>
    </row>
    <row r="39" spans="3:19">
      <c r="C39" s="15">
        <v>120</v>
      </c>
      <c r="D39" s="15">
        <v>1</v>
      </c>
      <c r="E39" s="15">
        <f t="shared" si="4"/>
        <v>120</v>
      </c>
      <c r="F39" s="15"/>
      <c r="I39" s="32" t="s">
        <v>186</v>
      </c>
      <c r="J39" s="32">
        <v>1</v>
      </c>
      <c r="K39" s="32">
        <f>ROUNDDOWN(SUM((R29*1)/2),0)</f>
        <v>28</v>
      </c>
      <c r="L39" s="32" t="s">
        <v>184</v>
      </c>
      <c r="M39" s="32">
        <v>0.15</v>
      </c>
      <c r="N39" s="32">
        <f>ROUNDDOWN(SUM((P30*M39)/10),0)</f>
        <v>14</v>
      </c>
      <c r="O39" s="32">
        <f t="shared" si="5"/>
        <v>14</v>
      </c>
      <c r="P39" s="32">
        <v>14</v>
      </c>
    </row>
    <row r="40" spans="3:19">
      <c r="C40" s="15">
        <v>120</v>
      </c>
      <c r="D40" s="15">
        <v>1</v>
      </c>
      <c r="E40" s="15">
        <f t="shared" si="4"/>
        <v>120</v>
      </c>
      <c r="F40" s="15"/>
      <c r="I40" s="32" t="s">
        <v>181</v>
      </c>
      <c r="J40" s="32">
        <v>0.8</v>
      </c>
      <c r="K40" s="32">
        <f>ROUNDDOWN(SUM((R33*J40)/40),0)</f>
        <v>28</v>
      </c>
      <c r="L40" s="32" t="s">
        <v>182</v>
      </c>
      <c r="M40" s="32">
        <v>0.25</v>
      </c>
      <c r="N40" s="32">
        <f>ROUNDDOWN(SUM((P30*M40)/15),0)</f>
        <v>16</v>
      </c>
      <c r="O40" s="32">
        <f t="shared" si="5"/>
        <v>16</v>
      </c>
      <c r="P40" s="32">
        <v>16</v>
      </c>
    </row>
    <row r="41" spans="3:19">
      <c r="C41" s="15">
        <v>120</v>
      </c>
      <c r="D41" s="15">
        <v>1</v>
      </c>
      <c r="E41" s="15">
        <f t="shared" si="4"/>
        <v>120</v>
      </c>
      <c r="F41" s="15"/>
      <c r="I41" s="32" t="s">
        <v>180</v>
      </c>
      <c r="J41" s="32">
        <v>0.2</v>
      </c>
      <c r="K41" s="32">
        <f>ROUNDDOWN(SUM((R33*J41)/30),0)</f>
        <v>9</v>
      </c>
      <c r="L41" s="32" t="s">
        <v>183</v>
      </c>
      <c r="M41" s="32">
        <v>0.17</v>
      </c>
      <c r="N41" s="32">
        <f>ROUNDDOWN(SUM((P30*M41)/10),0)</f>
        <v>16</v>
      </c>
      <c r="O41" s="32">
        <v>16</v>
      </c>
      <c r="P41" s="32">
        <v>16</v>
      </c>
    </row>
    <row r="42" spans="3:19">
      <c r="C42" s="15">
        <v>120</v>
      </c>
      <c r="D42" s="15">
        <v>1</v>
      </c>
      <c r="E42" s="15">
        <f t="shared" si="4"/>
        <v>120</v>
      </c>
      <c r="F42" s="15"/>
      <c r="I42" s="32" t="s">
        <v>195</v>
      </c>
      <c r="J42" s="32">
        <v>1</v>
      </c>
      <c r="K42" s="32">
        <v>2</v>
      </c>
      <c r="L42" s="32" t="s">
        <v>196</v>
      </c>
      <c r="M42" s="32">
        <v>1</v>
      </c>
      <c r="N42" s="32">
        <f>SUM(O41/2)</f>
        <v>8</v>
      </c>
      <c r="O42" s="32">
        <v>8</v>
      </c>
      <c r="P42" s="32">
        <v>8</v>
      </c>
    </row>
    <row r="43" spans="3:19">
      <c r="C43" s="15">
        <v>120</v>
      </c>
      <c r="D43" s="15">
        <v>2.5</v>
      </c>
      <c r="E43" s="15">
        <f t="shared" si="4"/>
        <v>300</v>
      </c>
      <c r="F43" s="15"/>
    </row>
    <row r="44" spans="3:19">
      <c r="C44" s="15">
        <v>120</v>
      </c>
      <c r="D44" s="15">
        <v>2.5</v>
      </c>
      <c r="E44" s="15">
        <f t="shared" si="4"/>
        <v>300</v>
      </c>
      <c r="F44" s="15"/>
    </row>
    <row r="45" spans="3:19">
      <c r="C45" s="15">
        <v>120</v>
      </c>
      <c r="D45" s="15">
        <v>2.5</v>
      </c>
      <c r="E45" s="15">
        <f t="shared" si="4"/>
        <v>300</v>
      </c>
      <c r="F45" s="15"/>
      <c r="I45" s="60" t="s">
        <v>177</v>
      </c>
      <c r="J45" s="61"/>
      <c r="K45" s="61"/>
      <c r="L45" s="61"/>
      <c r="M45" s="61"/>
      <c r="N45" s="61"/>
      <c r="O45" s="61"/>
      <c r="P45" s="61"/>
      <c r="Q45" s="61"/>
      <c r="R45" s="61"/>
      <c r="S45" s="61"/>
    </row>
    <row r="46" spans="3:19">
      <c r="C46" s="15">
        <v>120</v>
      </c>
      <c r="D46" s="15">
        <v>2.5</v>
      </c>
      <c r="E46" s="15">
        <f t="shared" si="4"/>
        <v>300</v>
      </c>
      <c r="F46" s="15"/>
      <c r="I46" s="16" t="s">
        <v>59</v>
      </c>
      <c r="J46" s="33" t="s">
        <v>168</v>
      </c>
      <c r="K46" s="16" t="s">
        <v>111</v>
      </c>
      <c r="L46" s="16" t="s">
        <v>161</v>
      </c>
      <c r="M46" s="16" t="s">
        <v>112</v>
      </c>
      <c r="N46" s="16" t="s">
        <v>164</v>
      </c>
      <c r="O46" s="16" t="s">
        <v>114</v>
      </c>
      <c r="P46" s="16" t="s">
        <v>163</v>
      </c>
      <c r="Q46" s="16" t="s">
        <v>113</v>
      </c>
      <c r="R46" s="33" t="s">
        <v>167</v>
      </c>
      <c r="S46" s="33" t="s">
        <v>197</v>
      </c>
    </row>
    <row r="47" spans="3:19">
      <c r="C47" s="15" t="s">
        <v>113</v>
      </c>
      <c r="D47" s="15">
        <v>19</v>
      </c>
      <c r="E47" s="15">
        <f>SUM(E28:E46)</f>
        <v>2400</v>
      </c>
      <c r="F47" s="15"/>
      <c r="I47" s="15" t="s">
        <v>153</v>
      </c>
      <c r="J47" s="15">
        <f>O47*R47</f>
        <v>187.5</v>
      </c>
      <c r="K47" s="15">
        <v>27.5</v>
      </c>
      <c r="L47" s="15" t="s">
        <v>18</v>
      </c>
      <c r="M47" s="15">
        <v>27.5</v>
      </c>
      <c r="N47" s="15" t="s">
        <v>92</v>
      </c>
      <c r="O47" s="15">
        <v>12.5</v>
      </c>
      <c r="P47" s="15" t="e">
        <f>O37</f>
        <v>#VALUE!</v>
      </c>
      <c r="Q47" s="15" t="e">
        <f t="shared" ref="Q47:Q52" si="6">O47*P47</f>
        <v>#VALUE!</v>
      </c>
      <c r="R47" s="15">
        <v>15</v>
      </c>
      <c r="S47" s="15" t="e">
        <f t="shared" ref="S47:S52" si="7">Q47-J47</f>
        <v>#VALUE!</v>
      </c>
    </row>
    <row r="48" spans="3:19">
      <c r="C48" s="55" t="s">
        <v>24</v>
      </c>
      <c r="D48" s="56"/>
      <c r="E48" s="56"/>
      <c r="F48" s="57"/>
      <c r="I48" s="15" t="s">
        <v>214</v>
      </c>
      <c r="J48" s="15">
        <f>O48*R48</f>
        <v>32</v>
      </c>
      <c r="K48" s="15">
        <v>28</v>
      </c>
      <c r="L48" s="15" t="s">
        <v>6</v>
      </c>
      <c r="M48" s="15">
        <v>20</v>
      </c>
      <c r="N48" s="15" t="s">
        <v>16</v>
      </c>
      <c r="O48" s="15">
        <v>4</v>
      </c>
      <c r="P48" s="15">
        <f>O38</f>
        <v>8</v>
      </c>
      <c r="Q48" s="15">
        <f t="shared" si="6"/>
        <v>32</v>
      </c>
      <c r="R48" s="15">
        <v>8</v>
      </c>
      <c r="S48" s="15">
        <f t="shared" si="7"/>
        <v>0</v>
      </c>
    </row>
    <row r="49" spans="3:19">
      <c r="C49" s="15" t="s">
        <v>122</v>
      </c>
      <c r="D49" s="15" t="s">
        <v>123</v>
      </c>
      <c r="E49" s="15" t="s">
        <v>124</v>
      </c>
      <c r="F49" s="15"/>
      <c r="I49" s="15" t="s">
        <v>154</v>
      </c>
      <c r="J49" s="15">
        <f>O49*R49</f>
        <v>42</v>
      </c>
      <c r="K49" s="15">
        <v>10</v>
      </c>
      <c r="L49" s="15" t="s">
        <v>6</v>
      </c>
      <c r="M49" s="15">
        <v>2</v>
      </c>
      <c r="N49" s="15" t="s">
        <v>199</v>
      </c>
      <c r="O49" s="15">
        <v>3</v>
      </c>
      <c r="P49" s="15">
        <f>N39</f>
        <v>14</v>
      </c>
      <c r="Q49" s="15">
        <f t="shared" si="6"/>
        <v>42</v>
      </c>
      <c r="R49" s="15">
        <v>14</v>
      </c>
      <c r="S49" s="15">
        <f t="shared" si="7"/>
        <v>0</v>
      </c>
    </row>
    <row r="50" spans="3:19">
      <c r="C50" s="15">
        <v>120</v>
      </c>
      <c r="D50" s="15">
        <v>2</v>
      </c>
      <c r="E50" s="15">
        <f>C50*D50</f>
        <v>240</v>
      </c>
      <c r="F50" s="15"/>
      <c r="I50" s="15" t="s">
        <v>20</v>
      </c>
      <c r="J50" s="15">
        <f>SUM((O50*P50)-(J52*2))</f>
        <v>0</v>
      </c>
      <c r="K50" s="15">
        <v>15</v>
      </c>
      <c r="L50" s="15" t="s">
        <v>6</v>
      </c>
      <c r="M50" s="15">
        <v>40</v>
      </c>
      <c r="N50" s="15" t="s">
        <v>134</v>
      </c>
      <c r="O50" s="15">
        <v>5</v>
      </c>
      <c r="P50" s="15">
        <f>N40</f>
        <v>16</v>
      </c>
      <c r="Q50" s="15">
        <f t="shared" si="6"/>
        <v>80</v>
      </c>
      <c r="R50" s="15">
        <v>16</v>
      </c>
      <c r="S50" s="15">
        <f t="shared" si="7"/>
        <v>80</v>
      </c>
    </row>
    <row r="51" spans="3:19">
      <c r="C51" s="15">
        <v>120</v>
      </c>
      <c r="D51" s="15">
        <v>2</v>
      </c>
      <c r="E51" s="15">
        <f t="shared" ref="E51:E55" si="8">C51*D51</f>
        <v>240</v>
      </c>
      <c r="F51" s="15"/>
      <c r="I51" s="15" t="s">
        <v>85</v>
      </c>
      <c r="J51" s="15">
        <f>SUM((O51*P51)-(J52*2))</f>
        <v>0</v>
      </c>
      <c r="K51" s="15">
        <v>10</v>
      </c>
      <c r="L51" s="15" t="s">
        <v>6</v>
      </c>
      <c r="M51" s="15">
        <v>30</v>
      </c>
      <c r="N51" s="15" t="s">
        <v>134</v>
      </c>
      <c r="O51" s="15">
        <v>5</v>
      </c>
      <c r="P51" s="15">
        <f>N41</f>
        <v>16</v>
      </c>
      <c r="Q51" s="15">
        <f t="shared" si="6"/>
        <v>80</v>
      </c>
      <c r="R51" s="15">
        <v>16</v>
      </c>
      <c r="S51" s="15">
        <f t="shared" si="7"/>
        <v>80</v>
      </c>
    </row>
    <row r="52" spans="3:19">
      <c r="C52" s="15">
        <v>120</v>
      </c>
      <c r="D52" s="15">
        <v>2</v>
      </c>
      <c r="E52" s="15">
        <f t="shared" si="8"/>
        <v>240</v>
      </c>
      <c r="F52" s="15"/>
      <c r="I52" s="15" t="s">
        <v>12</v>
      </c>
      <c r="J52" s="15">
        <f>O52*R52</f>
        <v>40</v>
      </c>
      <c r="K52" s="15">
        <v>10</v>
      </c>
      <c r="L52" s="15" t="s">
        <v>200</v>
      </c>
      <c r="M52" s="15">
        <v>10</v>
      </c>
      <c r="N52" s="15" t="s">
        <v>201</v>
      </c>
      <c r="O52" s="15">
        <v>5</v>
      </c>
      <c r="P52" s="15">
        <f>N42</f>
        <v>8</v>
      </c>
      <c r="Q52" s="15">
        <f t="shared" si="6"/>
        <v>40</v>
      </c>
      <c r="R52" s="15">
        <v>8</v>
      </c>
      <c r="S52" s="15">
        <f t="shared" si="7"/>
        <v>0</v>
      </c>
    </row>
    <row r="53" spans="3:19">
      <c r="C53" s="15">
        <v>60</v>
      </c>
      <c r="D53" s="15">
        <v>2</v>
      </c>
      <c r="E53" s="15">
        <f t="shared" si="8"/>
        <v>120</v>
      </c>
      <c r="F53" s="15"/>
      <c r="I53" s="15" t="s">
        <v>134</v>
      </c>
      <c r="J53" s="15"/>
    </row>
    <row r="54" spans="3:19">
      <c r="C54" s="15">
        <v>60</v>
      </c>
      <c r="D54" s="15">
        <v>2</v>
      </c>
      <c r="E54" s="15">
        <f t="shared" si="8"/>
        <v>120</v>
      </c>
      <c r="F54" s="15"/>
      <c r="I54" s="15" t="s">
        <v>135</v>
      </c>
      <c r="J54" s="15"/>
    </row>
    <row r="55" spans="3:19">
      <c r="C55" s="15">
        <v>120</v>
      </c>
      <c r="D55" s="15">
        <v>2</v>
      </c>
      <c r="E55" s="15">
        <f t="shared" si="8"/>
        <v>240</v>
      </c>
      <c r="F55" s="15"/>
      <c r="I55" s="15" t="s">
        <v>215</v>
      </c>
      <c r="J55" s="15"/>
    </row>
    <row r="56" spans="3:19">
      <c r="C56" s="15" t="s">
        <v>113</v>
      </c>
      <c r="D56" s="15"/>
      <c r="E56" s="15">
        <f>SUM(E50:E55)</f>
        <v>1200</v>
      </c>
      <c r="F56" s="15"/>
      <c r="I56" s="15" t="s">
        <v>77</v>
      </c>
      <c r="J56" s="15"/>
    </row>
    <row r="57" spans="3:19">
      <c r="C57" s="55" t="s">
        <v>8</v>
      </c>
      <c r="D57" s="56"/>
      <c r="E57" s="56"/>
      <c r="F57" s="57"/>
      <c r="I57" s="15" t="s">
        <v>3</v>
      </c>
      <c r="J57" s="15">
        <f>R31</f>
        <v>75</v>
      </c>
    </row>
    <row r="58" spans="3:19">
      <c r="C58" s="15" t="s">
        <v>122</v>
      </c>
      <c r="D58" s="15" t="s">
        <v>123</v>
      </c>
      <c r="E58" s="15" t="s">
        <v>124</v>
      </c>
      <c r="F58" s="15"/>
      <c r="I58" s="15" t="s">
        <v>19</v>
      </c>
      <c r="J58" s="15"/>
    </row>
    <row r="59" spans="3:19">
      <c r="C59" s="15">
        <v>60</v>
      </c>
      <c r="D59" s="15">
        <v>1</v>
      </c>
      <c r="E59" s="15">
        <f>C59*D59</f>
        <v>60</v>
      </c>
      <c r="F59" s="15"/>
    </row>
    <row r="60" spans="3:19">
      <c r="C60" s="15">
        <v>60</v>
      </c>
      <c r="D60" s="15">
        <v>1</v>
      </c>
      <c r="E60" s="15">
        <f t="shared" ref="E60:E62" si="9">C60*D60</f>
        <v>60</v>
      </c>
      <c r="F60" s="15"/>
    </row>
    <row r="61" spans="3:19">
      <c r="C61" s="15">
        <v>60</v>
      </c>
      <c r="D61" s="15">
        <v>1</v>
      </c>
      <c r="E61" s="15">
        <f t="shared" si="9"/>
        <v>60</v>
      </c>
      <c r="F61" s="15"/>
    </row>
    <row r="62" spans="3:19">
      <c r="C62" s="15">
        <v>60</v>
      </c>
      <c r="D62" s="15">
        <v>1</v>
      </c>
      <c r="E62" s="15">
        <f t="shared" si="9"/>
        <v>60</v>
      </c>
      <c r="F62" s="15"/>
    </row>
    <row r="63" spans="3:19">
      <c r="C63" s="15">
        <v>60</v>
      </c>
      <c r="D63" s="15">
        <v>1</v>
      </c>
      <c r="E63" s="15">
        <f>C63*D63</f>
        <v>60</v>
      </c>
      <c r="F63" s="15"/>
    </row>
    <row r="64" spans="3:19">
      <c r="C64" s="15">
        <v>60</v>
      </c>
      <c r="D64" s="15">
        <v>1</v>
      </c>
      <c r="E64" s="15">
        <f t="shared" ref="E64:E67" si="10">C64*D64</f>
        <v>60</v>
      </c>
      <c r="F64" s="15"/>
    </row>
    <row r="65" spans="3:19">
      <c r="C65" s="15">
        <v>120</v>
      </c>
      <c r="D65" s="15">
        <v>1</v>
      </c>
      <c r="E65" s="15">
        <f t="shared" si="10"/>
        <v>120</v>
      </c>
      <c r="F65" s="15"/>
      <c r="S65" s="18"/>
    </row>
    <row r="66" spans="3:19">
      <c r="C66" s="15">
        <v>120</v>
      </c>
      <c r="D66" s="15">
        <v>1</v>
      </c>
      <c r="E66" s="15">
        <v>120</v>
      </c>
      <c r="F66" s="15"/>
      <c r="S66" s="18"/>
    </row>
    <row r="67" spans="3:19">
      <c r="C67" s="15">
        <v>120</v>
      </c>
      <c r="D67" s="15">
        <v>1</v>
      </c>
      <c r="E67" s="15">
        <f t="shared" si="10"/>
        <v>120</v>
      </c>
      <c r="F67" s="15"/>
      <c r="S67" s="18"/>
    </row>
    <row r="68" spans="3:19">
      <c r="C68" s="15">
        <v>120</v>
      </c>
      <c r="D68" s="15">
        <v>1</v>
      </c>
      <c r="E68" s="15">
        <f>C68*D68</f>
        <v>120</v>
      </c>
      <c r="F68" s="15"/>
      <c r="S68" s="18"/>
    </row>
    <row r="69" spans="3:19">
      <c r="C69" s="15">
        <v>120</v>
      </c>
      <c r="D69" s="15">
        <v>1</v>
      </c>
      <c r="E69" s="15">
        <f t="shared" ref="E69:E71" si="11">C69*D69</f>
        <v>120</v>
      </c>
      <c r="F69" s="15"/>
      <c r="S69" s="18"/>
    </row>
    <row r="70" spans="3:19">
      <c r="C70" s="15">
        <v>120</v>
      </c>
      <c r="D70" s="15">
        <v>1</v>
      </c>
      <c r="E70" s="15">
        <f t="shared" si="11"/>
        <v>120</v>
      </c>
      <c r="F70" s="15"/>
      <c r="S70" s="18"/>
    </row>
    <row r="71" spans="3:19">
      <c r="C71" s="15">
        <v>120</v>
      </c>
      <c r="D71" s="15">
        <v>1</v>
      </c>
      <c r="E71" s="15">
        <f t="shared" si="11"/>
        <v>120</v>
      </c>
      <c r="F71" s="15"/>
      <c r="S71" s="18"/>
    </row>
    <row r="72" spans="3:19">
      <c r="C72" s="15">
        <v>240</v>
      </c>
      <c r="D72" s="15">
        <v>1</v>
      </c>
      <c r="E72" s="15">
        <f t="shared" ref="E72" si="12">C72*D72</f>
        <v>240</v>
      </c>
      <c r="F72" s="15"/>
      <c r="S72" s="18"/>
    </row>
    <row r="73" spans="3:19">
      <c r="C73" s="15" t="s">
        <v>113</v>
      </c>
      <c r="D73" s="15"/>
      <c r="E73" s="15">
        <f>SUM(E59:E72)</f>
        <v>1440</v>
      </c>
      <c r="F73" s="15"/>
      <c r="S73" s="18"/>
    </row>
    <row r="74" spans="3:19">
      <c r="C74" s="55" t="s">
        <v>7</v>
      </c>
      <c r="D74" s="56"/>
      <c r="E74" s="56"/>
      <c r="F74" s="57"/>
      <c r="S74" s="18"/>
    </row>
    <row r="75" spans="3:19">
      <c r="C75" s="15" t="s">
        <v>122</v>
      </c>
      <c r="D75" s="15" t="s">
        <v>123</v>
      </c>
      <c r="E75" s="15" t="s">
        <v>124</v>
      </c>
      <c r="F75" s="15"/>
    </row>
    <row r="76" spans="3:19">
      <c r="C76" s="15">
        <v>240</v>
      </c>
      <c r="D76" s="15">
        <v>2.5</v>
      </c>
      <c r="E76" s="15">
        <f>C76*D76</f>
        <v>600</v>
      </c>
      <c r="F76" s="15"/>
    </row>
    <row r="77" spans="3:19">
      <c r="C77" s="15">
        <v>240</v>
      </c>
      <c r="D77" s="15">
        <v>2.5</v>
      </c>
      <c r="E77" s="15">
        <f t="shared" ref="E77" si="13">C77*D77</f>
        <v>600</v>
      </c>
      <c r="F77" s="15"/>
    </row>
    <row r="78" spans="3:19">
      <c r="C78" s="15" t="s">
        <v>113</v>
      </c>
      <c r="D78" s="15"/>
      <c r="E78" s="15">
        <f>SUM(E76:E77)</f>
        <v>1200</v>
      </c>
      <c r="F78" s="15"/>
    </row>
    <row r="79" spans="3:19">
      <c r="C79" s="55" t="s">
        <v>131</v>
      </c>
      <c r="D79" s="56"/>
      <c r="E79" s="56"/>
      <c r="F79" s="57"/>
    </row>
    <row r="80" spans="3:19">
      <c r="C80" s="15" t="s">
        <v>122</v>
      </c>
      <c r="D80" s="15" t="s">
        <v>123</v>
      </c>
      <c r="E80" s="15" t="s">
        <v>124</v>
      </c>
      <c r="F80" s="15"/>
    </row>
    <row r="81" spans="3:6">
      <c r="C81" s="15">
        <v>240</v>
      </c>
      <c r="D81" s="15">
        <v>2.5</v>
      </c>
      <c r="E81" s="15">
        <f>C81*D81</f>
        <v>600</v>
      </c>
      <c r="F81" s="15"/>
    </row>
    <row r="82" spans="3:6">
      <c r="C82" s="15">
        <v>240</v>
      </c>
      <c r="D82" s="15">
        <v>2.5</v>
      </c>
      <c r="E82" s="15">
        <f t="shared" ref="E82" si="14">C82*D82</f>
        <v>600</v>
      </c>
      <c r="F82" s="15"/>
    </row>
    <row r="83" spans="3:6">
      <c r="C83" s="15" t="s">
        <v>113</v>
      </c>
      <c r="D83" s="15"/>
      <c r="E83" s="15">
        <f>SUM(E81:E82)</f>
        <v>1200</v>
      </c>
      <c r="F83" s="15"/>
    </row>
    <row r="84" spans="3:6">
      <c r="C84" s="55" t="s">
        <v>17</v>
      </c>
      <c r="D84" s="56"/>
      <c r="E84" s="56"/>
      <c r="F84" s="57"/>
    </row>
    <row r="85" spans="3:6">
      <c r="C85" s="15" t="s">
        <v>122</v>
      </c>
      <c r="D85" s="15" t="s">
        <v>123</v>
      </c>
      <c r="E85" s="15" t="s">
        <v>124</v>
      </c>
      <c r="F85" s="15"/>
    </row>
    <row r="86" spans="3:6">
      <c r="C86" s="15">
        <v>120</v>
      </c>
      <c r="D86" s="15">
        <v>2.5</v>
      </c>
      <c r="E86" s="15">
        <f>C86*D86</f>
        <v>300</v>
      </c>
      <c r="F86" s="15"/>
    </row>
    <row r="87" spans="3:6">
      <c r="C87" s="15" t="s">
        <v>113</v>
      </c>
      <c r="D87" s="15"/>
      <c r="E87" s="15">
        <f>SUM(E86:E86)</f>
        <v>300</v>
      </c>
      <c r="F87" s="15"/>
    </row>
    <row r="88" spans="3:6">
      <c r="C88" s="55" t="s">
        <v>97</v>
      </c>
      <c r="D88" s="56"/>
      <c r="E88" s="56"/>
      <c r="F88" s="57"/>
    </row>
    <row r="89" spans="3:6">
      <c r="C89" s="15" t="s">
        <v>122</v>
      </c>
      <c r="D89" s="15" t="s">
        <v>123</v>
      </c>
      <c r="E89" s="15" t="s">
        <v>124</v>
      </c>
      <c r="F89" s="15"/>
    </row>
    <row r="90" spans="3:6">
      <c r="C90" s="15">
        <v>240</v>
      </c>
      <c r="D90" s="15">
        <v>2.5</v>
      </c>
      <c r="E90" s="15">
        <f>D90*C90</f>
        <v>600</v>
      </c>
      <c r="F90" s="15"/>
    </row>
    <row r="91" spans="3:6">
      <c r="C91" s="15">
        <v>240</v>
      </c>
      <c r="D91" s="15">
        <v>2.5</v>
      </c>
      <c r="E91" s="15">
        <f>C91*D91</f>
        <v>600</v>
      </c>
      <c r="F91" s="15"/>
    </row>
    <row r="92" spans="3:6">
      <c r="C92" s="15" t="s">
        <v>113</v>
      </c>
      <c r="D92" s="15"/>
      <c r="E92" s="15">
        <f>SUM(E90:E91)</f>
        <v>1200</v>
      </c>
      <c r="F92" s="15"/>
    </row>
  </sheetData>
  <mergeCells count="16">
    <mergeCell ref="C3:U3"/>
    <mergeCell ref="C25:F25"/>
    <mergeCell ref="C26:F26"/>
    <mergeCell ref="C88:F88"/>
    <mergeCell ref="I14:J14"/>
    <mergeCell ref="C4:J4"/>
    <mergeCell ref="I45:S45"/>
    <mergeCell ref="I23:S23"/>
    <mergeCell ref="C84:F84"/>
    <mergeCell ref="C79:F79"/>
    <mergeCell ref="C48:F48"/>
    <mergeCell ref="C57:F57"/>
    <mergeCell ref="C74:F74"/>
    <mergeCell ref="C14:G14"/>
    <mergeCell ref="L14:O14"/>
    <mergeCell ref="L5:Q5"/>
  </mergeCells>
  <phoneticPr fontId="12" type="noConversion"/>
  <hyperlinks>
    <hyperlink ref="G18" r:id="rId1" xr:uid="{185B9E80-AF4C-40F7-8663-3F514E7F841D}"/>
    <hyperlink ref="G17" r:id="rId2" xr:uid="{BCAA26CE-D6B5-4194-9ADA-905BDC2DE11F}"/>
    <hyperlink ref="G16" r:id="rId3" xr:uid="{3BA93377-CEBD-40C0-B62C-1D34448DA57D}"/>
    <hyperlink ref="G21" r:id="rId4" xr:uid="{F697FE49-1D6A-4933-8E1E-D666F4D62AA0}"/>
  </hyperlinks>
  <pageMargins left="0.7" right="0.7" top="0.75" bottom="0.75" header="0.3" footer="0.3"/>
  <pageSetup orientation="portrait" horizontalDpi="90" verticalDpi="9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AgendaToDo</vt:lpstr>
      <vt:lpstr>TierLocationOrganization</vt:lpstr>
      <vt:lpstr>Diagrams</vt:lpstr>
      <vt:lpstr>SteelLakeSite</vt:lpstr>
      <vt:lpstr>OffshoreMegaRefinery</vt:lpstr>
      <vt:lpstr>SWNitrogenFacility</vt:lpstr>
      <vt:lpstr>SilicaCaveSite</vt:lpstr>
      <vt:lpstr>GrasslandTrainHubStations</vt:lpstr>
      <vt:lpstr>GrasslandRegionalProduction</vt:lpstr>
      <vt:lpstr>MinerOutputValues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Mjolnir</dc:creator>
  <cp:lastModifiedBy>Wolfenstyne</cp:lastModifiedBy>
  <cp:lastPrinted>2022-03-04T20:14:29Z</cp:lastPrinted>
  <dcterms:created xsi:type="dcterms:W3CDTF">2022-02-21T19:44:59Z</dcterms:created>
  <dcterms:modified xsi:type="dcterms:W3CDTF">2022-03-31T05:50:05Z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7599526-06ca-49cc-9fa9-5307800a949a_Enabled">
    <vt:lpwstr>true</vt:lpwstr>
  </property>
  <property fmtid="{D5CDD505-2E9C-101B-9397-08002B2CF9AE}" pid="3" name="MSIP_Label_67599526-06ca-49cc-9fa9-5307800a949a_SetDate">
    <vt:lpwstr>2022-03-04T17:45:04Z</vt:lpwstr>
  </property>
  <property fmtid="{D5CDD505-2E9C-101B-9397-08002B2CF9AE}" pid="4" name="MSIP_Label_67599526-06ca-49cc-9fa9-5307800a949a_Method">
    <vt:lpwstr>Standard</vt:lpwstr>
  </property>
  <property fmtid="{D5CDD505-2E9C-101B-9397-08002B2CF9AE}" pid="5" name="MSIP_Label_67599526-06ca-49cc-9fa9-5307800a949a_Name">
    <vt:lpwstr>67599526-06ca-49cc-9fa9-5307800a949a</vt:lpwstr>
  </property>
  <property fmtid="{D5CDD505-2E9C-101B-9397-08002B2CF9AE}" pid="6" name="MSIP_Label_67599526-06ca-49cc-9fa9-5307800a949a_SiteId">
    <vt:lpwstr>fabb61b8-3afe-4e75-b934-a47f782b8cd7</vt:lpwstr>
  </property>
  <property fmtid="{D5CDD505-2E9C-101B-9397-08002B2CF9AE}" pid="7" name="MSIP_Label_67599526-06ca-49cc-9fa9-5307800a949a_ActionId">
    <vt:lpwstr>f5ba4f68-bc60-41e0-b5a8-bb5b75f88428</vt:lpwstr>
  </property>
  <property fmtid="{D5CDD505-2E9C-101B-9397-08002B2CF9AE}" pid="8" name="MSIP_Label_67599526-06ca-49cc-9fa9-5307800a949a_ContentBits">
    <vt:lpwstr>0</vt:lpwstr>
  </property>
</Properties>
</file>