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96D2201F-AC66-4EAF-ABB6-4ECD662334B0}" xr6:coauthVersionLast="47" xr6:coauthVersionMax="47" xr10:uidLastSave="{00000000-0000-0000-0000-000000000000}"/>
  <bookViews>
    <workbookView xWindow="-15465" yWindow="1605" windowWidth="14235" windowHeight="15240" tabRatio="780" activeTab="2" xr2:uid="{16EA9A20-0D63-4694-8194-00B2147553CC}"/>
  </bookViews>
  <sheets>
    <sheet name="Regional Production" sheetId="8" r:id="rId1"/>
    <sheet name="GrasslandsTrainHub" sheetId="13" r:id="rId2"/>
    <sheet name="Grasslands Central" sheetId="11" r:id="rId3"/>
    <sheet name="CoalLake" sheetId="12" r:id="rId4"/>
    <sheet name="Grasslands Void" sheetId="15" r:id="rId5"/>
    <sheet name="CoastalRig" sheetId="16" r:id="rId6"/>
    <sheet name="CoastalComputers" sheetId="14" r:id="rId7"/>
    <sheet name="GrasslandsNorthernForest" sheetId="17" r:id="rId8"/>
    <sheet name="GrasslandsSouthEast" sheetId="10" r:id="rId9"/>
    <sheet name="GrasslandsSouthwest" sheetId="6" r:id="rId10"/>
    <sheet name="GrasslandsSouth" sheetId="9" r:id="rId11"/>
    <sheet name="Diagrams" sheetId="2" r:id="rId12"/>
    <sheet name="MinerOutputValues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0" l="1"/>
  <c r="L33" i="10" s="1"/>
  <c r="T27" i="10"/>
  <c r="S27" i="10"/>
  <c r="L12" i="10"/>
  <c r="R8" i="10"/>
  <c r="L68" i="16"/>
  <c r="I67" i="16"/>
  <c r="X61" i="16"/>
  <c r="T61" i="16"/>
  <c r="S61" i="16"/>
  <c r="R61" i="16"/>
  <c r="Q61" i="16"/>
  <c r="X60" i="16"/>
  <c r="R60" i="16"/>
  <c r="Q60" i="16"/>
  <c r="X59" i="16"/>
  <c r="I65" i="16" s="1"/>
  <c r="R59" i="16"/>
  <c r="Q59" i="16"/>
  <c r="I55" i="16"/>
  <c r="L66" i="16" s="1"/>
  <c r="L54" i="16"/>
  <c r="I54" i="16"/>
  <c r="L65" i="16" s="1"/>
  <c r="I53" i="16"/>
  <c r="L67" i="16" s="1"/>
  <c r="I52" i="16"/>
  <c r="U45" i="16"/>
  <c r="P45" i="16"/>
  <c r="O45" i="16"/>
  <c r="X44" i="16"/>
  <c r="U44" i="16"/>
  <c r="Q44" i="16"/>
  <c r="P44" i="16"/>
  <c r="O44" i="16"/>
  <c r="U43" i="16"/>
  <c r="I51" i="16" s="1"/>
  <c r="L64" i="16" s="1"/>
  <c r="O43" i="16"/>
  <c r="U42" i="16"/>
  <c r="P42" i="16"/>
  <c r="O42" i="16"/>
  <c r="U41" i="16"/>
  <c r="P41" i="16"/>
  <c r="O41" i="16"/>
  <c r="U40" i="16"/>
  <c r="L53" i="16" s="1"/>
  <c r="P40" i="16"/>
  <c r="O40" i="16"/>
  <c r="L33" i="16"/>
  <c r="I29" i="16"/>
  <c r="I48" i="16" s="1"/>
  <c r="I64" i="16" s="1"/>
  <c r="R26" i="16"/>
  <c r="I31" i="16" s="1"/>
  <c r="I50" i="16" s="1"/>
  <c r="I66" i="16" s="1"/>
  <c r="M26" i="16"/>
  <c r="U25" i="16"/>
  <c r="R25" i="16"/>
  <c r="L31" i="16" s="1"/>
  <c r="N25" i="16"/>
  <c r="L32" i="16" s="1"/>
  <c r="M25" i="16"/>
  <c r="R24" i="16"/>
  <c r="M24" i="16"/>
  <c r="R23" i="16"/>
  <c r="I30" i="16" s="1"/>
  <c r="I49" i="16" s="1"/>
  <c r="I68" i="16" s="1"/>
  <c r="N23" i="16"/>
  <c r="M23" i="16"/>
  <c r="R22" i="16"/>
  <c r="N22" i="16"/>
  <c r="M22" i="16"/>
  <c r="L18" i="16"/>
  <c r="L35" i="16" s="1"/>
  <c r="I18" i="16"/>
  <c r="L34" i="16" s="1"/>
  <c r="L50" i="16" s="1"/>
  <c r="L17" i="16"/>
  <c r="I17" i="16"/>
  <c r="I16" i="16"/>
  <c r="L30" i="16" s="1"/>
  <c r="L49" i="16" s="1"/>
  <c r="L15" i="16"/>
  <c r="I15" i="16"/>
  <c r="L29" i="16" s="1"/>
  <c r="L14" i="16"/>
  <c r="I14" i="16"/>
  <c r="L36" i="16" s="1"/>
  <c r="L52" i="16" s="1"/>
  <c r="R11" i="16"/>
  <c r="N11" i="16"/>
  <c r="M11" i="16"/>
  <c r="L16" i="16" s="1"/>
  <c r="U10" i="16"/>
  <c r="R10" i="16"/>
  <c r="M10" i="16"/>
  <c r="U9" i="16"/>
  <c r="R9" i="16"/>
  <c r="M9" i="16"/>
  <c r="U8" i="16"/>
  <c r="R8" i="16"/>
  <c r="M8" i="16"/>
  <c r="R7" i="16"/>
  <c r="N7" i="16"/>
  <c r="M7" i="16"/>
  <c r="D30" i="17"/>
  <c r="D29" i="17"/>
  <c r="D28" i="17"/>
  <c r="D25" i="17"/>
  <c r="D14" i="17"/>
  <c r="D18" i="17" s="1"/>
  <c r="D26" i="17"/>
  <c r="D24" i="17"/>
  <c r="D23" i="17"/>
  <c r="S26" i="17"/>
  <c r="H26" i="17"/>
  <c r="L19" i="17"/>
  <c r="J19" i="17"/>
  <c r="G20" i="17"/>
  <c r="S14" i="17"/>
  <c r="O14" i="17"/>
  <c r="T14" i="17" s="1"/>
  <c r="H14" i="17"/>
  <c r="P14" i="17" s="1"/>
  <c r="D18" i="16"/>
  <c r="D17" i="16"/>
  <c r="J21" i="5"/>
  <c r="J20" i="5"/>
  <c r="J19" i="5"/>
  <c r="D25" i="16"/>
  <c r="D24" i="16"/>
  <c r="D23" i="16"/>
  <c r="D21" i="14"/>
  <c r="D20" i="14"/>
  <c r="D43" i="8"/>
  <c r="P28" i="15"/>
  <c r="J38" i="15"/>
  <c r="D41" i="8"/>
  <c r="Q28" i="15"/>
  <c r="J23" i="15"/>
  <c r="J24" i="15"/>
  <c r="Q20" i="15"/>
  <c r="Q19" i="15"/>
  <c r="P20" i="15"/>
  <c r="P19" i="15"/>
  <c r="N19" i="15"/>
  <c r="V20" i="15"/>
  <c r="K20" i="15"/>
  <c r="R9" i="15"/>
  <c r="W9" i="15" s="1"/>
  <c r="P7" i="15"/>
  <c r="D21" i="15"/>
  <c r="D15" i="15"/>
  <c r="M14" i="15" s="1"/>
  <c r="G21" i="5"/>
  <c r="G20" i="5"/>
  <c r="G19" i="5"/>
  <c r="D13" i="15"/>
  <c r="M12" i="15" s="1"/>
  <c r="D14" i="15"/>
  <c r="M13" i="15" s="1"/>
  <c r="V28" i="15"/>
  <c r="N28" i="15"/>
  <c r="K28" i="15"/>
  <c r="V19" i="15"/>
  <c r="K19" i="15"/>
  <c r="V9" i="15"/>
  <c r="N9" i="15"/>
  <c r="K9" i="15"/>
  <c r="S9" i="15" s="1"/>
  <c r="V8" i="15"/>
  <c r="S8" i="15"/>
  <c r="R8" i="15"/>
  <c r="W8" i="15" s="1"/>
  <c r="K8" i="15"/>
  <c r="V7" i="15"/>
  <c r="R7" i="15"/>
  <c r="W7" i="15" s="1"/>
  <c r="J12" i="15" s="1"/>
  <c r="K7" i="15"/>
  <c r="S7" i="15" s="1"/>
  <c r="V27" i="14"/>
  <c r="N27" i="14"/>
  <c r="K27" i="14"/>
  <c r="V19" i="14"/>
  <c r="K19" i="14"/>
  <c r="O13" i="14"/>
  <c r="J36" i="14" s="1"/>
  <c r="O14" i="14"/>
  <c r="J35" i="14" s="1"/>
  <c r="D16" i="14"/>
  <c r="O12" i="14" s="1"/>
  <c r="J34" i="14" s="1"/>
  <c r="D15" i="14"/>
  <c r="M14" i="14"/>
  <c r="D14" i="14"/>
  <c r="M13" i="14"/>
  <c r="D13" i="14"/>
  <c r="M12" i="14" s="1"/>
  <c r="W9" i="14"/>
  <c r="V9" i="14"/>
  <c r="N9" i="14"/>
  <c r="K9" i="14"/>
  <c r="S9" i="14" s="1"/>
  <c r="V8" i="14"/>
  <c r="S8" i="14"/>
  <c r="R8" i="14"/>
  <c r="W8" i="14" s="1"/>
  <c r="J13" i="14" s="1"/>
  <c r="J23" i="14" s="1"/>
  <c r="Q27" i="14" s="1"/>
  <c r="K8" i="14"/>
  <c r="V7" i="14"/>
  <c r="R7" i="14"/>
  <c r="W7" i="14" s="1"/>
  <c r="K7" i="14"/>
  <c r="S7" i="14" s="1"/>
  <c r="D11" i="8"/>
  <c r="J77" i="6"/>
  <c r="G78" i="6"/>
  <c r="S74" i="6"/>
  <c r="O74" i="6"/>
  <c r="T74" i="6" s="1"/>
  <c r="K74" i="6"/>
  <c r="H74" i="6"/>
  <c r="P74" i="6" s="1"/>
  <c r="N73" i="6"/>
  <c r="S73" i="6"/>
  <c r="K73" i="6"/>
  <c r="H73" i="6"/>
  <c r="S69" i="6"/>
  <c r="O69" i="6"/>
  <c r="T69" i="6" s="1"/>
  <c r="H69" i="6"/>
  <c r="P69" i="6" s="1"/>
  <c r="D38" i="8"/>
  <c r="K23" i="13"/>
  <c r="K27" i="13"/>
  <c r="S20" i="13"/>
  <c r="V20" i="13"/>
  <c r="U20" i="13"/>
  <c r="J12" i="13"/>
  <c r="K24" i="13" s="1"/>
  <c r="M8" i="13"/>
  <c r="N8" i="13"/>
  <c r="J15" i="13"/>
  <c r="J11" i="13"/>
  <c r="G12" i="13"/>
  <c r="S8" i="13"/>
  <c r="T8" i="13"/>
  <c r="H8" i="13"/>
  <c r="P8" i="13" s="1"/>
  <c r="Q20" i="13"/>
  <c r="N20" i="13"/>
  <c r="K20" i="13"/>
  <c r="AA20" i="13"/>
  <c r="H20" i="13"/>
  <c r="D10" i="13"/>
  <c r="S7" i="13"/>
  <c r="H7" i="13"/>
  <c r="D31" i="8"/>
  <c r="D32" i="8"/>
  <c r="D33" i="8"/>
  <c r="D30" i="8"/>
  <c r="D11" i="13" s="1"/>
  <c r="G27" i="13" s="1"/>
  <c r="D36" i="8" s="1"/>
  <c r="L63" i="12"/>
  <c r="O65" i="12"/>
  <c r="O64" i="12"/>
  <c r="O63" i="12"/>
  <c r="L59" i="12"/>
  <c r="R33" i="12"/>
  <c r="X33" i="12"/>
  <c r="T33" i="12"/>
  <c r="Y33" i="12" s="1"/>
  <c r="L39" i="12" s="1"/>
  <c r="M33" i="12"/>
  <c r="U33" i="12" s="1"/>
  <c r="R32" i="12"/>
  <c r="X53" i="12"/>
  <c r="P53" i="12"/>
  <c r="M53" i="12"/>
  <c r="S44" i="12"/>
  <c r="R44" i="12"/>
  <c r="R43" i="12"/>
  <c r="S43" i="12"/>
  <c r="X44" i="12"/>
  <c r="P44" i="12"/>
  <c r="M44" i="12"/>
  <c r="X32" i="12"/>
  <c r="M32" i="12"/>
  <c r="X29" i="12"/>
  <c r="M29" i="12"/>
  <c r="X31" i="12"/>
  <c r="M31" i="12"/>
  <c r="X30" i="12"/>
  <c r="M30" i="12"/>
  <c r="T19" i="12"/>
  <c r="Y19" i="12" s="1"/>
  <c r="L24" i="12" s="1"/>
  <c r="T31" i="12" s="1"/>
  <c r="Y31" i="12" s="1"/>
  <c r="L36" i="12" s="1"/>
  <c r="X19" i="12"/>
  <c r="P19" i="12"/>
  <c r="M19" i="12"/>
  <c r="P7" i="12"/>
  <c r="X43" i="12"/>
  <c r="P43" i="12"/>
  <c r="M43" i="12"/>
  <c r="D18" i="12"/>
  <c r="Q13" i="12" s="1"/>
  <c r="L65" i="12" s="1"/>
  <c r="D17" i="12"/>
  <c r="Q12" i="12" s="1"/>
  <c r="D15" i="12"/>
  <c r="S7" i="12" s="1"/>
  <c r="O14" i="12" s="1"/>
  <c r="D14" i="12"/>
  <c r="D13" i="12"/>
  <c r="X9" i="12"/>
  <c r="P9" i="12"/>
  <c r="M9" i="12"/>
  <c r="X8" i="12"/>
  <c r="M8" i="12"/>
  <c r="X7" i="12"/>
  <c r="T7" i="12"/>
  <c r="Y7" i="12" s="1"/>
  <c r="M7" i="12"/>
  <c r="U7" i="12" s="1"/>
  <c r="D27" i="8"/>
  <c r="D9" i="13" s="1"/>
  <c r="J13" i="13" s="1"/>
  <c r="K25" i="13" s="1"/>
  <c r="D26" i="8"/>
  <c r="I27" i="11"/>
  <c r="I26" i="11"/>
  <c r="L12" i="11"/>
  <c r="I12" i="11"/>
  <c r="P8" i="11"/>
  <c r="Q8" i="11"/>
  <c r="V8" i="11" s="1"/>
  <c r="O7" i="11"/>
  <c r="Q7" i="11" s="1"/>
  <c r="V7" i="11" s="1"/>
  <c r="I13" i="11" s="1"/>
  <c r="I23" i="11" s="1"/>
  <c r="U19" i="11"/>
  <c r="J19" i="11"/>
  <c r="D15" i="11"/>
  <c r="L14" i="11" s="1"/>
  <c r="D14" i="11"/>
  <c r="D13" i="11"/>
  <c r="U8" i="11"/>
  <c r="M8" i="11"/>
  <c r="J8" i="11"/>
  <c r="R8" i="11" s="1"/>
  <c r="U7" i="11"/>
  <c r="R7" i="11"/>
  <c r="J7" i="11"/>
  <c r="D17" i="8"/>
  <c r="D7" i="13" s="1"/>
  <c r="D15" i="8"/>
  <c r="D10" i="8"/>
  <c r="G58" i="6"/>
  <c r="D9" i="8"/>
  <c r="Q14" i="10"/>
  <c r="Q13" i="10"/>
  <c r="L39" i="10" s="1"/>
  <c r="D23" i="8" s="1"/>
  <c r="L38" i="10"/>
  <c r="D22" i="8" s="1"/>
  <c r="L37" i="10"/>
  <c r="D21" i="8" s="1"/>
  <c r="T7" i="10"/>
  <c r="Y7" i="10" s="1"/>
  <c r="L13" i="10" s="1"/>
  <c r="L23" i="10" s="1"/>
  <c r="D18" i="10"/>
  <c r="D17" i="10"/>
  <c r="D16" i="10"/>
  <c r="Q12" i="10" s="1"/>
  <c r="X27" i="10"/>
  <c r="P27" i="10"/>
  <c r="M27" i="10"/>
  <c r="X19" i="10"/>
  <c r="M19" i="10"/>
  <c r="D15" i="10"/>
  <c r="O14" i="10" s="1"/>
  <c r="D14" i="10"/>
  <c r="O13" i="10" s="1"/>
  <c r="D13" i="10"/>
  <c r="O12" i="10" s="1"/>
  <c r="X8" i="10"/>
  <c r="Y8" i="10"/>
  <c r="P8" i="10"/>
  <c r="M8" i="10"/>
  <c r="U8" i="10" s="1"/>
  <c r="X7" i="10"/>
  <c r="U7" i="10"/>
  <c r="M7" i="10"/>
  <c r="D16" i="8"/>
  <c r="D8" i="8"/>
  <c r="D7" i="8"/>
  <c r="Q26" i="9"/>
  <c r="Q21" i="9"/>
  <c r="L12" i="9"/>
  <c r="O32" i="9"/>
  <c r="I43" i="9"/>
  <c r="U22" i="9"/>
  <c r="V22" i="9"/>
  <c r="J22" i="9"/>
  <c r="R22" i="9" s="1"/>
  <c r="M26" i="9"/>
  <c r="U26" i="9"/>
  <c r="J26" i="9"/>
  <c r="U21" i="9"/>
  <c r="J21" i="9"/>
  <c r="U20" i="9"/>
  <c r="J20" i="9"/>
  <c r="Q8" i="9"/>
  <c r="V8" i="9" s="1"/>
  <c r="R8" i="9"/>
  <c r="U8" i="9"/>
  <c r="J8" i="9"/>
  <c r="U7" i="9"/>
  <c r="Q7" i="9"/>
  <c r="V7" i="9" s="1"/>
  <c r="M7" i="9"/>
  <c r="R7" i="9" s="1"/>
  <c r="J7" i="9"/>
  <c r="M56" i="6"/>
  <c r="G33" i="6"/>
  <c r="U19" i="9"/>
  <c r="J19" i="9"/>
  <c r="U9" i="9"/>
  <c r="M9" i="9"/>
  <c r="J9" i="9"/>
  <c r="D15" i="9"/>
  <c r="L14" i="9" s="1"/>
  <c r="D14" i="9"/>
  <c r="L13" i="9" s="1"/>
  <c r="D13" i="9"/>
  <c r="K50" i="6"/>
  <c r="S51" i="6"/>
  <c r="O51" i="6"/>
  <c r="T51" i="6" s="1"/>
  <c r="G55" i="6" s="1"/>
  <c r="H51" i="6"/>
  <c r="P51" i="6" s="1"/>
  <c r="S50" i="6"/>
  <c r="H50" i="6"/>
  <c r="S28" i="6"/>
  <c r="K28" i="6"/>
  <c r="H28" i="6"/>
  <c r="S27" i="6"/>
  <c r="H27" i="6"/>
  <c r="P27" i="6" s="1"/>
  <c r="S42" i="6"/>
  <c r="H42" i="6"/>
  <c r="S41" i="6"/>
  <c r="H41" i="6"/>
  <c r="S29" i="6"/>
  <c r="H29" i="6"/>
  <c r="P29" i="6" s="1"/>
  <c r="O29" i="6"/>
  <c r="T29" i="6" s="1"/>
  <c r="G34" i="6" s="1"/>
  <c r="G37" i="6" s="1"/>
  <c r="D27" i="5"/>
  <c r="D26" i="5"/>
  <c r="D25" i="5"/>
  <c r="D16" i="6" s="1"/>
  <c r="E16" i="6" s="1"/>
  <c r="N28" i="6"/>
  <c r="J33" i="6" s="1"/>
  <c r="M28" i="6"/>
  <c r="O28" i="6" s="1"/>
  <c r="T28" i="6" s="1"/>
  <c r="O27" i="6"/>
  <c r="T27" i="6" s="1"/>
  <c r="G32" i="6" s="1"/>
  <c r="M41" i="6" s="1"/>
  <c r="L51" i="16" l="1"/>
  <c r="L48" i="16"/>
  <c r="D27" i="17"/>
  <c r="G19" i="17"/>
  <c r="M26" i="17" s="1"/>
  <c r="D26" i="16"/>
  <c r="J12" i="14"/>
  <c r="P19" i="14" s="1"/>
  <c r="S19" i="14" s="1"/>
  <c r="S20" i="15"/>
  <c r="W20" i="15"/>
  <c r="Q7" i="15"/>
  <c r="O12" i="15" s="1"/>
  <c r="J13" i="15"/>
  <c r="S19" i="15"/>
  <c r="R19" i="14"/>
  <c r="W19" i="14" s="1"/>
  <c r="J22" i="14" s="1"/>
  <c r="P27" i="14" s="1"/>
  <c r="P73" i="6"/>
  <c r="O73" i="6"/>
  <c r="T73" i="6" s="1"/>
  <c r="O7" i="13"/>
  <c r="P7" i="13"/>
  <c r="O36" i="12"/>
  <c r="O48" i="12"/>
  <c r="U44" i="12"/>
  <c r="Y44" i="12"/>
  <c r="L48" i="12" s="1"/>
  <c r="Y32" i="12"/>
  <c r="L38" i="12" s="1"/>
  <c r="L47" i="12" s="1"/>
  <c r="L56" i="12" s="1"/>
  <c r="U31" i="12"/>
  <c r="S19" i="12"/>
  <c r="U19" i="12"/>
  <c r="L64" i="12"/>
  <c r="L13" i="11"/>
  <c r="O19" i="11"/>
  <c r="R19" i="11"/>
  <c r="Q19" i="11"/>
  <c r="V19" i="11" s="1"/>
  <c r="I22" i="11" s="1"/>
  <c r="R19" i="10"/>
  <c r="T19" i="10" s="1"/>
  <c r="Y19" i="10" s="1"/>
  <c r="L22" i="10" s="1"/>
  <c r="Y27" i="10" s="1"/>
  <c r="I12" i="9"/>
  <c r="O30" i="9" s="1"/>
  <c r="R21" i="9"/>
  <c r="R20" i="9"/>
  <c r="V20" i="9"/>
  <c r="V21" i="9"/>
  <c r="R19" i="9"/>
  <c r="R9" i="9"/>
  <c r="Q19" i="9"/>
  <c r="V19" i="9" s="1"/>
  <c r="Q9" i="9"/>
  <c r="V9" i="9" s="1"/>
  <c r="I13" i="9" s="1"/>
  <c r="P41" i="6"/>
  <c r="O41" i="6"/>
  <c r="T41" i="6" s="1"/>
  <c r="G45" i="6" s="1"/>
  <c r="J32" i="6"/>
  <c r="P42" i="6"/>
  <c r="O42" i="6"/>
  <c r="T42" i="6" s="1"/>
  <c r="G46" i="6" s="1"/>
  <c r="P28" i="6"/>
  <c r="D15" i="6"/>
  <c r="E15" i="6" s="1"/>
  <c r="J34" i="6" s="1"/>
  <c r="D17" i="6"/>
  <c r="D14" i="6"/>
  <c r="D13" i="6"/>
  <c r="U19" i="10" l="1"/>
  <c r="O26" i="17"/>
  <c r="T26" i="17" s="1"/>
  <c r="P26" i="17"/>
  <c r="W19" i="15"/>
  <c r="S28" i="15" s="1"/>
  <c r="S27" i="14"/>
  <c r="R27" i="14"/>
  <c r="W27" i="14" s="1"/>
  <c r="J30" i="14" s="1"/>
  <c r="J33" i="14" s="1"/>
  <c r="T7" i="13"/>
  <c r="G11" i="13" s="1"/>
  <c r="N7" i="13"/>
  <c r="U32" i="12"/>
  <c r="L30" i="10"/>
  <c r="L36" i="10" s="1"/>
  <c r="D20" i="8" s="1"/>
  <c r="D8" i="13" s="1"/>
  <c r="J14" i="13" s="1"/>
  <c r="K26" i="13" s="1"/>
  <c r="U27" i="10"/>
  <c r="I30" i="9"/>
  <c r="I31" i="9"/>
  <c r="V26" i="9"/>
  <c r="I29" i="9" s="1"/>
  <c r="I37" i="9" s="1"/>
  <c r="P26" i="9"/>
  <c r="I32" i="9" s="1"/>
  <c r="R26" i="9"/>
  <c r="J54" i="6"/>
  <c r="M55" i="6" s="1"/>
  <c r="M50" i="6"/>
  <c r="M54" i="6"/>
  <c r="E17" i="6"/>
  <c r="W28" i="15" l="1"/>
  <c r="J31" i="15" s="1"/>
  <c r="J37" i="15" s="1"/>
  <c r="D42" i="8" s="1"/>
  <c r="X20" i="13"/>
  <c r="I42" i="9"/>
  <c r="O31" i="9" s="1"/>
  <c r="O50" i="6"/>
  <c r="T50" i="6" s="1"/>
  <c r="P50" i="6"/>
  <c r="U9" i="12"/>
  <c r="T9" i="12"/>
  <c r="S9" i="12" s="1"/>
  <c r="R8" i="12" s="1"/>
  <c r="O12" i="12"/>
  <c r="AB20" i="13" l="1"/>
  <c r="G23" i="13" s="1"/>
  <c r="G26" i="13" s="1"/>
  <c r="D37" i="8" s="1"/>
  <c r="T20" i="13"/>
  <c r="U8" i="12"/>
  <c r="O13" i="12"/>
  <c r="T8" i="12"/>
  <c r="Y8" i="12" s="1"/>
  <c r="Y9" i="12"/>
  <c r="L12" i="12" l="1"/>
  <c r="L13" i="12"/>
  <c r="L23" i="12" l="1"/>
  <c r="R30" i="12" s="1"/>
  <c r="L22" i="12"/>
  <c r="R29" i="12" s="1"/>
  <c r="U30" i="12" l="1"/>
  <c r="T30" i="12"/>
  <c r="Y30" i="12" s="1"/>
  <c r="U29" i="12"/>
  <c r="T29" i="12"/>
  <c r="Y29" i="12" s="1"/>
  <c r="L37" i="12" s="1"/>
  <c r="O47" i="12" s="1"/>
  <c r="Y43" i="12" l="1"/>
  <c r="U43" i="12"/>
  <c r="L49" i="12" l="1"/>
  <c r="R53" i="12" s="1"/>
  <c r="T53" i="12" l="1"/>
  <c r="U53" i="12"/>
  <c r="S53" i="12" l="1"/>
  <c r="L57" i="12" s="1"/>
  <c r="Y53" i="12"/>
  <c r="L58" i="12" s="1"/>
</calcChain>
</file>

<file path=xl/sharedStrings.xml><?xml version="1.0" encoding="utf-8"?>
<sst xmlns="http://schemas.openxmlformats.org/spreadsheetml/2006/main" count="1360" uniqueCount="228">
  <si>
    <t>Iron Ore</t>
  </si>
  <si>
    <t>Copper Ore</t>
  </si>
  <si>
    <t>Coal</t>
  </si>
  <si>
    <t>Limestone</t>
  </si>
  <si>
    <t>Concrete</t>
  </si>
  <si>
    <t>Iron</t>
  </si>
  <si>
    <t>Copper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</si>
  <si>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</si>
  <si>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</si>
  <si>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</si>
  <si>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</si>
  <si>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</si>
  <si>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</si>
  <si>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</si>
  <si>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</si>
  <si>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</si>
  <si>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</si>
  <si>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</si>
  <si>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</si>
  <si>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Copper Ingot</t>
  </si>
  <si>
    <t xml:space="preserve">Wire </t>
  </si>
  <si>
    <t>Caterium</t>
  </si>
  <si>
    <t xml:space="preserve">Input </t>
  </si>
  <si>
    <t>Input 2</t>
  </si>
  <si>
    <t>Grassland Regional Production</t>
  </si>
  <si>
    <t>Wire</t>
  </si>
  <si>
    <t>Input Type</t>
  </si>
  <si>
    <t>Iron Ingot</t>
  </si>
  <si>
    <t>Input 2 Type</t>
  </si>
  <si>
    <t>Overall Build Diagram</t>
  </si>
  <si>
    <t>OutputBuildings</t>
  </si>
  <si>
    <t>Input 1 Usage</t>
  </si>
  <si>
    <t>Input 2 Usage</t>
  </si>
  <si>
    <t>Iron Plate</t>
  </si>
  <si>
    <t>Output 1</t>
  </si>
  <si>
    <t>OutputPer 1</t>
  </si>
  <si>
    <t>Output 1 Type</t>
  </si>
  <si>
    <t>Ship to SW Computers</t>
  </si>
  <si>
    <t>Available Nodes</t>
  </si>
  <si>
    <t>Full Potential Output</t>
  </si>
  <si>
    <t>Cloud Sink</t>
  </si>
  <si>
    <t>Raw Resources</t>
  </si>
  <si>
    <t>Available</t>
  </si>
  <si>
    <t>Usable</t>
  </si>
  <si>
    <t>Saving for Diamonds</t>
  </si>
  <si>
    <t>Raw Materials Processing</t>
  </si>
  <si>
    <t>ShardInput</t>
  </si>
  <si>
    <t>Shard Input 2</t>
  </si>
  <si>
    <t>OutputBuilds Shard</t>
  </si>
  <si>
    <t>Output Per Shard</t>
  </si>
  <si>
    <t>Processed Materials</t>
  </si>
  <si>
    <t>Remaining Raw Resources</t>
  </si>
  <si>
    <t>Assembler Processing</t>
  </si>
  <si>
    <t>Reinforced Iron Plates</t>
  </si>
  <si>
    <t>Cable</t>
  </si>
  <si>
    <t>Reinforced Iron Plate</t>
  </si>
  <si>
    <t>Remaining Materials</t>
  </si>
  <si>
    <t>Output Resources</t>
  </si>
  <si>
    <t>Basic Iron Ingot</t>
  </si>
  <si>
    <t>Sent to SW Quickwire</t>
  </si>
  <si>
    <t>Remaining Item Resources</t>
  </si>
  <si>
    <t>Iron ingot</t>
  </si>
  <si>
    <t>Processed Items</t>
  </si>
  <si>
    <t>Iron Wire</t>
  </si>
  <si>
    <t>Iron Rods</t>
  </si>
  <si>
    <t>Iron Rod</t>
  </si>
  <si>
    <t>Item Processing</t>
  </si>
  <si>
    <t>Stitched Reinforced Iron Plate</t>
  </si>
  <si>
    <t>Iron Plate (Sink)</t>
  </si>
  <si>
    <t>Iron Rod (Sink)</t>
  </si>
  <si>
    <t xml:space="preserve">Iron Plates </t>
  </si>
  <si>
    <t>Sent to Grass Hub (Truck)</t>
  </si>
  <si>
    <t>Remainder</t>
  </si>
  <si>
    <t>Exported Materials</t>
  </si>
  <si>
    <t>Grasslands Southwest</t>
  </si>
  <si>
    <t>Grasslands South</t>
  </si>
  <si>
    <t>Materials from Grasslands South</t>
  </si>
  <si>
    <t>SAM</t>
  </si>
  <si>
    <t>Sulfur</t>
  </si>
  <si>
    <t>Iron Alloy Ingot</t>
  </si>
  <si>
    <t>Iron Pipes</t>
  </si>
  <si>
    <t>Encased Industrial Beam</t>
  </si>
  <si>
    <t>Steel Pipes</t>
  </si>
  <si>
    <t>Sent to Heavy Modular Frames Grasslands</t>
  </si>
  <si>
    <t>Lets Sink This Too</t>
  </si>
  <si>
    <t>Legend</t>
  </si>
  <si>
    <t>SINK MATERIALS</t>
  </si>
  <si>
    <t>Grasslands Southeast</t>
  </si>
  <si>
    <t>Encased Industrial Beams</t>
  </si>
  <si>
    <t>UNUSED MATERIALS</t>
  </si>
  <si>
    <t>Grasslands Central</t>
  </si>
  <si>
    <t>Grasslands Train Hub (Heavy Modular Frames)</t>
  </si>
  <si>
    <t>Coal Lake (Motors)</t>
  </si>
  <si>
    <r>
      <t>Co</t>
    </r>
    <r>
      <rPr>
        <sz val="22"/>
        <color theme="0"/>
        <rFont val="Calibri"/>
        <family val="2"/>
        <scheme val="minor"/>
      </rPr>
      <t>al Lake Regional Production</t>
    </r>
  </si>
  <si>
    <t>Solid Steel ingot</t>
  </si>
  <si>
    <t>Steel Ingot</t>
  </si>
  <si>
    <t>Steel Pipe</t>
  </si>
  <si>
    <t>Steel Beam</t>
  </si>
  <si>
    <t>Steel Beam (Sink)</t>
  </si>
  <si>
    <t>Stator</t>
  </si>
  <si>
    <t>Rotor</t>
  </si>
  <si>
    <t>Remaining Items</t>
  </si>
  <si>
    <t>Motor</t>
  </si>
  <si>
    <t>Steel Pipe Sink</t>
  </si>
  <si>
    <t>Steel Pipe (Sink)</t>
  </si>
  <si>
    <t>Motors</t>
  </si>
  <si>
    <t>Rotors</t>
  </si>
  <si>
    <t>Send to Train Hub Heavy Frames</t>
  </si>
  <si>
    <t>Incoming Items</t>
  </si>
  <si>
    <t>Item Manufacturing</t>
  </si>
  <si>
    <t>Input 3</t>
  </si>
  <si>
    <t>Shard Input 3</t>
  </si>
  <si>
    <t>Input 3 Type</t>
  </si>
  <si>
    <t>Input 4</t>
  </si>
  <si>
    <t>Shard Input 4</t>
  </si>
  <si>
    <t>Input 4 Type</t>
  </si>
  <si>
    <t>Heavy Modular Frame</t>
  </si>
  <si>
    <t>Modular Frame</t>
  </si>
  <si>
    <t>Input 3 Usage</t>
  </si>
  <si>
    <t>Input 4 Usage</t>
  </si>
  <si>
    <t>Steeled Frame</t>
  </si>
  <si>
    <t>Heavy Modular Frames</t>
  </si>
  <si>
    <t>Available for Global Network</t>
  </si>
  <si>
    <t xml:space="preserve">Modular Frames </t>
  </si>
  <si>
    <t>Encased Industrial Pipes</t>
  </si>
  <si>
    <t>Caterium Ingot</t>
  </si>
  <si>
    <t>Caterium Ore</t>
  </si>
  <si>
    <t>Fused Quickwire</t>
  </si>
  <si>
    <t>Items Processing</t>
  </si>
  <si>
    <t>Quickwire</t>
  </si>
  <si>
    <t>Save for Diamonds</t>
  </si>
  <si>
    <t>Send to Coastal Computers</t>
  </si>
  <si>
    <t>Unsure</t>
  </si>
  <si>
    <t>Save for Endgame</t>
  </si>
  <si>
    <t>Quartz</t>
  </si>
  <si>
    <t>Water</t>
  </si>
  <si>
    <t>Well Extractor Rates</t>
  </si>
  <si>
    <t>Liquid Resources</t>
  </si>
  <si>
    <t>Pu</t>
  </si>
  <si>
    <t>Pure Copper Ingot</t>
  </si>
  <si>
    <t>Silica</t>
  </si>
  <si>
    <t>Cheap Silica</t>
  </si>
  <si>
    <t xml:space="preserve">Quartz </t>
  </si>
  <si>
    <t>Steamed Copper Sheets</t>
  </si>
  <si>
    <t>Copper Sheets</t>
  </si>
  <si>
    <t>Copper Sheet</t>
  </si>
  <si>
    <t>Circuit Boards</t>
  </si>
  <si>
    <t>Silicon Circuit Board</t>
  </si>
  <si>
    <t>Circuit Board</t>
  </si>
  <si>
    <t>Sent to Coastal Computers</t>
  </si>
  <si>
    <t>Grasslands Void</t>
  </si>
  <si>
    <t>Coppper Sheets</t>
  </si>
  <si>
    <t>Imported Items</t>
  </si>
  <si>
    <t>Sent by Train from Grasslands Void</t>
  </si>
  <si>
    <t>Sent by Conveyor Belt from Southwest Grasslands</t>
  </si>
  <si>
    <t>Rubber</t>
  </si>
  <si>
    <t>Sent from Oil Coast</t>
  </si>
  <si>
    <t>?</t>
  </si>
  <si>
    <t>Oil</t>
  </si>
  <si>
    <t>Bauxite</t>
  </si>
  <si>
    <t>Liquid Nodes</t>
  </si>
  <si>
    <t>Oil Extractor Rates</t>
  </si>
  <si>
    <t>Oil Extractor</t>
  </si>
  <si>
    <t>Oil Well</t>
  </si>
  <si>
    <t>Oil Extracted</t>
  </si>
  <si>
    <t>Oil Wells</t>
  </si>
  <si>
    <t>Nitrogen</t>
  </si>
  <si>
    <t>Oil Rig</t>
  </si>
  <si>
    <t>Coastal Computers</t>
  </si>
  <si>
    <t>GrasslandsNorthernForest</t>
  </si>
  <si>
    <t>Plastic</t>
  </si>
  <si>
    <t>Alclad Aluminum Sheets</t>
  </si>
  <si>
    <t>Batteries</t>
  </si>
  <si>
    <t>T0 Processing</t>
  </si>
  <si>
    <t>Output 2 Type</t>
  </si>
  <si>
    <t>OutputPer 2</t>
  </si>
  <si>
    <t>Output 2</t>
  </si>
  <si>
    <t>Pure Copper Refinery</t>
  </si>
  <si>
    <t>Polymer Resin Refinery</t>
  </si>
  <si>
    <t>Crude Oil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</si>
  <si>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</si>
  <si>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</si>
  <si>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</si>
  <si>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</si>
  <si>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</si>
  <si>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</si>
  <si>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</si>
  <si>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T0 Available Post Processing</t>
  </si>
  <si>
    <t>Materials Left</t>
  </si>
  <si>
    <t>Copper Ingot Available</t>
  </si>
  <si>
    <t>Polymer Resin Available</t>
  </si>
  <si>
    <t>Heavy Oil Available</t>
  </si>
  <si>
    <t>Plastic Available</t>
  </si>
  <si>
    <t>Aluminia Available</t>
  </si>
  <si>
    <t>T1 Processing</t>
  </si>
  <si>
    <t>Output Per 2</t>
  </si>
  <si>
    <t>Polyester Fabric</t>
  </si>
  <si>
    <t>Fabric</t>
  </si>
  <si>
    <t>Residual Plastic</t>
  </si>
  <si>
    <t>Petroleum Coke</t>
  </si>
  <si>
    <t>Eelctrode Aluminium Scrap</t>
  </si>
  <si>
    <t>Aluminum Scrap</t>
  </si>
  <si>
    <t>Pure Aluminium Ingot</t>
  </si>
  <si>
    <t>Aluminum Ingot</t>
  </si>
  <si>
    <t>T1 Available Post Processing</t>
  </si>
  <si>
    <t>Heavy Oil</t>
  </si>
  <si>
    <t xml:space="preserve">Scrap </t>
  </si>
  <si>
    <t>T2 Processing</t>
  </si>
  <si>
    <t>Sulfuric Acid</t>
  </si>
  <si>
    <t>Aluminum Casing</t>
  </si>
  <si>
    <t>Aluminium Ingot</t>
  </si>
  <si>
    <t>Alclad Sheet</t>
  </si>
  <si>
    <t>Alclad Sheets</t>
  </si>
  <si>
    <t>Aluminium Casing</t>
  </si>
  <si>
    <t>Aluminia Solution</t>
  </si>
  <si>
    <t>Diluted Fuel</t>
  </si>
  <si>
    <t>Fuel</t>
  </si>
  <si>
    <t>T2 Available Post Processing</t>
  </si>
  <si>
    <t>Send to 3.26 Residual Fuel Refineries | 130.4 Fuel Out | Feeds 10.8 Fuel Generators | 1620 mw Power</t>
  </si>
  <si>
    <t>Plastic to 10 Rec Rubber =&gt; 20 Rec Plastic =&gt; 20.48 Rubber = &gt; 15.51 Rec Plastic | 1538.6 Plastic &amp; 768 Rubber Remain</t>
  </si>
  <si>
    <t>T3 &amp; T4 Processing</t>
  </si>
  <si>
    <t>Recycled Rubber</t>
  </si>
  <si>
    <t>Recycled Plastic</t>
  </si>
  <si>
    <t>Classic Batteries</t>
  </si>
  <si>
    <t>Total Available Post Processing =&gt; To Train</t>
  </si>
  <si>
    <t>Oil Coast Regional Production</t>
  </si>
  <si>
    <t>Send to Make M.Frames for Sinking with R.Plate Remainder</t>
  </si>
  <si>
    <t>Iron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</si>
</sst>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3">
    <xf numFmtId="0" fontId="0" fillId="0" borderId="0" xfId="0"/>
    <xf numFmtId="2" fontId="1" fillId="4" borderId="0" xfId="4" applyNumberFormat="1" applyAlignment="1">
      <alignment horizontal="left"/>
    </xf>
    <xf numFmtId="0" fontId="1" fillId="4" borderId="0" xfId="4" applyAlignment="1">
      <alignment horizontal="left"/>
    </xf>
    <xf numFmtId="0" fontId="0" fillId="4" borderId="0" xfId="4" applyFont="1" applyAlignment="1">
      <alignment horizontal="left"/>
    </xf>
    <xf numFmtId="0" fontId="0" fillId="4" borderId="0" xfId="4" applyFont="1"/>
    <xf numFmtId="0" fontId="3" fillId="3" borderId="2" xfId="3" applyBorder="1"/>
    <xf numFmtId="0" fontId="1" fillId="4" borderId="2" xfId="4" applyBorder="1"/>
    <xf numFmtId="0" fontId="3" fillId="3" borderId="2" xfId="3" applyBorder="1" applyAlignment="1">
      <alignment horizontal="center"/>
    </xf>
    <xf numFmtId="0" fontId="3" fillId="3" borderId="0" xfId="3" applyBorder="1"/>
    <xf numFmtId="0" fontId="3" fillId="3" borderId="5" xfId="3" applyBorder="1" applyAlignment="1">
      <alignment horizontal="center"/>
    </xf>
    <xf numFmtId="0" fontId="0" fillId="6" borderId="0" xfId="0" applyFill="1"/>
    <xf numFmtId="0" fontId="1" fillId="4" borderId="0" xfId="4" applyBorder="1"/>
    <xf numFmtId="0" fontId="1" fillId="4" borderId="2" xfId="4" applyBorder="1" applyAlignment="1">
      <alignment horizontal="left"/>
    </xf>
    <xf numFmtId="0" fontId="0" fillId="7" borderId="0" xfId="0" applyFill="1"/>
    <xf numFmtId="0" fontId="4" fillId="7" borderId="0" xfId="1" applyFont="1" applyFill="1" applyBorder="1" applyAlignment="1"/>
    <xf numFmtId="0" fontId="1" fillId="5" borderId="2" xfId="4" applyFill="1" applyBorder="1" applyAlignment="1">
      <alignment horizontal="left"/>
    </xf>
    <xf numFmtId="0" fontId="1" fillId="5" borderId="2" xfId="4" applyFill="1" applyBorder="1"/>
    <xf numFmtId="0" fontId="3" fillId="2" borderId="0" xfId="2" applyBorder="1" applyAlignment="1">
      <alignment horizontal="center"/>
    </xf>
    <xf numFmtId="0" fontId="5" fillId="7" borderId="0" xfId="0" applyFont="1" applyFill="1"/>
    <xf numFmtId="0" fontId="1" fillId="4" borderId="0" xfId="4" applyBorder="1" applyAlignment="1">
      <alignment horizontal="left"/>
    </xf>
    <xf numFmtId="0" fontId="1" fillId="5" borderId="0" xfId="4" applyFill="1" applyBorder="1" applyAlignment="1">
      <alignment horizontal="left"/>
    </xf>
    <xf numFmtId="0" fontId="5" fillId="10" borderId="2" xfId="4" applyFont="1" applyFill="1" applyBorder="1" applyAlignment="1">
      <alignment horizontal="left"/>
    </xf>
    <xf numFmtId="0" fontId="5" fillId="5" borderId="2" xfId="4" applyFont="1" applyFill="1" applyBorder="1" applyAlignment="1">
      <alignment horizontal="left"/>
    </xf>
    <xf numFmtId="0" fontId="5" fillId="4" borderId="2" xfId="4" applyFont="1" applyBorder="1" applyAlignment="1">
      <alignment horizontal="left"/>
    </xf>
    <xf numFmtId="0" fontId="5" fillId="6" borderId="2" xfId="4" applyFont="1" applyFill="1" applyBorder="1" applyAlignment="1">
      <alignment horizontal="left"/>
    </xf>
    <xf numFmtId="0" fontId="3" fillId="9" borderId="7" xfId="2" applyFill="1" applyBorder="1" applyAlignment="1"/>
    <xf numFmtId="0" fontId="11" fillId="4" borderId="2" xfId="4" applyFont="1" applyBorder="1" applyAlignment="1">
      <alignment horizontal="left"/>
    </xf>
    <xf numFmtId="0" fontId="3" fillId="3" borderId="5" xfId="3" applyBorder="1"/>
    <xf numFmtId="0" fontId="1" fillId="4" borderId="3" xfId="4" applyBorder="1"/>
    <xf numFmtId="0" fontId="1" fillId="11" borderId="2" xfId="4" applyFill="1" applyBorder="1"/>
    <xf numFmtId="0" fontId="9" fillId="2" borderId="6" xfId="2" applyFont="1" applyBorder="1" applyAlignment="1">
      <alignment horizontal="center"/>
    </xf>
    <xf numFmtId="0" fontId="9" fillId="2" borderId="0" xfId="2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7" borderId="1" xfId="1" applyFont="1" applyFill="1" applyAlignment="1">
      <alignment horizontal="center" vertical="center"/>
    </xf>
    <xf numFmtId="0" fontId="3" fillId="2" borderId="3" xfId="2" applyBorder="1" applyAlignment="1">
      <alignment horizontal="center"/>
    </xf>
    <xf numFmtId="0" fontId="3" fillId="2" borderId="4" xfId="2" applyBorder="1" applyAlignment="1">
      <alignment horizontal="center"/>
    </xf>
    <xf numFmtId="0" fontId="3" fillId="2" borderId="6" xfId="2" applyBorder="1" applyAlignment="1">
      <alignment horizontal="center"/>
    </xf>
    <xf numFmtId="0" fontId="3" fillId="2" borderId="0" xfId="2" applyBorder="1" applyAlignment="1">
      <alignment horizontal="center"/>
    </xf>
    <xf numFmtId="0" fontId="3" fillId="9" borderId="7" xfId="2" applyFill="1" applyBorder="1" applyAlignment="1">
      <alignment horizontal="center"/>
    </xf>
    <xf numFmtId="0" fontId="3" fillId="9" borderId="8" xfId="2" applyFill="1" applyBorder="1" applyAlignment="1">
      <alignment horizontal="center"/>
    </xf>
    <xf numFmtId="0" fontId="3" fillId="9" borderId="9" xfId="2" applyFill="1" applyBorder="1" applyAlignment="1">
      <alignment horizontal="center"/>
    </xf>
    <xf numFmtId="0" fontId="3" fillId="2" borderId="7" xfId="2" applyBorder="1" applyAlignment="1">
      <alignment horizontal="center"/>
    </xf>
    <xf numFmtId="0" fontId="3" fillId="2" borderId="8" xfId="2" applyBorder="1" applyAlignment="1">
      <alignment horizontal="center"/>
    </xf>
    <xf numFmtId="0" fontId="3" fillId="8" borderId="6" xfId="2" applyFill="1" applyBorder="1" applyAlignment="1">
      <alignment horizontal="center"/>
    </xf>
    <xf numFmtId="0" fontId="3" fillId="8" borderId="0" xfId="2" applyFill="1" applyBorder="1" applyAlignment="1">
      <alignment horizontal="center"/>
    </xf>
    <xf numFmtId="0" fontId="13" fillId="4" borderId="10" xfId="4" applyFont="1" applyBorder="1" applyAlignment="1">
      <alignment horizontal="center"/>
    </xf>
    <xf numFmtId="0" fontId="13" fillId="4" borderId="11" xfId="4" applyFont="1" applyBorder="1" applyAlignment="1">
      <alignment horizontal="center"/>
    </xf>
    <xf numFmtId="0" fontId="13" fillId="4" borderId="12" xfId="4" applyFont="1" applyBorder="1" applyAlignment="1">
      <alignment horizontal="center"/>
    </xf>
    <xf numFmtId="0" fontId="12" fillId="2" borderId="3" xfId="2" applyFont="1" applyBorder="1" applyAlignment="1">
      <alignment horizontal="center"/>
    </xf>
    <xf numFmtId="0" fontId="12" fillId="2" borderId="4" xfId="2" applyFont="1" applyBorder="1" applyAlignment="1">
      <alignment horizontal="center"/>
    </xf>
    <xf numFmtId="0" fontId="7" fillId="7" borderId="0" xfId="1" applyFont="1" applyFill="1" applyBorder="1" applyAlignment="1">
      <alignment horizontal="center" vertical="center"/>
    </xf>
    <xf numFmtId="0" fontId="3" fillId="3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2:E52"/>
  <sheetViews>
    <sheetView zoomScale="57" zoomScaleNormal="57" workbookViewId="0">
      <selection activeCell="G59" sqref="G59"/>
    </sheetView>
  </sheetViews>
  <sheetFormatPr defaultColWidth="9.140625" defaultRowHeight="18.75" x14ac:dyDescent="0.3"/>
  <cols>
    <col min="1" max="2" width="9.140625" style="18"/>
    <col min="3" max="3" width="76.28515625" style="18" bestFit="1" customWidth="1"/>
    <col min="4" max="4" width="20.7109375" style="18" customWidth="1"/>
    <col min="5" max="5" width="37.85546875" style="18" bestFit="1" customWidth="1"/>
    <col min="6" max="6" width="31.5703125" style="18" bestFit="1" customWidth="1"/>
    <col min="7" max="7" width="21.5703125" style="18" bestFit="1" customWidth="1"/>
    <col min="8" max="8" width="11.5703125" style="18" bestFit="1" customWidth="1"/>
    <col min="9" max="9" width="22.7109375" style="18" bestFit="1" customWidth="1"/>
    <col min="10" max="10" width="11.5703125" style="18" bestFit="1" customWidth="1"/>
    <col min="11" max="11" width="30.140625" style="18" bestFit="1" customWidth="1"/>
    <col min="12" max="12" width="7.85546875" style="18" bestFit="1" customWidth="1"/>
    <col min="13" max="13" width="26" style="18" bestFit="1" customWidth="1"/>
    <col min="14" max="14" width="9.42578125" style="18" customWidth="1"/>
    <col min="15" max="15" width="24" style="18" bestFit="1" customWidth="1"/>
    <col min="16" max="16384" width="9.140625" style="18"/>
  </cols>
  <sheetData>
    <row r="2" spans="3:5" x14ac:dyDescent="0.3">
      <c r="C2" s="30" t="s">
        <v>85</v>
      </c>
      <c r="D2" s="31"/>
    </row>
    <row r="3" spans="3:5" x14ac:dyDescent="0.3">
      <c r="C3" s="32" t="s">
        <v>86</v>
      </c>
      <c r="D3" s="32"/>
    </row>
    <row r="4" spans="3:5" x14ac:dyDescent="0.3">
      <c r="C4" s="33" t="s">
        <v>89</v>
      </c>
      <c r="D4" s="33"/>
    </row>
    <row r="6" spans="3:5" x14ac:dyDescent="0.3">
      <c r="C6" s="30" t="s">
        <v>74</v>
      </c>
      <c r="D6" s="31"/>
    </row>
    <row r="7" spans="3:5" x14ac:dyDescent="0.3">
      <c r="C7" s="21" t="s">
        <v>25</v>
      </c>
      <c r="D7" s="22">
        <f>GrasslandsSouthwest!G54</f>
        <v>240</v>
      </c>
    </row>
    <row r="8" spans="3:5" x14ac:dyDescent="0.3">
      <c r="C8" s="21" t="s">
        <v>54</v>
      </c>
      <c r="D8" s="22">
        <f>GrasslandsSouthwest!G55</f>
        <v>480</v>
      </c>
    </row>
    <row r="9" spans="3:5" x14ac:dyDescent="0.3">
      <c r="C9" s="23" t="s">
        <v>53</v>
      </c>
      <c r="D9" s="22">
        <f>GrasslandsSouthwest!G58</f>
        <v>240</v>
      </c>
      <c r="E9" s="23" t="s">
        <v>107</v>
      </c>
    </row>
    <row r="10" spans="3:5" x14ac:dyDescent="0.3">
      <c r="C10" s="24" t="s">
        <v>2</v>
      </c>
      <c r="D10" s="22">
        <f>GrasslandsSouthwest!E16</f>
        <v>1200</v>
      </c>
      <c r="E10" s="23" t="s">
        <v>130</v>
      </c>
    </row>
    <row r="11" spans="3:5" x14ac:dyDescent="0.3">
      <c r="C11" s="24" t="s">
        <v>129</v>
      </c>
      <c r="D11" s="22">
        <f>GrasslandsSouthwest!G78</f>
        <v>4520</v>
      </c>
      <c r="E11" s="23" t="s">
        <v>131</v>
      </c>
    </row>
    <row r="14" spans="3:5" x14ac:dyDescent="0.3">
      <c r="C14" s="30" t="s">
        <v>75</v>
      </c>
      <c r="D14" s="31"/>
    </row>
    <row r="15" spans="3:5" x14ac:dyDescent="0.3">
      <c r="C15" s="21" t="s">
        <v>33</v>
      </c>
      <c r="D15" s="22">
        <f>GrasslandsSouth!I30</f>
        <v>140</v>
      </c>
    </row>
    <row r="16" spans="3:5" x14ac:dyDescent="0.3">
      <c r="C16" s="21" t="s">
        <v>64</v>
      </c>
      <c r="D16" s="22">
        <f>GrasslandsSouth!I31</f>
        <v>240</v>
      </c>
    </row>
    <row r="17" spans="3:5" x14ac:dyDescent="0.3">
      <c r="C17" s="23" t="s">
        <v>53</v>
      </c>
      <c r="D17" s="22">
        <f>GrasslandsSouth!I37</f>
        <v>156</v>
      </c>
      <c r="E17" s="23" t="s">
        <v>107</v>
      </c>
    </row>
    <row r="19" spans="3:5" x14ac:dyDescent="0.3">
      <c r="C19" s="30" t="s">
        <v>87</v>
      </c>
      <c r="D19" s="31"/>
    </row>
    <row r="20" spans="3:5" x14ac:dyDescent="0.3">
      <c r="C20" s="23" t="s">
        <v>88</v>
      </c>
      <c r="D20" s="22">
        <f>GrasslandsSouthEast!L36</f>
        <v>160</v>
      </c>
      <c r="E20" s="23" t="s">
        <v>107</v>
      </c>
    </row>
    <row r="21" spans="3:5" x14ac:dyDescent="0.3">
      <c r="C21" s="24" t="s">
        <v>2</v>
      </c>
      <c r="D21" s="22">
        <f>GrasslandsSouthEast!L37</f>
        <v>1200</v>
      </c>
      <c r="E21" s="23" t="s">
        <v>130</v>
      </c>
    </row>
    <row r="22" spans="3:5" x14ac:dyDescent="0.3">
      <c r="C22" s="24" t="s">
        <v>77</v>
      </c>
      <c r="D22" s="22">
        <f>GrasslandsSouthEast!L38</f>
        <v>600</v>
      </c>
      <c r="E22" s="23" t="s">
        <v>133</v>
      </c>
    </row>
    <row r="23" spans="3:5" x14ac:dyDescent="0.3">
      <c r="C23" s="24" t="s">
        <v>78</v>
      </c>
      <c r="D23" s="22">
        <f>GrasslandsSouthEast!L39</f>
        <v>300</v>
      </c>
      <c r="E23" s="23" t="s">
        <v>132</v>
      </c>
    </row>
    <row r="25" spans="3:5" x14ac:dyDescent="0.3">
      <c r="C25" s="30" t="s">
        <v>90</v>
      </c>
      <c r="D25" s="31"/>
    </row>
    <row r="26" spans="3:5" x14ac:dyDescent="0.3">
      <c r="C26" s="23" t="s">
        <v>82</v>
      </c>
      <c r="D26" s="22">
        <f>'Grasslands Central'!I26</f>
        <v>1968.75</v>
      </c>
      <c r="E26" s="23" t="s">
        <v>107</v>
      </c>
    </row>
    <row r="27" spans="3:5" x14ac:dyDescent="0.3">
      <c r="C27" s="23" t="s">
        <v>4</v>
      </c>
      <c r="D27" s="22">
        <f>'Grasslands Central'!I27</f>
        <v>800</v>
      </c>
      <c r="E27" s="23" t="s">
        <v>107</v>
      </c>
    </row>
    <row r="29" spans="3:5" x14ac:dyDescent="0.3">
      <c r="C29" s="30" t="s">
        <v>92</v>
      </c>
      <c r="D29" s="31"/>
    </row>
    <row r="30" spans="3:5" x14ac:dyDescent="0.3">
      <c r="C30" s="23" t="s">
        <v>105</v>
      </c>
      <c r="D30" s="22">
        <f>CoalLake!L58</f>
        <v>162.5</v>
      </c>
      <c r="E30" s="23" t="s">
        <v>107</v>
      </c>
    </row>
    <row r="31" spans="3:5" x14ac:dyDescent="0.3">
      <c r="C31" s="21" t="s">
        <v>106</v>
      </c>
      <c r="D31" s="22">
        <f>CoalLake!O65</f>
        <v>120</v>
      </c>
    </row>
    <row r="32" spans="3:5" x14ac:dyDescent="0.3">
      <c r="C32" s="21" t="s">
        <v>97</v>
      </c>
      <c r="D32" s="22">
        <f>CoalLake!O64</f>
        <v>480</v>
      </c>
    </row>
    <row r="33" spans="3:5" x14ac:dyDescent="0.3">
      <c r="C33" s="21" t="s">
        <v>96</v>
      </c>
      <c r="D33" s="22">
        <f>CoalLake!O63</f>
        <v>444</v>
      </c>
    </row>
    <row r="35" spans="3:5" x14ac:dyDescent="0.3">
      <c r="C35" s="30" t="s">
        <v>91</v>
      </c>
      <c r="D35" s="31"/>
    </row>
    <row r="36" spans="3:5" x14ac:dyDescent="0.3">
      <c r="C36" s="23" t="s">
        <v>105</v>
      </c>
      <c r="D36" s="22">
        <f>GrasslandsTrainHub!G27</f>
        <v>162.5</v>
      </c>
      <c r="E36" s="25" t="s">
        <v>122</v>
      </c>
    </row>
    <row r="37" spans="3:5" x14ac:dyDescent="0.3">
      <c r="C37" s="23" t="s">
        <v>121</v>
      </c>
      <c r="D37" s="22">
        <f>GrasslandsTrainHub!G26</f>
        <v>64.6875</v>
      </c>
      <c r="E37" s="25" t="s">
        <v>122</v>
      </c>
    </row>
    <row r="38" spans="3:5" x14ac:dyDescent="0.3">
      <c r="C38" s="21" t="s">
        <v>53</v>
      </c>
      <c r="D38" s="22">
        <f>GrasslandsTrainHub!G30</f>
        <v>240</v>
      </c>
    </row>
    <row r="40" spans="3:5" x14ac:dyDescent="0.3">
      <c r="C40" s="30" t="s">
        <v>150</v>
      </c>
      <c r="D40" s="31"/>
    </row>
    <row r="41" spans="3:5" x14ac:dyDescent="0.3">
      <c r="C41" s="23" t="s">
        <v>146</v>
      </c>
      <c r="D41" s="22">
        <f>'Grasslands Void'!J34</f>
        <v>1200</v>
      </c>
      <c r="E41" s="23" t="s">
        <v>131</v>
      </c>
    </row>
    <row r="42" spans="3:5" x14ac:dyDescent="0.3">
      <c r="C42" s="21" t="s">
        <v>146</v>
      </c>
      <c r="D42" s="22">
        <f>'Grasslands Void'!J37</f>
        <v>250</v>
      </c>
    </row>
    <row r="43" spans="3:5" x14ac:dyDescent="0.3">
      <c r="C43" s="21" t="s">
        <v>144</v>
      </c>
      <c r="D43" s="22">
        <f>'Grasslands Void'!J38</f>
        <v>270</v>
      </c>
    </row>
    <row r="46" spans="3:5" x14ac:dyDescent="0.3">
      <c r="C46" s="30" t="s">
        <v>167</v>
      </c>
      <c r="D46" s="31"/>
    </row>
    <row r="49" spans="3:4" x14ac:dyDescent="0.3">
      <c r="C49" s="30" t="s">
        <v>168</v>
      </c>
      <c r="D49" s="31"/>
    </row>
    <row r="52" spans="3:4" x14ac:dyDescent="0.3">
      <c r="C52" s="30" t="s">
        <v>169</v>
      </c>
      <c r="D52" s="31"/>
    </row>
  </sheetData>
  <mergeCells count="13">
    <mergeCell ref="C49:D49"/>
    <mergeCell ref="C52:D52"/>
    <mergeCell ref="C2:D2"/>
    <mergeCell ref="C3:D3"/>
    <mergeCell ref="C19:D19"/>
    <mergeCell ref="C40:D40"/>
    <mergeCell ref="C46:D46"/>
    <mergeCell ref="C4:D4"/>
    <mergeCell ref="C25:D25"/>
    <mergeCell ref="C35:D35"/>
    <mergeCell ref="C29:D29"/>
    <mergeCell ref="C6:D6"/>
    <mergeCell ref="C14:D14"/>
  </mergeCells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T78"/>
  <sheetViews>
    <sheetView topLeftCell="A39" zoomScale="70" zoomScaleNormal="70" workbookViewId="0">
      <selection activeCell="L79" sqref="L79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1.5703125" style="13" bestFit="1" customWidth="1"/>
    <col min="7" max="7" width="9.85546875" style="13" bestFit="1" customWidth="1"/>
    <col min="8" max="8" width="27.140625" style="13" bestFit="1" customWidth="1"/>
    <col min="9" max="9" width="29.140625" style="13" bestFit="1" customWidth="1"/>
    <col min="10" max="10" width="28.140625" style="13" bestFit="1" customWidth="1"/>
    <col min="11" max="11" width="14.85546875" style="13" bestFit="1" customWidth="1"/>
    <col min="12" max="12" width="29" style="13" bestFit="1" customWidth="1"/>
    <col min="13" max="13" width="31.85546875" style="13" bestFit="1" customWidth="1"/>
    <col min="14" max="14" width="20.7109375" style="13" bestFit="1" customWidth="1"/>
    <col min="15" max="15" width="16.28515625" style="13" bestFit="1" customWidth="1"/>
    <col min="16" max="16" width="27.140625" style="13" bestFit="1" customWidth="1"/>
    <col min="17" max="17" width="20" style="13" bestFit="1" customWidth="1"/>
    <col min="18" max="18" width="18.85546875" style="13" bestFit="1" customWidth="1"/>
    <col min="19" max="19" width="23.140625" style="13" bestFit="1" customWidth="1"/>
    <col min="20" max="20" width="14" style="13" bestFit="1" customWidth="1"/>
    <col min="21" max="21" width="16.140625" style="13" bestFit="1" customWidth="1"/>
    <col min="22" max="22" width="12.42578125" style="13" bestFit="1" customWidth="1"/>
    <col min="23" max="16384" width="9.140625" style="13"/>
  </cols>
  <sheetData>
    <row r="1" spans="3:19" ht="8.25" customHeight="1" x14ac:dyDescent="0.25"/>
    <row r="2" spans="3:19" ht="8.25" customHeight="1" x14ac:dyDescent="0.25"/>
    <row r="3" spans="3:19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4"/>
      <c r="R3" s="14"/>
      <c r="S3" s="14"/>
    </row>
    <row r="4" spans="3:19" ht="24" thickTop="1" x14ac:dyDescent="0.35">
      <c r="Q4" s="14"/>
      <c r="R4" s="14"/>
      <c r="S4" s="14"/>
    </row>
    <row r="5" spans="3:19" x14ac:dyDescent="0.25">
      <c r="C5" s="35" t="s">
        <v>38</v>
      </c>
      <c r="D5" s="36"/>
      <c r="E5" s="36"/>
      <c r="F5" s="36"/>
      <c r="G5" s="36"/>
      <c r="H5" s="36"/>
    </row>
    <row r="6" spans="3:19" x14ac:dyDescent="0.25">
      <c r="C6" s="5" t="s">
        <v>16</v>
      </c>
      <c r="D6" s="5" t="s">
        <v>5</v>
      </c>
      <c r="E6" s="5" t="s">
        <v>6</v>
      </c>
      <c r="F6" s="5" t="s">
        <v>3</v>
      </c>
      <c r="G6" s="5" t="s">
        <v>2</v>
      </c>
      <c r="H6" s="8" t="s">
        <v>21</v>
      </c>
    </row>
    <row r="7" spans="3:19" x14ac:dyDescent="0.25">
      <c r="C7" s="6" t="s">
        <v>14</v>
      </c>
      <c r="D7" s="6">
        <v>8</v>
      </c>
      <c r="E7" s="6">
        <v>0</v>
      </c>
      <c r="F7" s="6">
        <v>2</v>
      </c>
      <c r="G7" s="6">
        <v>0</v>
      </c>
      <c r="H7" s="6">
        <v>0</v>
      </c>
    </row>
    <row r="8" spans="3:19" x14ac:dyDescent="0.25">
      <c r="C8" s="6" t="s">
        <v>13</v>
      </c>
      <c r="D8" s="6">
        <v>0</v>
      </c>
      <c r="E8" s="6">
        <v>2</v>
      </c>
      <c r="F8" s="6">
        <v>0</v>
      </c>
      <c r="G8" s="6">
        <v>0</v>
      </c>
      <c r="H8" s="6">
        <v>2</v>
      </c>
      <c r="I8" s="10" t="s">
        <v>37</v>
      </c>
    </row>
    <row r="9" spans="3:19" x14ac:dyDescent="0.25">
      <c r="C9" s="6" t="s">
        <v>12</v>
      </c>
      <c r="D9" s="6">
        <v>0</v>
      </c>
      <c r="E9" s="6">
        <v>0</v>
      </c>
      <c r="F9" s="6">
        <v>0</v>
      </c>
      <c r="G9" s="6">
        <v>1</v>
      </c>
      <c r="H9" s="6">
        <v>0</v>
      </c>
    </row>
    <row r="11" spans="3:19" x14ac:dyDescent="0.25">
      <c r="C11" s="35" t="s">
        <v>41</v>
      </c>
      <c r="D11" s="36"/>
    </row>
    <row r="12" spans="3:19" x14ac:dyDescent="0.25">
      <c r="C12" s="5" t="s">
        <v>16</v>
      </c>
      <c r="D12" s="5" t="s">
        <v>42</v>
      </c>
      <c r="E12" s="5" t="s">
        <v>43</v>
      </c>
    </row>
    <row r="13" spans="3:19" x14ac:dyDescent="0.25">
      <c r="C13" s="11" t="s">
        <v>5</v>
      </c>
      <c r="D13" s="6">
        <f>(D7*MinerOutputValues!D25) + (D8*MinerOutputValues!D26) + (D9*MinerOutputValues!D27)</f>
        <v>2400</v>
      </c>
      <c r="E13" s="16">
        <v>2400</v>
      </c>
    </row>
    <row r="14" spans="3:19" x14ac:dyDescent="0.25">
      <c r="C14" s="11" t="s">
        <v>6</v>
      </c>
      <c r="D14" s="6">
        <f>(E7*MinerOutputValues!D25) + (E8*MinerOutputValues!D26) + (E9*MinerOutputValues!D27)</f>
        <v>1200</v>
      </c>
      <c r="E14" s="16">
        <v>1200</v>
      </c>
    </row>
    <row r="15" spans="3:19" x14ac:dyDescent="0.25">
      <c r="C15" s="11" t="s">
        <v>3</v>
      </c>
      <c r="D15" s="6">
        <f>(F7*MinerOutputValues!D25) + (F8*MinerOutputValues!D26) + (F9*MinerOutputValues!D27)</f>
        <v>600</v>
      </c>
      <c r="E15" s="16">
        <f>D15</f>
        <v>600</v>
      </c>
    </row>
    <row r="16" spans="3:19" x14ac:dyDescent="0.25">
      <c r="C16" s="11" t="s">
        <v>2</v>
      </c>
      <c r="D16" s="6">
        <f>(G7*MinerOutputValues!D25) + (G8*MinerOutputValues!D26) + (G9*MinerOutputValues!D27)</f>
        <v>1200</v>
      </c>
      <c r="E16" s="16">
        <f>D16-D21</f>
        <v>1200</v>
      </c>
      <c r="F16" s="10" t="s">
        <v>44</v>
      </c>
    </row>
    <row r="17" spans="3:20" x14ac:dyDescent="0.25">
      <c r="C17" s="11" t="s">
        <v>21</v>
      </c>
      <c r="D17" s="6">
        <f>(H7*MinerOutputValues!D25) + (H8*MinerOutputValues!D26) + (H9*MinerOutputValues!D27)</f>
        <v>1200</v>
      </c>
      <c r="E17" s="16">
        <f>D17-D20</f>
        <v>1200</v>
      </c>
    </row>
    <row r="25" spans="3:20" x14ac:dyDescent="0.25">
      <c r="F25" s="37" t="s">
        <v>45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3:20" x14ac:dyDescent="0.25">
      <c r="F26" s="5" t="s">
        <v>16</v>
      </c>
      <c r="G26" s="7" t="s">
        <v>22</v>
      </c>
      <c r="H26" s="7" t="s">
        <v>46</v>
      </c>
      <c r="I26" s="7" t="s">
        <v>26</v>
      </c>
      <c r="J26" s="7" t="s">
        <v>23</v>
      </c>
      <c r="K26" s="7" t="s">
        <v>47</v>
      </c>
      <c r="L26" s="7" t="s">
        <v>28</v>
      </c>
      <c r="M26" s="7" t="s">
        <v>31</v>
      </c>
      <c r="N26" s="9" t="s">
        <v>32</v>
      </c>
      <c r="O26" s="7" t="s">
        <v>30</v>
      </c>
      <c r="P26" s="7" t="s">
        <v>48</v>
      </c>
      <c r="Q26" s="7" t="s">
        <v>36</v>
      </c>
      <c r="R26" s="7" t="s">
        <v>35</v>
      </c>
      <c r="S26" s="7" t="s">
        <v>49</v>
      </c>
      <c r="T26" s="9" t="s">
        <v>34</v>
      </c>
    </row>
    <row r="27" spans="3:20" x14ac:dyDescent="0.25">
      <c r="F27" s="12" t="s">
        <v>27</v>
      </c>
      <c r="G27" s="12">
        <v>30</v>
      </c>
      <c r="H27" s="12">
        <f>G27*2</f>
        <v>60</v>
      </c>
      <c r="I27" s="12" t="s">
        <v>0</v>
      </c>
      <c r="J27" s="12"/>
      <c r="K27" s="12"/>
      <c r="L27" s="12"/>
      <c r="M27" s="12">
        <v>1200</v>
      </c>
      <c r="N27" s="12"/>
      <c r="O27" s="12">
        <f>M27/G27</f>
        <v>40</v>
      </c>
      <c r="P27" s="15">
        <f>M27/H27</f>
        <v>20</v>
      </c>
      <c r="Q27" s="12" t="s">
        <v>27</v>
      </c>
      <c r="R27" s="12">
        <v>30</v>
      </c>
      <c r="S27" s="12">
        <f>R27*2</f>
        <v>60</v>
      </c>
      <c r="T27" s="15">
        <f>R27*O27</f>
        <v>1200</v>
      </c>
    </row>
    <row r="28" spans="3:20" x14ac:dyDescent="0.25">
      <c r="F28" s="12" t="s">
        <v>19</v>
      </c>
      <c r="G28" s="12">
        <v>50</v>
      </c>
      <c r="H28" s="12">
        <f>G28*2</f>
        <v>100</v>
      </c>
      <c r="I28" s="12" t="s">
        <v>0</v>
      </c>
      <c r="J28" s="12">
        <v>50</v>
      </c>
      <c r="K28" s="12">
        <f>J28*2</f>
        <v>100</v>
      </c>
      <c r="L28" s="12" t="s">
        <v>1</v>
      </c>
      <c r="M28" s="12">
        <f>E14</f>
        <v>1200</v>
      </c>
      <c r="N28" s="12">
        <f>E14</f>
        <v>1200</v>
      </c>
      <c r="O28" s="12">
        <f>M28/G28</f>
        <v>24</v>
      </c>
      <c r="P28" s="15">
        <f>M28/H28</f>
        <v>12</v>
      </c>
      <c r="Q28" s="12" t="s">
        <v>19</v>
      </c>
      <c r="R28" s="12">
        <v>100</v>
      </c>
      <c r="S28" s="12">
        <f>R28*2</f>
        <v>200</v>
      </c>
      <c r="T28" s="15">
        <f>R28*O28</f>
        <v>2400</v>
      </c>
    </row>
    <row r="29" spans="3:20" x14ac:dyDescent="0.25">
      <c r="F29" s="12" t="s">
        <v>4</v>
      </c>
      <c r="G29" s="12">
        <v>45</v>
      </c>
      <c r="H29" s="12">
        <f t="shared" ref="H29" si="0">G29*2.5</f>
        <v>112.5</v>
      </c>
      <c r="I29" s="12" t="s">
        <v>3</v>
      </c>
      <c r="J29" s="12"/>
      <c r="K29" s="12"/>
      <c r="L29" s="12"/>
      <c r="M29" s="12">
        <v>600</v>
      </c>
      <c r="N29" s="12"/>
      <c r="O29" s="12">
        <f>M29/G29</f>
        <v>13.333333333333334</v>
      </c>
      <c r="P29" s="15">
        <f>M29/H29</f>
        <v>5.333333333333333</v>
      </c>
      <c r="Q29" s="12" t="s">
        <v>4</v>
      </c>
      <c r="R29" s="12">
        <v>15</v>
      </c>
      <c r="S29" s="12">
        <f>R29*2.5</f>
        <v>37.5</v>
      </c>
      <c r="T29" s="15">
        <f>R29*O29</f>
        <v>200</v>
      </c>
    </row>
    <row r="31" spans="3:20" x14ac:dyDescent="0.25">
      <c r="F31" s="37" t="s">
        <v>50</v>
      </c>
      <c r="G31" s="38"/>
      <c r="I31" s="37" t="s">
        <v>51</v>
      </c>
      <c r="J31" s="38"/>
    </row>
    <row r="32" spans="3:20" x14ac:dyDescent="0.25">
      <c r="F32" s="12" t="s">
        <v>27</v>
      </c>
      <c r="G32" s="15">
        <f>T27</f>
        <v>1200</v>
      </c>
      <c r="I32" s="12" t="s">
        <v>0</v>
      </c>
      <c r="J32" s="15">
        <f>E13-M27-M28</f>
        <v>0</v>
      </c>
    </row>
    <row r="33" spans="6:20" x14ac:dyDescent="0.25">
      <c r="F33" s="12" t="s">
        <v>19</v>
      </c>
      <c r="G33" s="15">
        <f>T28</f>
        <v>2400</v>
      </c>
      <c r="I33" s="12" t="s">
        <v>1</v>
      </c>
      <c r="J33" s="15">
        <f>E14-N28</f>
        <v>0</v>
      </c>
    </row>
    <row r="34" spans="6:20" x14ac:dyDescent="0.25">
      <c r="F34" s="12" t="s">
        <v>4</v>
      </c>
      <c r="G34" s="15">
        <f>T29</f>
        <v>200</v>
      </c>
      <c r="I34" s="12" t="s">
        <v>3</v>
      </c>
      <c r="J34" s="15">
        <f>E15-M29</f>
        <v>0</v>
      </c>
    </row>
    <row r="36" spans="6:20" x14ac:dyDescent="0.25">
      <c r="F36" s="35" t="s">
        <v>40</v>
      </c>
      <c r="G36" s="36"/>
    </row>
    <row r="37" spans="6:20" x14ac:dyDescent="0.25">
      <c r="F37" s="11" t="s">
        <v>4</v>
      </c>
      <c r="G37" s="6">
        <f>G34</f>
        <v>200</v>
      </c>
    </row>
    <row r="39" spans="6:20" x14ac:dyDescent="0.25">
      <c r="F39" s="37" t="s">
        <v>45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 spans="6:20" x14ac:dyDescent="0.25">
      <c r="F40" s="5" t="s">
        <v>16</v>
      </c>
      <c r="G40" s="7" t="s">
        <v>22</v>
      </c>
      <c r="H40" s="7" t="s">
        <v>46</v>
      </c>
      <c r="I40" s="7" t="s">
        <v>26</v>
      </c>
      <c r="J40" s="7" t="s">
        <v>23</v>
      </c>
      <c r="K40" s="7" t="s">
        <v>47</v>
      </c>
      <c r="L40" s="7" t="s">
        <v>28</v>
      </c>
      <c r="M40" s="7" t="s">
        <v>31</v>
      </c>
      <c r="N40" s="9" t="s">
        <v>32</v>
      </c>
      <c r="O40" s="7" t="s">
        <v>30</v>
      </c>
      <c r="P40" s="7" t="s">
        <v>48</v>
      </c>
      <c r="Q40" s="7" t="s">
        <v>36</v>
      </c>
      <c r="R40" s="7" t="s">
        <v>35</v>
      </c>
      <c r="S40" s="7" t="s">
        <v>49</v>
      </c>
      <c r="T40" s="9" t="s">
        <v>34</v>
      </c>
    </row>
    <row r="41" spans="6:20" x14ac:dyDescent="0.25">
      <c r="F41" s="12" t="s">
        <v>33</v>
      </c>
      <c r="G41" s="12">
        <v>30</v>
      </c>
      <c r="H41" s="12">
        <f>G41*2.5</f>
        <v>75</v>
      </c>
      <c r="I41" s="12" t="s">
        <v>27</v>
      </c>
      <c r="J41" s="12"/>
      <c r="K41" s="12"/>
      <c r="L41" s="12"/>
      <c r="M41" s="12">
        <f>G32</f>
        <v>1200</v>
      </c>
      <c r="N41" s="12"/>
      <c r="O41" s="12">
        <f>M41/G41</f>
        <v>40</v>
      </c>
      <c r="P41" s="15">
        <f>M41/H41</f>
        <v>16</v>
      </c>
      <c r="Q41" s="12" t="s">
        <v>33</v>
      </c>
      <c r="R41" s="12">
        <v>20</v>
      </c>
      <c r="S41" s="12">
        <f>R41*2.5</f>
        <v>50</v>
      </c>
      <c r="T41" s="15">
        <f>R41*O41</f>
        <v>800</v>
      </c>
    </row>
    <row r="42" spans="6:20" x14ac:dyDescent="0.25">
      <c r="F42" s="12" t="s">
        <v>20</v>
      </c>
      <c r="G42" s="12">
        <v>15</v>
      </c>
      <c r="H42" s="12">
        <f t="shared" ref="H42" si="1">G42*2.5</f>
        <v>37.5</v>
      </c>
      <c r="I42" s="12" t="s">
        <v>19</v>
      </c>
      <c r="J42" s="12"/>
      <c r="K42" s="12"/>
      <c r="L42" s="12"/>
      <c r="M42" s="12">
        <v>1800</v>
      </c>
      <c r="N42" s="12"/>
      <c r="O42" s="12">
        <f>M42/G42</f>
        <v>120</v>
      </c>
      <c r="P42" s="15">
        <f>M42/H42</f>
        <v>48</v>
      </c>
      <c r="Q42" s="12" t="s">
        <v>25</v>
      </c>
      <c r="R42" s="12">
        <v>30</v>
      </c>
      <c r="S42" s="12">
        <f>R42*2.5</f>
        <v>75</v>
      </c>
      <c r="T42" s="15">
        <f>R42*O42</f>
        <v>3600</v>
      </c>
    </row>
    <row r="44" spans="6:20" x14ac:dyDescent="0.25">
      <c r="F44" s="37" t="s">
        <v>50</v>
      </c>
      <c r="G44" s="38"/>
    </row>
    <row r="45" spans="6:20" x14ac:dyDescent="0.25">
      <c r="F45" s="12" t="s">
        <v>33</v>
      </c>
      <c r="G45" s="15">
        <f>T41</f>
        <v>800</v>
      </c>
    </row>
    <row r="46" spans="6:20" x14ac:dyDescent="0.25">
      <c r="F46" s="12" t="s">
        <v>25</v>
      </c>
      <c r="G46" s="15">
        <f>T42</f>
        <v>3600</v>
      </c>
    </row>
    <row r="48" spans="6:20" x14ac:dyDescent="0.25">
      <c r="F48" s="37" t="s">
        <v>52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6:20" x14ac:dyDescent="0.25">
      <c r="F49" s="5" t="s">
        <v>16</v>
      </c>
      <c r="G49" s="7" t="s">
        <v>22</v>
      </c>
      <c r="H49" s="7" t="s">
        <v>46</v>
      </c>
      <c r="I49" s="7" t="s">
        <v>26</v>
      </c>
      <c r="J49" s="7" t="s">
        <v>23</v>
      </c>
      <c r="K49" s="7" t="s">
        <v>47</v>
      </c>
      <c r="L49" s="7" t="s">
        <v>28</v>
      </c>
      <c r="M49" s="7" t="s">
        <v>31</v>
      </c>
      <c r="N49" s="9" t="s">
        <v>32</v>
      </c>
      <c r="O49" s="7" t="s">
        <v>30</v>
      </c>
      <c r="P49" s="7" t="s">
        <v>48</v>
      </c>
      <c r="Q49" s="7" t="s">
        <v>36</v>
      </c>
      <c r="R49" s="7" t="s">
        <v>35</v>
      </c>
      <c r="S49" s="7" t="s">
        <v>49</v>
      </c>
      <c r="T49" s="9" t="s">
        <v>34</v>
      </c>
    </row>
    <row r="50" spans="6:20" x14ac:dyDescent="0.25">
      <c r="F50" s="12" t="s">
        <v>53</v>
      </c>
      <c r="G50" s="12">
        <v>18.75</v>
      </c>
      <c r="H50" s="12">
        <f>G50*2.5</f>
        <v>46.875</v>
      </c>
      <c r="I50" s="12" t="s">
        <v>33</v>
      </c>
      <c r="J50" s="12">
        <v>37.5</v>
      </c>
      <c r="K50" s="12">
        <f>J50*2.5</f>
        <v>93.75</v>
      </c>
      <c r="L50" s="12" t="s">
        <v>25</v>
      </c>
      <c r="M50" s="12">
        <f>G45</f>
        <v>800</v>
      </c>
      <c r="N50" s="12">
        <v>1600</v>
      </c>
      <c r="O50" s="12">
        <f>M50/G50</f>
        <v>42.666666666666664</v>
      </c>
      <c r="P50" s="15">
        <f>M50/H50</f>
        <v>17.066666666666666</v>
      </c>
      <c r="Q50" s="12" t="s">
        <v>55</v>
      </c>
      <c r="R50" s="12">
        <v>5.625</v>
      </c>
      <c r="S50" s="12">
        <f>R50*2.5</f>
        <v>14.0625</v>
      </c>
      <c r="T50" s="15">
        <f>R50*O50</f>
        <v>240</v>
      </c>
    </row>
    <row r="51" spans="6:20" x14ac:dyDescent="0.25">
      <c r="F51" s="12" t="s">
        <v>54</v>
      </c>
      <c r="G51" s="12">
        <v>60</v>
      </c>
      <c r="H51" s="12">
        <f t="shared" ref="H51" si="2">G51*2.5</f>
        <v>150</v>
      </c>
      <c r="I51" s="12" t="s">
        <v>25</v>
      </c>
      <c r="J51" s="12"/>
      <c r="K51" s="12"/>
      <c r="L51" s="12"/>
      <c r="M51" s="12">
        <v>960</v>
      </c>
      <c r="N51" s="12"/>
      <c r="O51" s="12">
        <f>M51/G51</f>
        <v>16</v>
      </c>
      <c r="P51" s="15">
        <f>M51/H51</f>
        <v>6.4</v>
      </c>
      <c r="Q51" s="12" t="s">
        <v>25</v>
      </c>
      <c r="R51" s="12">
        <v>30</v>
      </c>
      <c r="S51" s="12">
        <f>R51*2.5</f>
        <v>75</v>
      </c>
      <c r="T51" s="15">
        <f>R51*O51</f>
        <v>480</v>
      </c>
    </row>
    <row r="53" spans="6:20" x14ac:dyDescent="0.25">
      <c r="F53" s="35" t="s">
        <v>40</v>
      </c>
      <c r="G53" s="36"/>
      <c r="I53" s="37" t="s">
        <v>84</v>
      </c>
      <c r="J53" s="38"/>
      <c r="L53" s="37" t="s">
        <v>56</v>
      </c>
      <c r="M53" s="38"/>
    </row>
    <row r="54" spans="6:20" x14ac:dyDescent="0.25">
      <c r="F54" s="11" t="s">
        <v>25</v>
      </c>
      <c r="G54" s="6">
        <v>240</v>
      </c>
      <c r="I54" s="12" t="s">
        <v>25</v>
      </c>
      <c r="J54" s="15">
        <f>G46-M51-N50-G54</f>
        <v>800</v>
      </c>
      <c r="L54" s="12" t="s">
        <v>33</v>
      </c>
      <c r="M54" s="15">
        <f>G45-M50</f>
        <v>0</v>
      </c>
    </row>
    <row r="55" spans="6:20" x14ac:dyDescent="0.25">
      <c r="F55" s="11" t="s">
        <v>54</v>
      </c>
      <c r="G55" s="6">
        <f>T51</f>
        <v>480</v>
      </c>
      <c r="L55" s="12" t="s">
        <v>25</v>
      </c>
      <c r="M55" s="15">
        <f>G46-N50-M51-G54-J54</f>
        <v>0</v>
      </c>
    </row>
    <row r="56" spans="6:20" x14ac:dyDescent="0.25">
      <c r="L56" s="12" t="s">
        <v>19</v>
      </c>
      <c r="M56" s="15">
        <f>G33-M42</f>
        <v>600</v>
      </c>
    </row>
    <row r="57" spans="6:20" x14ac:dyDescent="0.25">
      <c r="F57" s="35" t="s">
        <v>57</v>
      </c>
      <c r="G57" s="36"/>
    </row>
    <row r="58" spans="6:20" x14ac:dyDescent="0.25">
      <c r="F58" s="11" t="s">
        <v>53</v>
      </c>
      <c r="G58" s="6">
        <f>T50</f>
        <v>240</v>
      </c>
    </row>
    <row r="59" spans="6:20" x14ac:dyDescent="0.25">
      <c r="L59" s="37" t="s">
        <v>76</v>
      </c>
      <c r="M59" s="38"/>
    </row>
    <row r="60" spans="6:20" x14ac:dyDescent="0.25">
      <c r="L60" s="12" t="s">
        <v>19</v>
      </c>
      <c r="M60" s="15">
        <v>1200</v>
      </c>
    </row>
    <row r="62" spans="6:20" x14ac:dyDescent="0.25">
      <c r="L62" s="37" t="s">
        <v>56</v>
      </c>
      <c r="M62" s="38"/>
    </row>
    <row r="63" spans="6:20" x14ac:dyDescent="0.25">
      <c r="L63" s="12" t="s">
        <v>21</v>
      </c>
      <c r="M63" s="15">
        <v>1200</v>
      </c>
    </row>
    <row r="67" spans="6:20" x14ac:dyDescent="0.25">
      <c r="F67" s="37" t="s">
        <v>45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6:20" x14ac:dyDescent="0.25">
      <c r="F68" s="5" t="s">
        <v>16</v>
      </c>
      <c r="G68" s="7" t="s">
        <v>22</v>
      </c>
      <c r="H68" s="7" t="s">
        <v>46</v>
      </c>
      <c r="I68" s="7" t="s">
        <v>26</v>
      </c>
      <c r="J68" s="7" t="s">
        <v>23</v>
      </c>
      <c r="K68" s="7" t="s">
        <v>47</v>
      </c>
      <c r="L68" s="7" t="s">
        <v>28</v>
      </c>
      <c r="M68" s="7" t="s">
        <v>31</v>
      </c>
      <c r="N68" s="9" t="s">
        <v>32</v>
      </c>
      <c r="O68" s="7" t="s">
        <v>30</v>
      </c>
      <c r="P68" s="7" t="s">
        <v>48</v>
      </c>
      <c r="Q68" s="7" t="s">
        <v>36</v>
      </c>
      <c r="R68" s="7" t="s">
        <v>35</v>
      </c>
      <c r="S68" s="7" t="s">
        <v>49</v>
      </c>
      <c r="T68" s="9" t="s">
        <v>34</v>
      </c>
    </row>
    <row r="69" spans="6:20" x14ac:dyDescent="0.25">
      <c r="F69" s="12" t="s">
        <v>125</v>
      </c>
      <c r="G69" s="12">
        <v>45</v>
      </c>
      <c r="H69" s="12">
        <f>G69*2</f>
        <v>90</v>
      </c>
      <c r="I69" s="12" t="s">
        <v>126</v>
      </c>
      <c r="J69" s="12"/>
      <c r="K69" s="12"/>
      <c r="L69" s="12"/>
      <c r="M69" s="12">
        <v>1200</v>
      </c>
      <c r="N69" s="12"/>
      <c r="O69" s="12">
        <f>M69/G69</f>
        <v>26.666666666666668</v>
      </c>
      <c r="P69" s="15">
        <f>M69/H69</f>
        <v>13.333333333333334</v>
      </c>
      <c r="Q69" s="12" t="s">
        <v>27</v>
      </c>
      <c r="R69" s="12">
        <v>15</v>
      </c>
      <c r="S69" s="12">
        <f>R69*2</f>
        <v>30</v>
      </c>
      <c r="T69" s="15">
        <f>R69*O69</f>
        <v>400</v>
      </c>
    </row>
    <row r="71" spans="6:20" x14ac:dyDescent="0.25">
      <c r="F71" s="37" t="s">
        <v>128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6:20" x14ac:dyDescent="0.25">
      <c r="F72" s="5" t="s">
        <v>16</v>
      </c>
      <c r="G72" s="7" t="s">
        <v>22</v>
      </c>
      <c r="H72" s="7" t="s">
        <v>46</v>
      </c>
      <c r="I72" s="7" t="s">
        <v>26</v>
      </c>
      <c r="J72" s="7" t="s">
        <v>23</v>
      </c>
      <c r="K72" s="7" t="s">
        <v>47</v>
      </c>
      <c r="L72" s="7" t="s">
        <v>28</v>
      </c>
      <c r="M72" s="7" t="s">
        <v>31</v>
      </c>
      <c r="N72" s="9" t="s">
        <v>32</v>
      </c>
      <c r="O72" s="7" t="s">
        <v>30</v>
      </c>
      <c r="P72" s="7" t="s">
        <v>48</v>
      </c>
      <c r="Q72" s="7" t="s">
        <v>36</v>
      </c>
      <c r="R72" s="7" t="s">
        <v>35</v>
      </c>
      <c r="S72" s="7" t="s">
        <v>49</v>
      </c>
      <c r="T72" s="9" t="s">
        <v>34</v>
      </c>
    </row>
    <row r="73" spans="6:20" x14ac:dyDescent="0.25">
      <c r="F73" s="12" t="s">
        <v>127</v>
      </c>
      <c r="G73" s="12">
        <v>7.5</v>
      </c>
      <c r="H73" s="12">
        <f>G73*2.5</f>
        <v>18.75</v>
      </c>
      <c r="I73" s="12" t="s">
        <v>125</v>
      </c>
      <c r="J73" s="12">
        <v>37.5</v>
      </c>
      <c r="K73" s="12">
        <f>J73*2.5</f>
        <v>93.75</v>
      </c>
      <c r="L73" s="12" t="s">
        <v>19</v>
      </c>
      <c r="M73" s="12">
        <v>360</v>
      </c>
      <c r="N73" s="12">
        <f>O73*J73</f>
        <v>1800</v>
      </c>
      <c r="O73" s="12">
        <f>M73/G73</f>
        <v>48</v>
      </c>
      <c r="P73" s="15">
        <f>M73/H73</f>
        <v>19.2</v>
      </c>
      <c r="Q73" s="12" t="s">
        <v>129</v>
      </c>
      <c r="R73" s="12">
        <v>90</v>
      </c>
      <c r="S73" s="12">
        <f>R73*2.5</f>
        <v>225</v>
      </c>
      <c r="T73" s="15">
        <f>R73*O73</f>
        <v>4320</v>
      </c>
    </row>
    <row r="74" spans="6:20" x14ac:dyDescent="0.25">
      <c r="F74" s="12" t="s">
        <v>129</v>
      </c>
      <c r="G74" s="12">
        <v>12</v>
      </c>
      <c r="H74" s="12">
        <f>G74*2.5</f>
        <v>30</v>
      </c>
      <c r="I74" s="12" t="s">
        <v>125</v>
      </c>
      <c r="J74" s="12">
        <v>37.5</v>
      </c>
      <c r="K74" s="12">
        <f>J74*2.5</f>
        <v>93.75</v>
      </c>
      <c r="L74" s="12"/>
      <c r="M74" s="12">
        <v>40</v>
      </c>
      <c r="N74" s="12"/>
      <c r="O74" s="12">
        <f>M74/G74</f>
        <v>3.3333333333333335</v>
      </c>
      <c r="P74" s="15">
        <f>M74/H74</f>
        <v>1.3333333333333333</v>
      </c>
      <c r="Q74" s="12" t="s">
        <v>129</v>
      </c>
      <c r="R74" s="12">
        <v>60</v>
      </c>
      <c r="S74" s="12">
        <f>R74*2.5</f>
        <v>150</v>
      </c>
      <c r="T74" s="15">
        <f>R74*O74</f>
        <v>200</v>
      </c>
    </row>
    <row r="76" spans="6:20" x14ac:dyDescent="0.25">
      <c r="I76" s="42" t="s">
        <v>56</v>
      </c>
      <c r="J76" s="43"/>
      <c r="K76" s="43"/>
    </row>
    <row r="77" spans="6:20" x14ac:dyDescent="0.25">
      <c r="F77" s="37" t="s">
        <v>50</v>
      </c>
      <c r="G77" s="38"/>
      <c r="I77" s="12" t="s">
        <v>2</v>
      </c>
      <c r="J77" s="15">
        <f>E16</f>
        <v>1200</v>
      </c>
      <c r="K77" s="12" t="s">
        <v>130</v>
      </c>
    </row>
    <row r="78" spans="6:20" x14ac:dyDescent="0.25">
      <c r="F78" s="12" t="s">
        <v>129</v>
      </c>
      <c r="G78" s="15">
        <f>T73+T74</f>
        <v>4520</v>
      </c>
    </row>
  </sheetData>
  <mergeCells count="20">
    <mergeCell ref="C5:H5"/>
    <mergeCell ref="F39:T39"/>
    <mergeCell ref="F48:T48"/>
    <mergeCell ref="F44:G44"/>
    <mergeCell ref="C3:P3"/>
    <mergeCell ref="F25:T25"/>
    <mergeCell ref="F31:G31"/>
    <mergeCell ref="I31:J31"/>
    <mergeCell ref="C11:D11"/>
    <mergeCell ref="F67:T67"/>
    <mergeCell ref="F71:T71"/>
    <mergeCell ref="F77:G77"/>
    <mergeCell ref="I76:K76"/>
    <mergeCell ref="F36:G36"/>
    <mergeCell ref="L59:M59"/>
    <mergeCell ref="L62:M62"/>
    <mergeCell ref="F57:G57"/>
    <mergeCell ref="F53:G53"/>
    <mergeCell ref="I53:J53"/>
    <mergeCell ref="L53:M53"/>
  </mergeCells>
  <phoneticPr fontId="6" type="noConversion"/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F1EC-4E49-40A4-8AC1-75D9B74ED3A3}">
  <sheetPr>
    <tabColor theme="9" tint="-0.249977111117893"/>
  </sheetPr>
  <dimension ref="C1:V43"/>
  <sheetViews>
    <sheetView topLeftCell="A9" zoomScale="85" zoomScaleNormal="85" workbookViewId="0">
      <selection activeCell="J39" sqref="J39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1.5703125" style="13" bestFit="1" customWidth="1"/>
    <col min="7" max="7" width="9.85546875" style="13" bestFit="1" customWidth="1"/>
    <col min="8" max="8" width="29" style="13" bestFit="1" customWidth="1"/>
    <col min="9" max="9" width="29.140625" style="13" bestFit="1" customWidth="1"/>
    <col min="10" max="10" width="28.140625" style="13" bestFit="1" customWidth="1"/>
    <col min="11" max="11" width="14.85546875" style="13" bestFit="1" customWidth="1"/>
    <col min="12" max="12" width="29" style="13" bestFit="1" customWidth="1"/>
    <col min="13" max="13" width="31.85546875" style="13" bestFit="1" customWidth="1"/>
    <col min="14" max="15" width="16.28515625" style="13" bestFit="1" customWidth="1"/>
    <col min="16" max="16" width="27.140625" style="13" bestFit="1" customWidth="1"/>
    <col min="17" max="17" width="20" style="13" bestFit="1" customWidth="1"/>
    <col min="18" max="18" width="18.85546875" style="13" bestFit="1" customWidth="1"/>
    <col min="19" max="19" width="23.140625" style="13" bestFit="1" customWidth="1"/>
    <col min="20" max="20" width="14" style="13" bestFit="1" customWidth="1"/>
    <col min="21" max="21" width="16.140625" style="13" bestFit="1" customWidth="1"/>
    <col min="22" max="22" width="12.42578125" style="13" bestFit="1" customWidth="1"/>
    <col min="23" max="23" width="9.140625" style="13"/>
    <col min="24" max="24" width="10" style="13" bestFit="1" customWidth="1"/>
    <col min="25" max="16384" width="9.140625" style="13"/>
  </cols>
  <sheetData>
    <row r="1" spans="3:22" ht="8.25" customHeight="1" x14ac:dyDescent="0.25"/>
    <row r="2" spans="3:22" ht="8.25" customHeight="1" x14ac:dyDescent="0.25"/>
    <row r="3" spans="3:22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4"/>
      <c r="R3" s="14"/>
      <c r="S3" s="14"/>
    </row>
    <row r="4" spans="3:22" ht="24" thickTop="1" x14ac:dyDescent="0.35">
      <c r="Q4" s="14"/>
      <c r="R4" s="14"/>
      <c r="S4" s="14"/>
    </row>
    <row r="5" spans="3:22" x14ac:dyDescent="0.25">
      <c r="C5" s="35" t="s">
        <v>38</v>
      </c>
      <c r="D5" s="36"/>
      <c r="E5" s="36"/>
      <c r="F5" s="36"/>
      <c r="H5" s="37" t="s">
        <v>45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3:22" x14ac:dyDescent="0.25">
      <c r="C6" s="5" t="s">
        <v>16</v>
      </c>
      <c r="D6" s="5" t="s">
        <v>5</v>
      </c>
      <c r="E6" s="5" t="s">
        <v>6</v>
      </c>
      <c r="F6" s="5" t="s">
        <v>3</v>
      </c>
      <c r="H6" s="5" t="s">
        <v>16</v>
      </c>
      <c r="I6" s="7" t="s">
        <v>22</v>
      </c>
      <c r="J6" s="7" t="s">
        <v>46</v>
      </c>
      <c r="K6" s="7" t="s">
        <v>26</v>
      </c>
      <c r="L6" s="7" t="s">
        <v>23</v>
      </c>
      <c r="M6" s="7" t="s">
        <v>47</v>
      </c>
      <c r="N6" s="7" t="s">
        <v>28</v>
      </c>
      <c r="O6" s="7" t="s">
        <v>31</v>
      </c>
      <c r="P6" s="9" t="s">
        <v>32</v>
      </c>
      <c r="Q6" s="7" t="s">
        <v>30</v>
      </c>
      <c r="R6" s="7" t="s">
        <v>48</v>
      </c>
      <c r="S6" s="7" t="s">
        <v>36</v>
      </c>
      <c r="T6" s="7" t="s">
        <v>35</v>
      </c>
      <c r="U6" s="7" t="s">
        <v>49</v>
      </c>
      <c r="V6" s="9" t="s">
        <v>34</v>
      </c>
    </row>
    <row r="7" spans="3:22" x14ac:dyDescent="0.25">
      <c r="C7" s="6" t="s">
        <v>14</v>
      </c>
      <c r="D7" s="6">
        <v>2</v>
      </c>
      <c r="E7" s="6">
        <v>0</v>
      </c>
      <c r="F7" s="6">
        <v>2</v>
      </c>
      <c r="H7" s="12" t="s">
        <v>58</v>
      </c>
      <c r="I7" s="12">
        <v>25</v>
      </c>
      <c r="J7" s="12">
        <f>I7*2.5</f>
        <v>62.5</v>
      </c>
      <c r="K7" s="12" t="s">
        <v>0</v>
      </c>
      <c r="L7" s="12">
        <v>40</v>
      </c>
      <c r="M7" s="12">
        <f>L7*2.5</f>
        <v>100</v>
      </c>
      <c r="N7" s="12" t="s">
        <v>3</v>
      </c>
      <c r="O7" s="12">
        <v>750</v>
      </c>
      <c r="P7" s="12">
        <v>1200</v>
      </c>
      <c r="Q7" s="12">
        <f>P7/L7</f>
        <v>30</v>
      </c>
      <c r="R7" s="15">
        <f>P7/M7</f>
        <v>12</v>
      </c>
      <c r="S7" s="12" t="s">
        <v>27</v>
      </c>
      <c r="T7" s="12">
        <v>50</v>
      </c>
      <c r="U7" s="12">
        <f>T7*2.5</f>
        <v>125</v>
      </c>
      <c r="V7" s="15">
        <f>T7*Q7</f>
        <v>1500</v>
      </c>
    </row>
    <row r="8" spans="3:22" x14ac:dyDescent="0.25">
      <c r="C8" s="6" t="s">
        <v>13</v>
      </c>
      <c r="D8" s="6">
        <v>2</v>
      </c>
      <c r="E8" s="6">
        <v>1</v>
      </c>
      <c r="F8" s="6">
        <v>1</v>
      </c>
      <c r="H8" s="12" t="s">
        <v>27</v>
      </c>
      <c r="I8" s="12">
        <v>30</v>
      </c>
      <c r="J8" s="12">
        <f>I8*2.5</f>
        <v>75</v>
      </c>
      <c r="K8" s="12" t="s">
        <v>0</v>
      </c>
      <c r="L8" s="12"/>
      <c r="M8" s="12"/>
      <c r="N8" s="12"/>
      <c r="O8" s="12">
        <v>450</v>
      </c>
      <c r="P8" s="12"/>
      <c r="Q8" s="12">
        <f>O8/I8</f>
        <v>15</v>
      </c>
      <c r="R8" s="15">
        <f>O8/I8</f>
        <v>15</v>
      </c>
      <c r="S8" s="12" t="s">
        <v>27</v>
      </c>
      <c r="T8" s="12">
        <v>30</v>
      </c>
      <c r="U8" s="12">
        <f>T8*2.5</f>
        <v>75</v>
      </c>
      <c r="V8" s="15">
        <f>T8*Q8</f>
        <v>450</v>
      </c>
    </row>
    <row r="9" spans="3:22" x14ac:dyDescent="0.25">
      <c r="C9" s="6" t="s">
        <v>12</v>
      </c>
      <c r="D9" s="6">
        <v>0</v>
      </c>
      <c r="E9" s="6">
        <v>0</v>
      </c>
      <c r="F9" s="6">
        <v>0</v>
      </c>
      <c r="H9" s="12" t="s">
        <v>19</v>
      </c>
      <c r="I9" s="12">
        <v>50</v>
      </c>
      <c r="J9" s="12">
        <f>I9*2</f>
        <v>100</v>
      </c>
      <c r="K9" s="12" t="s">
        <v>0</v>
      </c>
      <c r="L9" s="12">
        <v>50</v>
      </c>
      <c r="M9" s="12">
        <f>L9*2</f>
        <v>100</v>
      </c>
      <c r="N9" s="12" t="s">
        <v>1</v>
      </c>
      <c r="O9" s="12">
        <v>600</v>
      </c>
      <c r="P9" s="12">
        <v>600</v>
      </c>
      <c r="Q9" s="12">
        <f>O9/I9</f>
        <v>12</v>
      </c>
      <c r="R9" s="15">
        <f>O9/J9</f>
        <v>6</v>
      </c>
      <c r="S9" s="12" t="s">
        <v>19</v>
      </c>
      <c r="T9" s="12">
        <v>100</v>
      </c>
      <c r="U9" s="12">
        <f>T9*2</f>
        <v>200</v>
      </c>
      <c r="V9" s="15">
        <f>T9*Q9</f>
        <v>1200</v>
      </c>
    </row>
    <row r="11" spans="3:22" x14ac:dyDescent="0.25">
      <c r="C11" s="35" t="s">
        <v>41</v>
      </c>
      <c r="D11" s="36"/>
      <c r="H11" s="37" t="s">
        <v>50</v>
      </c>
      <c r="I11" s="38"/>
      <c r="K11" s="37" t="s">
        <v>51</v>
      </c>
      <c r="L11" s="38"/>
    </row>
    <row r="12" spans="3:22" x14ac:dyDescent="0.25">
      <c r="C12" s="5" t="s">
        <v>16</v>
      </c>
      <c r="D12" s="5" t="s">
        <v>42</v>
      </c>
      <c r="H12" s="12" t="s">
        <v>27</v>
      </c>
      <c r="I12" s="15">
        <f>V7+V8</f>
        <v>1950</v>
      </c>
      <c r="K12" s="12" t="s">
        <v>0</v>
      </c>
      <c r="L12" s="15">
        <f>D13-O7-O8-O9</f>
        <v>0</v>
      </c>
    </row>
    <row r="13" spans="3:22" x14ac:dyDescent="0.25">
      <c r="C13" s="11" t="s">
        <v>5</v>
      </c>
      <c r="D13" s="6">
        <f>(D7*MinerOutputValues!D25) + (D8*MinerOutputValues!D26) + (D9*MinerOutputValues!D27)</f>
        <v>1800</v>
      </c>
      <c r="H13" s="12" t="s">
        <v>19</v>
      </c>
      <c r="I13" s="15">
        <f>V9</f>
        <v>1200</v>
      </c>
      <c r="K13" s="12" t="s">
        <v>1</v>
      </c>
      <c r="L13" s="15">
        <f>D14-P9</f>
        <v>0</v>
      </c>
    </row>
    <row r="14" spans="3:22" x14ac:dyDescent="0.25">
      <c r="C14" s="11" t="s">
        <v>6</v>
      </c>
      <c r="D14" s="6">
        <f>(E7*MinerOutputValues!D25) + (E8*MinerOutputValues!D26) + (E9*MinerOutputValues!D27)</f>
        <v>600</v>
      </c>
      <c r="K14" s="12" t="s">
        <v>3</v>
      </c>
      <c r="L14" s="15">
        <f>D15-P7</f>
        <v>0</v>
      </c>
    </row>
    <row r="15" spans="3:22" x14ac:dyDescent="0.25">
      <c r="C15" s="11" t="s">
        <v>3</v>
      </c>
      <c r="D15" s="6">
        <f>(F7*MinerOutputValues!D25) + (F8*MinerOutputValues!D26) + (F9*MinerOutputValues!D27)</f>
        <v>1200</v>
      </c>
    </row>
    <row r="17" spans="8:22" x14ac:dyDescent="0.25">
      <c r="H17" s="37" t="s">
        <v>45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spans="8:22" x14ac:dyDescent="0.25">
      <c r="H18" s="5" t="s">
        <v>16</v>
      </c>
      <c r="I18" s="7" t="s">
        <v>22</v>
      </c>
      <c r="J18" s="7" t="s">
        <v>46</v>
      </c>
      <c r="K18" s="7" t="s">
        <v>26</v>
      </c>
      <c r="L18" s="7" t="s">
        <v>23</v>
      </c>
      <c r="M18" s="7" t="s">
        <v>47</v>
      </c>
      <c r="N18" s="7" t="s">
        <v>28</v>
      </c>
      <c r="O18" s="7" t="s">
        <v>31</v>
      </c>
      <c r="P18" s="9" t="s">
        <v>32</v>
      </c>
      <c r="Q18" s="7" t="s">
        <v>30</v>
      </c>
      <c r="R18" s="7" t="s">
        <v>48</v>
      </c>
      <c r="S18" s="7" t="s">
        <v>36</v>
      </c>
      <c r="T18" s="7" t="s">
        <v>35</v>
      </c>
      <c r="U18" s="7" t="s">
        <v>49</v>
      </c>
      <c r="V18" s="9" t="s">
        <v>34</v>
      </c>
    </row>
    <row r="19" spans="8:22" x14ac:dyDescent="0.25">
      <c r="H19" s="12" t="s">
        <v>68</v>
      </c>
      <c r="I19" s="12">
        <v>30</v>
      </c>
      <c r="J19" s="12">
        <f>I19*2.5</f>
        <v>75</v>
      </c>
      <c r="K19" s="12" t="s">
        <v>27</v>
      </c>
      <c r="L19" s="12"/>
      <c r="M19" s="12"/>
      <c r="N19" s="12"/>
      <c r="O19" s="12">
        <v>210</v>
      </c>
      <c r="P19" s="12"/>
      <c r="Q19" s="12">
        <f>O19/I19</f>
        <v>7</v>
      </c>
      <c r="R19" s="15">
        <f>O19/J19</f>
        <v>2.8</v>
      </c>
      <c r="S19" s="12" t="s">
        <v>33</v>
      </c>
      <c r="T19" s="12">
        <v>20</v>
      </c>
      <c r="U19" s="12">
        <f>T19*2.5</f>
        <v>50</v>
      </c>
      <c r="V19" s="15">
        <f>T19*Q19</f>
        <v>140</v>
      </c>
    </row>
    <row r="20" spans="8:22" x14ac:dyDescent="0.25">
      <c r="H20" s="12" t="s">
        <v>69</v>
      </c>
      <c r="I20" s="12">
        <v>15</v>
      </c>
      <c r="J20" s="12">
        <f>I20*2.5</f>
        <v>37.5</v>
      </c>
      <c r="K20" s="12" t="s">
        <v>27</v>
      </c>
      <c r="L20" s="12"/>
      <c r="M20" s="12"/>
      <c r="N20" s="12"/>
      <c r="O20" s="12">
        <v>240</v>
      </c>
      <c r="P20" s="12"/>
      <c r="Q20" s="12">
        <v>16</v>
      </c>
      <c r="R20" s="15">
        <f>O20/J20</f>
        <v>6.4</v>
      </c>
      <c r="S20" s="12" t="s">
        <v>65</v>
      </c>
      <c r="T20" s="12">
        <v>15</v>
      </c>
      <c r="U20" s="12">
        <f>T20*2.5</f>
        <v>37.5</v>
      </c>
      <c r="V20" s="15">
        <f>T20*Q20</f>
        <v>240</v>
      </c>
    </row>
    <row r="21" spans="8:22" x14ac:dyDescent="0.25">
      <c r="H21" s="12" t="s">
        <v>63</v>
      </c>
      <c r="I21" s="12">
        <v>12.5</v>
      </c>
      <c r="J21" s="12">
        <f>I21*2.5</f>
        <v>31.25</v>
      </c>
      <c r="K21" s="12" t="s">
        <v>27</v>
      </c>
      <c r="L21" s="12"/>
      <c r="M21" s="12"/>
      <c r="N21" s="12"/>
      <c r="O21" s="12">
        <v>600</v>
      </c>
      <c r="P21" s="12"/>
      <c r="Q21" s="12">
        <f>O21/I21</f>
        <v>48</v>
      </c>
      <c r="R21" s="15">
        <f>O21/J21</f>
        <v>19.2</v>
      </c>
      <c r="S21" s="12" t="s">
        <v>25</v>
      </c>
      <c r="T21" s="12">
        <v>22.5</v>
      </c>
      <c r="U21" s="12">
        <f>T21*2.5</f>
        <v>56.25</v>
      </c>
      <c r="V21" s="15">
        <f>T21*Q21</f>
        <v>1080</v>
      </c>
    </row>
    <row r="22" spans="8:22" x14ac:dyDescent="0.25">
      <c r="H22" s="12" t="s">
        <v>33</v>
      </c>
      <c r="I22" s="12">
        <v>30</v>
      </c>
      <c r="J22" s="12">
        <f>I22*2.5</f>
        <v>75</v>
      </c>
      <c r="K22" s="12" t="s">
        <v>27</v>
      </c>
      <c r="L22" s="12"/>
      <c r="M22" s="12"/>
      <c r="N22" s="12"/>
      <c r="O22" s="12">
        <v>800</v>
      </c>
      <c r="P22" s="12"/>
      <c r="Q22" s="12">
        <v>26</v>
      </c>
      <c r="R22" s="15">
        <f>O22/J22</f>
        <v>10.666666666666666</v>
      </c>
      <c r="S22" s="12" t="s">
        <v>33</v>
      </c>
      <c r="T22" s="12">
        <v>20</v>
      </c>
      <c r="U22" s="12">
        <f>T22*2.5</f>
        <v>50</v>
      </c>
      <c r="V22" s="15">
        <f>T22*Q22</f>
        <v>520</v>
      </c>
    </row>
    <row r="24" spans="8:22" x14ac:dyDescent="0.25">
      <c r="H24" s="37" t="s">
        <v>66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spans="8:22" x14ac:dyDescent="0.25">
      <c r="H25" s="5" t="s">
        <v>16</v>
      </c>
      <c r="I25" s="7" t="s">
        <v>22</v>
      </c>
      <c r="J25" s="7" t="s">
        <v>46</v>
      </c>
      <c r="K25" s="7" t="s">
        <v>26</v>
      </c>
      <c r="L25" s="7" t="s">
        <v>23</v>
      </c>
      <c r="M25" s="7" t="s">
        <v>47</v>
      </c>
      <c r="N25" s="7" t="s">
        <v>28</v>
      </c>
      <c r="O25" s="7" t="s">
        <v>31</v>
      </c>
      <c r="P25" s="9" t="s">
        <v>32</v>
      </c>
      <c r="Q25" s="7" t="s">
        <v>30</v>
      </c>
      <c r="R25" s="7" t="s">
        <v>48</v>
      </c>
      <c r="S25" s="7" t="s">
        <v>36</v>
      </c>
      <c r="T25" s="7" t="s">
        <v>35</v>
      </c>
      <c r="U25" s="7" t="s">
        <v>49</v>
      </c>
      <c r="V25" s="9" t="s">
        <v>34</v>
      </c>
    </row>
    <row r="26" spans="8:22" x14ac:dyDescent="0.25">
      <c r="H26" s="12" t="s">
        <v>67</v>
      </c>
      <c r="I26" s="12">
        <v>18.75</v>
      </c>
      <c r="J26" s="12">
        <f>I26*2.5</f>
        <v>46.875</v>
      </c>
      <c r="K26" s="12" t="s">
        <v>33</v>
      </c>
      <c r="L26" s="12">
        <v>37.5</v>
      </c>
      <c r="M26" s="12">
        <f>L26*2.5</f>
        <v>93.75</v>
      </c>
      <c r="N26" s="12" t="s">
        <v>25</v>
      </c>
      <c r="O26" s="12">
        <v>520</v>
      </c>
      <c r="P26" s="12">
        <f>Q26*37.5</f>
        <v>1040</v>
      </c>
      <c r="Q26" s="12">
        <f>O26/I26</f>
        <v>27.733333333333334</v>
      </c>
      <c r="R26" s="15">
        <f>O26/J26</f>
        <v>11.093333333333334</v>
      </c>
      <c r="S26" s="12" t="s">
        <v>33</v>
      </c>
      <c r="T26" s="12">
        <v>5.625</v>
      </c>
      <c r="U26" s="12">
        <f>T26*2.5</f>
        <v>14.0625</v>
      </c>
      <c r="V26" s="15">
        <f>T26*Q26</f>
        <v>156</v>
      </c>
    </row>
    <row r="28" spans="8:22" x14ac:dyDescent="0.25">
      <c r="H28" s="37" t="s">
        <v>62</v>
      </c>
      <c r="I28" s="38"/>
    </row>
    <row r="29" spans="8:22" x14ac:dyDescent="0.25">
      <c r="H29" s="12" t="s">
        <v>55</v>
      </c>
      <c r="I29" s="15">
        <f>V26</f>
        <v>156</v>
      </c>
      <c r="N29" s="37" t="s">
        <v>60</v>
      </c>
      <c r="O29" s="38"/>
    </row>
    <row r="30" spans="8:22" x14ac:dyDescent="0.25">
      <c r="H30" s="12" t="s">
        <v>70</v>
      </c>
      <c r="I30" s="15">
        <f>V19+V22-O26</f>
        <v>140</v>
      </c>
      <c r="N30" s="12" t="s">
        <v>61</v>
      </c>
      <c r="O30" s="15">
        <f>I12-O19-O20-O21-O22</f>
        <v>100</v>
      </c>
    </row>
    <row r="31" spans="8:22" x14ac:dyDescent="0.25">
      <c r="H31" s="12" t="s">
        <v>64</v>
      </c>
      <c r="I31" s="15">
        <f>V20</f>
        <v>240</v>
      </c>
      <c r="N31" s="12" t="s">
        <v>33</v>
      </c>
      <c r="O31" s="15">
        <f>I30-I42</f>
        <v>0</v>
      </c>
    </row>
    <row r="32" spans="8:22" x14ac:dyDescent="0.25">
      <c r="H32" s="12" t="s">
        <v>63</v>
      </c>
      <c r="I32" s="15">
        <f>V21-P26</f>
        <v>40</v>
      </c>
      <c r="J32" s="12" t="s">
        <v>72</v>
      </c>
      <c r="N32" s="12" t="s">
        <v>65</v>
      </c>
      <c r="O32" s="15">
        <f>I31-I43</f>
        <v>0</v>
      </c>
    </row>
    <row r="35" spans="8:10" x14ac:dyDescent="0.25">
      <c r="H35" s="39" t="s">
        <v>73</v>
      </c>
      <c r="I35" s="40"/>
      <c r="J35" s="41"/>
    </row>
    <row r="36" spans="8:10" x14ac:dyDescent="0.25">
      <c r="H36" s="12" t="s">
        <v>19</v>
      </c>
      <c r="I36" s="15">
        <v>1200</v>
      </c>
      <c r="J36" s="12" t="s">
        <v>59</v>
      </c>
    </row>
    <row r="37" spans="8:10" x14ac:dyDescent="0.25">
      <c r="H37" s="12" t="s">
        <v>55</v>
      </c>
      <c r="I37" s="15">
        <f>I29</f>
        <v>156</v>
      </c>
      <c r="J37" s="12" t="s">
        <v>71</v>
      </c>
    </row>
    <row r="41" spans="8:10" x14ac:dyDescent="0.25">
      <c r="H41" s="44" t="s">
        <v>40</v>
      </c>
      <c r="I41" s="45"/>
    </row>
    <row r="42" spans="8:10" x14ac:dyDescent="0.25">
      <c r="H42" s="12" t="s">
        <v>33</v>
      </c>
      <c r="I42" s="15">
        <f>I30</f>
        <v>140</v>
      </c>
    </row>
    <row r="43" spans="8:10" x14ac:dyDescent="0.25">
      <c r="H43" s="12" t="s">
        <v>65</v>
      </c>
      <c r="I43" s="15">
        <f>I31</f>
        <v>240</v>
      </c>
    </row>
  </sheetData>
  <mergeCells count="12">
    <mergeCell ref="H28:I28"/>
    <mergeCell ref="H35:J35"/>
    <mergeCell ref="N29:O29"/>
    <mergeCell ref="H41:I41"/>
    <mergeCell ref="H24:V24"/>
    <mergeCell ref="H17:V17"/>
    <mergeCell ref="C3:P3"/>
    <mergeCell ref="C11:D11"/>
    <mergeCell ref="H5:V5"/>
    <mergeCell ref="H11:I11"/>
    <mergeCell ref="K11:L11"/>
    <mergeCell ref="C5:F5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zoomScale="175" zoomScaleNormal="175" workbookViewId="0">
      <selection activeCell="A2" sqref="A2:R4"/>
    </sheetView>
  </sheetViews>
  <sheetFormatPr defaultColWidth="9.140625" defaultRowHeight="15" x14ac:dyDescent="0.25"/>
  <cols>
    <col min="1" max="10" width="9.140625" style="13"/>
    <col min="11" max="11" width="9.140625" style="13" customWidth="1"/>
    <col min="12" max="12" width="1.5703125" style="13" customWidth="1"/>
    <col min="13" max="16384" width="9.140625" style="13"/>
  </cols>
  <sheetData>
    <row r="2" spans="1:52" ht="15.75" customHeight="1" thickBot="1" x14ac:dyDescent="0.3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</row>
    <row r="3" spans="1:52" ht="16.5" customHeight="1" thickTop="1" thickBo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ht="16.5" customHeight="1" thickTop="1" thickBo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15.75" thickTop="1" x14ac:dyDescent="0.25"/>
    <row r="19" s="13" customFormat="1" ht="9.75" customHeight="1" x14ac:dyDescent="0.25"/>
    <row r="39" spans="25:52" ht="12" customHeight="1" x14ac:dyDescent="0.25"/>
    <row r="42" spans="25:52" x14ac:dyDescent="0.25"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25:52" x14ac:dyDescent="0.25"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25:52" x14ac:dyDescent="0.25"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J27"/>
  <sheetViews>
    <sheetView workbookViewId="0">
      <selection activeCell="A19" sqref="A19:XFD19"/>
    </sheetView>
  </sheetViews>
  <sheetFormatPr defaultColWidth="9.140625" defaultRowHeight="15" x14ac:dyDescent="0.25"/>
  <cols>
    <col min="1" max="2" width="9.140625" style="13"/>
    <col min="3" max="3" width="7.5703125" style="13" bestFit="1" customWidth="1"/>
    <col min="4" max="4" width="59.140625" style="13" customWidth="1"/>
    <col min="5" max="6" width="9.140625" style="13"/>
    <col min="7" max="7" width="53.140625" style="13" customWidth="1"/>
    <col min="8" max="8" width="9.140625" style="13"/>
    <col min="9" max="9" width="7.5703125" style="13" bestFit="1" customWidth="1"/>
    <col min="10" max="10" width="31.42578125" style="13" customWidth="1"/>
    <col min="11" max="16384" width="9.140625" style="13"/>
  </cols>
  <sheetData>
    <row r="3" spans="3:10" ht="29.25" thickBot="1" x14ac:dyDescent="0.3">
      <c r="C3" s="34" t="s">
        <v>18</v>
      </c>
      <c r="D3" s="34"/>
      <c r="F3" s="34" t="s">
        <v>136</v>
      </c>
      <c r="G3" s="34"/>
      <c r="I3" s="34" t="s">
        <v>161</v>
      </c>
      <c r="J3" s="34"/>
    </row>
    <row r="4" spans="3:10" ht="15.75" thickTop="1" x14ac:dyDescent="0.25"/>
    <row r="5" spans="3:10" x14ac:dyDescent="0.25">
      <c r="C5" s="52" t="s">
        <v>17</v>
      </c>
      <c r="D5" s="52"/>
      <c r="F5" s="52" t="s">
        <v>17</v>
      </c>
      <c r="G5" s="52"/>
      <c r="I5" s="52" t="s">
        <v>17</v>
      </c>
      <c r="J5" s="52"/>
    </row>
    <row r="6" spans="3:10" x14ac:dyDescent="0.25">
      <c r="C6" s="3" t="s">
        <v>16</v>
      </c>
      <c r="D6" s="4" t="s">
        <v>15</v>
      </c>
      <c r="F6" s="3" t="s">
        <v>16</v>
      </c>
      <c r="G6" s="4" t="s">
        <v>15</v>
      </c>
      <c r="I6" s="3" t="s">
        <v>16</v>
      </c>
      <c r="J6" s="4" t="s">
        <v>15</v>
      </c>
    </row>
    <row r="7" spans="3:10" x14ac:dyDescent="0.25">
      <c r="C7" s="3" t="s">
        <v>14</v>
      </c>
      <c r="D7" s="2">
        <v>30</v>
      </c>
      <c r="F7" s="3" t="s">
        <v>14</v>
      </c>
      <c r="G7" s="2">
        <v>30</v>
      </c>
      <c r="I7" s="3" t="s">
        <v>14</v>
      </c>
      <c r="J7" s="2">
        <v>60</v>
      </c>
    </row>
    <row r="8" spans="3:10" x14ac:dyDescent="0.25">
      <c r="C8" s="3" t="s">
        <v>13</v>
      </c>
      <c r="D8" s="2">
        <v>60</v>
      </c>
      <c r="F8" s="3" t="s">
        <v>13</v>
      </c>
      <c r="G8" s="2">
        <v>60</v>
      </c>
      <c r="I8" s="3" t="s">
        <v>13</v>
      </c>
      <c r="J8" s="2">
        <v>120</v>
      </c>
    </row>
    <row r="9" spans="3:10" x14ac:dyDescent="0.25">
      <c r="C9" s="3" t="s">
        <v>12</v>
      </c>
      <c r="D9" s="2">
        <v>120</v>
      </c>
      <c r="F9" s="3" t="s">
        <v>12</v>
      </c>
      <c r="G9" s="2">
        <v>120</v>
      </c>
      <c r="I9" s="3" t="s">
        <v>12</v>
      </c>
      <c r="J9" s="2">
        <v>240</v>
      </c>
    </row>
    <row r="11" spans="3:10" x14ac:dyDescent="0.25">
      <c r="C11" s="52" t="s">
        <v>11</v>
      </c>
      <c r="D11" s="52"/>
      <c r="F11" s="52" t="s">
        <v>11</v>
      </c>
      <c r="G11" s="52"/>
      <c r="I11" s="52" t="s">
        <v>11</v>
      </c>
      <c r="J11" s="52"/>
    </row>
    <row r="12" spans="3:10" x14ac:dyDescent="0.25">
      <c r="C12" s="2" t="s">
        <v>10</v>
      </c>
      <c r="D12" s="2" t="s">
        <v>7</v>
      </c>
      <c r="F12" s="2" t="s">
        <v>10</v>
      </c>
      <c r="G12" s="2" t="s">
        <v>7</v>
      </c>
      <c r="I12" s="2" t="s">
        <v>10</v>
      </c>
      <c r="J12" s="2" t="s">
        <v>7</v>
      </c>
    </row>
    <row r="13" spans="3:10" x14ac:dyDescent="0.25">
      <c r="C13" s="2">
        <v>0</v>
      </c>
      <c r="D13" s="1">
        <v>1</v>
      </c>
      <c r="F13" s="2">
        <v>0</v>
      </c>
      <c r="G13" s="1">
        <v>1</v>
      </c>
      <c r="I13" s="2">
        <v>0</v>
      </c>
      <c r="J13" s="1">
        <v>1</v>
      </c>
    </row>
    <row r="14" spans="3:10" x14ac:dyDescent="0.25">
      <c r="C14" s="2">
        <v>1</v>
      </c>
      <c r="D14" s="1">
        <v>1.5</v>
      </c>
      <c r="F14" s="2">
        <v>1</v>
      </c>
      <c r="G14" s="1">
        <v>1.5</v>
      </c>
      <c r="I14" s="2">
        <v>1</v>
      </c>
      <c r="J14" s="1">
        <v>1.5</v>
      </c>
    </row>
    <row r="15" spans="3:10" x14ac:dyDescent="0.25">
      <c r="C15" s="2">
        <v>2</v>
      </c>
      <c r="D15" s="1">
        <v>2</v>
      </c>
      <c r="F15" s="2">
        <v>2</v>
      </c>
      <c r="G15" s="1">
        <v>2</v>
      </c>
      <c r="I15" s="2">
        <v>2</v>
      </c>
      <c r="J15" s="1">
        <v>2</v>
      </c>
    </row>
    <row r="16" spans="3:10" x14ac:dyDescent="0.25">
      <c r="C16" s="2">
        <v>3</v>
      </c>
      <c r="D16" s="1">
        <v>2.5</v>
      </c>
      <c r="F16" s="2">
        <v>3</v>
      </c>
      <c r="G16" s="1">
        <v>2.5</v>
      </c>
      <c r="I16" s="2">
        <v>3</v>
      </c>
      <c r="J16" s="1">
        <v>2.5</v>
      </c>
    </row>
    <row r="18" spans="3:10" x14ac:dyDescent="0.25">
      <c r="C18" s="52" t="s">
        <v>9</v>
      </c>
      <c r="D18" s="52"/>
      <c r="F18" s="52" t="s">
        <v>39</v>
      </c>
      <c r="G18" s="52"/>
      <c r="I18" s="52" t="s">
        <v>39</v>
      </c>
      <c r="J18" s="52"/>
    </row>
    <row r="19" spans="3:10" x14ac:dyDescent="0.25">
      <c r="C19" s="2" t="s">
        <v>8</v>
      </c>
      <c r="D19" s="2" t="s">
        <v>7</v>
      </c>
      <c r="F19" s="2" t="s">
        <v>14</v>
      </c>
      <c r="G19" s="2">
        <f>G7*G16</f>
        <v>75</v>
      </c>
      <c r="I19" s="2" t="s">
        <v>14</v>
      </c>
      <c r="J19" s="2">
        <f>J7*J16</f>
        <v>150</v>
      </c>
    </row>
    <row r="20" spans="3:10" x14ac:dyDescent="0.25">
      <c r="C20" s="2">
        <v>1</v>
      </c>
      <c r="D20" s="1">
        <v>1</v>
      </c>
      <c r="F20" s="2" t="s">
        <v>13</v>
      </c>
      <c r="G20" s="1">
        <f>G8*G16</f>
        <v>150</v>
      </c>
      <c r="I20" s="2" t="s">
        <v>13</v>
      </c>
      <c r="J20" s="1">
        <f>J8*J16</f>
        <v>300</v>
      </c>
    </row>
    <row r="21" spans="3:10" x14ac:dyDescent="0.25">
      <c r="C21" s="2">
        <v>2</v>
      </c>
      <c r="D21" s="1">
        <v>2</v>
      </c>
      <c r="F21" s="2" t="s">
        <v>12</v>
      </c>
      <c r="G21" s="1">
        <f>G9*G16</f>
        <v>300</v>
      </c>
      <c r="I21" s="2" t="s">
        <v>12</v>
      </c>
      <c r="J21" s="1">
        <f>J9*J16</f>
        <v>600</v>
      </c>
    </row>
    <row r="22" spans="3:10" x14ac:dyDescent="0.25">
      <c r="C22" s="2">
        <v>3</v>
      </c>
      <c r="D22" s="1">
        <v>4</v>
      </c>
    </row>
    <row r="24" spans="3:10" x14ac:dyDescent="0.25">
      <c r="C24" s="52" t="s">
        <v>39</v>
      </c>
      <c r="D24" s="52"/>
    </row>
    <row r="25" spans="3:10" x14ac:dyDescent="0.25">
      <c r="C25" s="2" t="s">
        <v>14</v>
      </c>
      <c r="D25" s="2">
        <f>D7*D16*D22</f>
        <v>300</v>
      </c>
    </row>
    <row r="26" spans="3:10" x14ac:dyDescent="0.25">
      <c r="C26" s="2" t="s">
        <v>13</v>
      </c>
      <c r="D26" s="1">
        <f>D8*D16*D22</f>
        <v>600</v>
      </c>
    </row>
    <row r="27" spans="3:10" x14ac:dyDescent="0.25">
      <c r="C27" s="2" t="s">
        <v>12</v>
      </c>
      <c r="D27" s="1">
        <f>D9*D16*D22</f>
        <v>1200</v>
      </c>
    </row>
  </sheetData>
  <mergeCells count="13">
    <mergeCell ref="F3:G3"/>
    <mergeCell ref="F5:G5"/>
    <mergeCell ref="F11:G11"/>
    <mergeCell ref="F18:G18"/>
    <mergeCell ref="I3:J3"/>
    <mergeCell ref="I5:J5"/>
    <mergeCell ref="I11:J11"/>
    <mergeCell ref="I18:J18"/>
    <mergeCell ref="C3:D3"/>
    <mergeCell ref="C11:D11"/>
    <mergeCell ref="C18:D18"/>
    <mergeCell ref="C5:D5"/>
    <mergeCell ref="C24:D2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CBDF-5CBA-45FB-A25B-92EBBCAB7039}">
  <sheetPr>
    <tabColor rgb="FFFF0000"/>
  </sheetPr>
  <dimension ref="C1:AB56"/>
  <sheetViews>
    <sheetView topLeftCell="O4" zoomScale="85" zoomScaleNormal="85" workbookViewId="0">
      <selection activeCell="J86" sqref="J86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3.140625" style="13" bestFit="1" customWidth="1"/>
    <col min="7" max="7" width="9.85546875" style="13" bestFit="1" customWidth="1"/>
    <col min="8" max="8" width="29" style="13" bestFit="1" customWidth="1"/>
    <col min="9" max="9" width="29.140625" style="13" bestFit="1" customWidth="1"/>
    <col min="10" max="10" width="37.42578125" style="13" bestFit="1" customWidth="1"/>
    <col min="11" max="11" width="14.85546875" style="13" bestFit="1" customWidth="1"/>
    <col min="12" max="12" width="29" style="13" bestFit="1" customWidth="1"/>
    <col min="13" max="13" width="31.85546875" style="13" bestFit="1" customWidth="1"/>
    <col min="14" max="15" width="16.28515625" style="13" bestFit="1" customWidth="1"/>
    <col min="16" max="16" width="27.140625" style="13" bestFit="1" customWidth="1"/>
    <col min="17" max="17" width="22.28515625" style="13" bestFit="1" customWidth="1"/>
    <col min="18" max="18" width="18.85546875" style="13" bestFit="1" customWidth="1"/>
    <col min="19" max="19" width="23.140625" style="13" bestFit="1" customWidth="1"/>
    <col min="20" max="20" width="14" style="13" bestFit="1" customWidth="1"/>
    <col min="21" max="21" width="16.140625" style="13" bestFit="1" customWidth="1"/>
    <col min="22" max="22" width="12.42578125" style="13" bestFit="1" customWidth="1"/>
    <col min="23" max="23" width="14.7109375" style="13" bestFit="1" customWidth="1"/>
    <col min="24" max="24" width="10" style="13" bestFit="1" customWidth="1"/>
    <col min="25" max="25" width="19.7109375" style="13" bestFit="1" customWidth="1"/>
    <col min="26" max="26" width="11.140625" style="13" bestFit="1" customWidth="1"/>
    <col min="27" max="27" width="15.42578125" style="13" bestFit="1" customWidth="1"/>
    <col min="28" max="28" width="8.28515625" style="13" bestFit="1" customWidth="1"/>
    <col min="29" max="16384" width="9.140625" style="13"/>
  </cols>
  <sheetData>
    <row r="1" spans="3:20" ht="8.25" customHeight="1" x14ac:dyDescent="0.25"/>
    <row r="2" spans="3:20" ht="8.25" customHeight="1" x14ac:dyDescent="0.25"/>
    <row r="3" spans="3:20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4"/>
      <c r="R3" s="14"/>
      <c r="S3" s="14"/>
    </row>
    <row r="4" spans="3:20" ht="24" thickTop="1" x14ac:dyDescent="0.35">
      <c r="Q4" s="14"/>
      <c r="R4" s="14"/>
      <c r="S4" s="14"/>
    </row>
    <row r="5" spans="3:20" x14ac:dyDescent="0.25">
      <c r="C5" s="35" t="s">
        <v>108</v>
      </c>
      <c r="D5" s="36"/>
      <c r="F5" s="37" t="s">
        <v>66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3:20" x14ac:dyDescent="0.25">
      <c r="C6" s="5" t="s">
        <v>16</v>
      </c>
      <c r="D6" s="5" t="s">
        <v>42</v>
      </c>
      <c r="F6" s="5" t="s">
        <v>16</v>
      </c>
      <c r="G6" s="7" t="s">
        <v>22</v>
      </c>
      <c r="H6" s="7" t="s">
        <v>46</v>
      </c>
      <c r="I6" s="7" t="s">
        <v>26</v>
      </c>
      <c r="J6" s="7" t="s">
        <v>23</v>
      </c>
      <c r="K6" s="7" t="s">
        <v>47</v>
      </c>
      <c r="L6" s="7" t="s">
        <v>28</v>
      </c>
      <c r="M6" s="7" t="s">
        <v>31</v>
      </c>
      <c r="N6" s="9" t="s">
        <v>32</v>
      </c>
      <c r="O6" s="7" t="s">
        <v>30</v>
      </c>
      <c r="P6" s="7" t="s">
        <v>48</v>
      </c>
      <c r="Q6" s="7" t="s">
        <v>36</v>
      </c>
      <c r="R6" s="7" t="s">
        <v>35</v>
      </c>
      <c r="S6" s="7" t="s">
        <v>49</v>
      </c>
      <c r="T6" s="9" t="s">
        <v>34</v>
      </c>
    </row>
    <row r="7" spans="3:20" x14ac:dyDescent="0.25">
      <c r="C7" s="11" t="s">
        <v>53</v>
      </c>
      <c r="D7" s="6">
        <f>'Regional Production'!D9+'Regional Production'!D17</f>
        <v>396</v>
      </c>
      <c r="F7" s="12" t="s">
        <v>120</v>
      </c>
      <c r="G7" s="12">
        <v>2</v>
      </c>
      <c r="H7" s="12">
        <f>G7*2.5</f>
        <v>5</v>
      </c>
      <c r="I7" s="12" t="s">
        <v>55</v>
      </c>
      <c r="J7" s="12">
        <v>10</v>
      </c>
      <c r="K7" s="12"/>
      <c r="L7" s="12" t="s">
        <v>96</v>
      </c>
      <c r="M7" s="12">
        <v>118</v>
      </c>
      <c r="N7" s="12">
        <f>O7*J7</f>
        <v>590</v>
      </c>
      <c r="O7" s="12">
        <f>M7/G7</f>
        <v>59</v>
      </c>
      <c r="P7" s="15">
        <f>M7/H7</f>
        <v>23.6</v>
      </c>
      <c r="Q7" s="12" t="s">
        <v>117</v>
      </c>
      <c r="R7" s="12">
        <v>3</v>
      </c>
      <c r="S7" s="12">
        <f>R7*2.5</f>
        <v>7.5</v>
      </c>
      <c r="T7" s="15">
        <f>R7*O7</f>
        <v>177</v>
      </c>
    </row>
    <row r="8" spans="3:20" x14ac:dyDescent="0.25">
      <c r="C8" s="11" t="s">
        <v>81</v>
      </c>
      <c r="D8" s="6">
        <f>'Regional Production'!D20</f>
        <v>160</v>
      </c>
      <c r="F8" s="12" t="s">
        <v>124</v>
      </c>
      <c r="G8" s="12">
        <v>24</v>
      </c>
      <c r="H8" s="12">
        <f>G8*2.5</f>
        <v>60</v>
      </c>
      <c r="I8" s="12" t="s">
        <v>82</v>
      </c>
      <c r="J8" s="12">
        <v>20</v>
      </c>
      <c r="K8" s="12"/>
      <c r="L8" s="12" t="s">
        <v>4</v>
      </c>
      <c r="M8" s="12">
        <f>O8*J8</f>
        <v>300</v>
      </c>
      <c r="N8" s="12">
        <f>O8*G8</f>
        <v>360</v>
      </c>
      <c r="O8" s="12">
        <v>15</v>
      </c>
      <c r="P8" s="15">
        <f>M8/H8</f>
        <v>5</v>
      </c>
      <c r="Q8" s="12" t="s">
        <v>81</v>
      </c>
      <c r="R8" s="12">
        <v>4</v>
      </c>
      <c r="S8" s="12">
        <f>R8*2.5</f>
        <v>10</v>
      </c>
      <c r="T8" s="15">
        <f>R8*O8</f>
        <v>60</v>
      </c>
    </row>
    <row r="9" spans="3:20" x14ac:dyDescent="0.25">
      <c r="C9" s="11" t="s">
        <v>4</v>
      </c>
      <c r="D9" s="6">
        <f>'Regional Production'!D27</f>
        <v>800</v>
      </c>
    </row>
    <row r="10" spans="3:20" x14ac:dyDescent="0.25">
      <c r="C10" s="11" t="s">
        <v>96</v>
      </c>
      <c r="D10" s="6">
        <f>'Regional Production'!D26</f>
        <v>1968.75</v>
      </c>
      <c r="F10" s="37" t="s">
        <v>62</v>
      </c>
      <c r="G10" s="38"/>
      <c r="I10" s="37" t="s">
        <v>101</v>
      </c>
      <c r="J10" s="38"/>
    </row>
    <row r="11" spans="3:20" x14ac:dyDescent="0.25">
      <c r="C11" s="11" t="s">
        <v>105</v>
      </c>
      <c r="D11" s="6">
        <f>'Regional Production'!D30</f>
        <v>162.5</v>
      </c>
      <c r="F11" s="12" t="s">
        <v>123</v>
      </c>
      <c r="G11" s="15">
        <f>T7</f>
        <v>177</v>
      </c>
      <c r="I11" s="12" t="s">
        <v>53</v>
      </c>
      <c r="J11" s="15">
        <f>D7-M7</f>
        <v>278</v>
      </c>
    </row>
    <row r="12" spans="3:20" x14ac:dyDescent="0.25">
      <c r="F12" s="12" t="s">
        <v>88</v>
      </c>
      <c r="G12" s="15">
        <f>T8</f>
        <v>60</v>
      </c>
      <c r="I12" s="12" t="s">
        <v>96</v>
      </c>
      <c r="J12" s="15">
        <f>D10-N7-N8</f>
        <v>1018.75</v>
      </c>
    </row>
    <row r="13" spans="3:20" x14ac:dyDescent="0.25">
      <c r="I13" s="12" t="s">
        <v>4</v>
      </c>
      <c r="J13" s="15">
        <f>D9-M8</f>
        <v>500</v>
      </c>
    </row>
    <row r="14" spans="3:20" x14ac:dyDescent="0.25">
      <c r="I14" s="12" t="s">
        <v>81</v>
      </c>
      <c r="J14" s="15">
        <f>G12+D8</f>
        <v>220</v>
      </c>
    </row>
    <row r="15" spans="3:20" x14ac:dyDescent="0.25">
      <c r="I15" s="12" t="s">
        <v>123</v>
      </c>
      <c r="J15" s="15">
        <f>G11</f>
        <v>177</v>
      </c>
    </row>
    <row r="18" spans="6:28" x14ac:dyDescent="0.25">
      <c r="F18" s="37" t="s">
        <v>109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6:28" x14ac:dyDescent="0.25">
      <c r="F19" s="5" t="s">
        <v>16</v>
      </c>
      <c r="G19" s="7" t="s">
        <v>22</v>
      </c>
      <c r="H19" s="7" t="s">
        <v>46</v>
      </c>
      <c r="I19" s="7" t="s">
        <v>26</v>
      </c>
      <c r="J19" s="7" t="s">
        <v>23</v>
      </c>
      <c r="K19" s="7" t="s">
        <v>47</v>
      </c>
      <c r="L19" s="7" t="s">
        <v>28</v>
      </c>
      <c r="M19" s="7" t="s">
        <v>110</v>
      </c>
      <c r="N19" s="7" t="s">
        <v>111</v>
      </c>
      <c r="O19" s="7" t="s">
        <v>112</v>
      </c>
      <c r="P19" s="7" t="s">
        <v>113</v>
      </c>
      <c r="Q19" s="7" t="s">
        <v>114</v>
      </c>
      <c r="R19" s="7" t="s">
        <v>115</v>
      </c>
      <c r="S19" s="7" t="s">
        <v>31</v>
      </c>
      <c r="T19" s="9" t="s">
        <v>32</v>
      </c>
      <c r="U19" s="9" t="s">
        <v>118</v>
      </c>
      <c r="V19" s="9" t="s">
        <v>119</v>
      </c>
      <c r="W19" s="7" t="s">
        <v>30</v>
      </c>
      <c r="X19" s="7" t="s">
        <v>48</v>
      </c>
      <c r="Y19" s="7" t="s">
        <v>36</v>
      </c>
      <c r="Z19" s="7" t="s">
        <v>35</v>
      </c>
      <c r="AA19" s="7" t="s">
        <v>49</v>
      </c>
      <c r="AB19" s="9" t="s">
        <v>34</v>
      </c>
    </row>
    <row r="20" spans="6:28" x14ac:dyDescent="0.25">
      <c r="F20" s="12" t="s">
        <v>116</v>
      </c>
      <c r="G20" s="12">
        <v>7.5</v>
      </c>
      <c r="H20" s="12">
        <f>G20*2.5</f>
        <v>18.75</v>
      </c>
      <c r="I20" s="12" t="s">
        <v>117</v>
      </c>
      <c r="J20" s="12">
        <v>9.375</v>
      </c>
      <c r="K20" s="12">
        <f>J20*2.5</f>
        <v>23.4375</v>
      </c>
      <c r="L20" s="12" t="s">
        <v>81</v>
      </c>
      <c r="M20" s="12">
        <v>33.75</v>
      </c>
      <c r="N20" s="12">
        <f>M20*2.5</f>
        <v>84.375</v>
      </c>
      <c r="O20" s="12" t="s">
        <v>96</v>
      </c>
      <c r="P20" s="12">
        <v>20.625</v>
      </c>
      <c r="Q20" s="12">
        <f>P20*2.5</f>
        <v>51.5625</v>
      </c>
      <c r="R20" s="12" t="s">
        <v>4</v>
      </c>
      <c r="S20" s="12">
        <f>G20*W20</f>
        <v>172.5</v>
      </c>
      <c r="T20" s="12">
        <f>W20*J20</f>
        <v>215.625</v>
      </c>
      <c r="U20" s="12">
        <f>M20*W20</f>
        <v>776.25</v>
      </c>
      <c r="V20" s="12">
        <f>W20*P20</f>
        <v>474.375</v>
      </c>
      <c r="W20" s="12">
        <v>23</v>
      </c>
      <c r="X20" s="15">
        <f>S20/H20</f>
        <v>9.1999999999999993</v>
      </c>
      <c r="Y20" s="12" t="s">
        <v>116</v>
      </c>
      <c r="Z20" s="12">
        <v>2.8125</v>
      </c>
      <c r="AA20" s="12">
        <f>Z20*2.5</f>
        <v>7.03125</v>
      </c>
      <c r="AB20" s="15">
        <f>Z20*W20</f>
        <v>64.6875</v>
      </c>
    </row>
    <row r="22" spans="6:28" x14ac:dyDescent="0.25">
      <c r="F22" s="37" t="s">
        <v>62</v>
      </c>
      <c r="G22" s="38"/>
      <c r="J22" s="37" t="s">
        <v>101</v>
      </c>
      <c r="K22" s="38"/>
    </row>
    <row r="23" spans="6:28" x14ac:dyDescent="0.25">
      <c r="F23" s="12" t="s">
        <v>121</v>
      </c>
      <c r="G23" s="15">
        <f>AB20</f>
        <v>64.6875</v>
      </c>
      <c r="J23" s="12" t="s">
        <v>53</v>
      </c>
      <c r="K23" s="15">
        <f>J11</f>
        <v>278</v>
      </c>
    </row>
    <row r="24" spans="6:28" x14ac:dyDescent="0.25">
      <c r="J24" s="12" t="s">
        <v>96</v>
      </c>
      <c r="K24" s="15">
        <f>J12-U20</f>
        <v>242.5</v>
      </c>
    </row>
    <row r="25" spans="6:28" x14ac:dyDescent="0.25">
      <c r="F25" s="39" t="s">
        <v>122</v>
      </c>
      <c r="G25" s="40"/>
      <c r="H25" s="41"/>
      <c r="J25" s="12" t="s">
        <v>4</v>
      </c>
      <c r="K25" s="15">
        <f>J13-V20</f>
        <v>25.625</v>
      </c>
    </row>
    <row r="26" spans="6:28" x14ac:dyDescent="0.25">
      <c r="F26" s="12" t="s">
        <v>121</v>
      </c>
      <c r="G26" s="15">
        <f>G23</f>
        <v>64.6875</v>
      </c>
      <c r="H26" s="12" t="s">
        <v>83</v>
      </c>
      <c r="J26" s="12" t="s">
        <v>81</v>
      </c>
      <c r="K26" s="15">
        <f>J14-T20</f>
        <v>4.375</v>
      </c>
    </row>
    <row r="27" spans="6:28" x14ac:dyDescent="0.25">
      <c r="F27" s="12" t="s">
        <v>105</v>
      </c>
      <c r="G27" s="15">
        <f>D11</f>
        <v>162.5</v>
      </c>
      <c r="H27" s="12" t="s">
        <v>83</v>
      </c>
      <c r="J27" s="12" t="s">
        <v>123</v>
      </c>
      <c r="K27" s="15">
        <f>J15-S20</f>
        <v>4.5</v>
      </c>
    </row>
    <row r="29" spans="6:28" x14ac:dyDescent="0.25">
      <c r="F29" s="35" t="s">
        <v>40</v>
      </c>
      <c r="G29" s="36"/>
    </row>
    <row r="30" spans="6:28" x14ac:dyDescent="0.25">
      <c r="F30" s="12" t="s">
        <v>53</v>
      </c>
      <c r="G30" s="6">
        <v>240</v>
      </c>
    </row>
    <row r="56" spans="9:9" x14ac:dyDescent="0.25">
      <c r="I56" s="13">
        <v>87</v>
      </c>
    </row>
  </sheetData>
  <mergeCells count="10">
    <mergeCell ref="C3:P3"/>
    <mergeCell ref="C5:D5"/>
    <mergeCell ref="F29:G29"/>
    <mergeCell ref="F5:T5"/>
    <mergeCell ref="F22:G22"/>
    <mergeCell ref="F25:H25"/>
    <mergeCell ref="F18:AB18"/>
    <mergeCell ref="F10:G10"/>
    <mergeCell ref="I10:J10"/>
    <mergeCell ref="J22:K2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8780-95D8-4F7E-B348-893C14CD1A37}">
  <sheetPr>
    <tabColor rgb="FFFFFF00"/>
  </sheetPr>
  <dimension ref="C1:V27"/>
  <sheetViews>
    <sheetView tabSelected="1" topLeftCell="P2" zoomScale="85" zoomScaleNormal="85" workbookViewId="0">
      <selection activeCell="U24" sqref="U24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1.5703125" style="13" bestFit="1" customWidth="1"/>
    <col min="7" max="7" width="9.85546875" style="13" bestFit="1" customWidth="1"/>
    <col min="8" max="8" width="29" style="13" bestFit="1" customWidth="1"/>
    <col min="9" max="9" width="29.140625" style="13" bestFit="1" customWidth="1"/>
    <col min="10" max="10" width="37.42578125" style="13" bestFit="1" customWidth="1"/>
    <col min="11" max="11" width="14.85546875" style="13" bestFit="1" customWidth="1"/>
    <col min="12" max="12" width="29" style="13" bestFit="1" customWidth="1"/>
    <col min="13" max="13" width="31.85546875" style="13" bestFit="1" customWidth="1"/>
    <col min="14" max="15" width="16.28515625" style="13" bestFit="1" customWidth="1"/>
    <col min="16" max="16" width="27.140625" style="13" bestFit="1" customWidth="1"/>
    <col min="17" max="17" width="20" style="13" bestFit="1" customWidth="1"/>
    <col min="18" max="18" width="18.85546875" style="13" bestFit="1" customWidth="1"/>
    <col min="19" max="19" width="23.140625" style="13" bestFit="1" customWidth="1"/>
    <col min="20" max="20" width="14" style="13" bestFit="1" customWidth="1"/>
    <col min="21" max="21" width="16.140625" style="13" bestFit="1" customWidth="1"/>
    <col min="22" max="22" width="12.42578125" style="13" bestFit="1" customWidth="1"/>
    <col min="23" max="23" width="9.140625" style="13"/>
    <col min="24" max="24" width="10" style="13" bestFit="1" customWidth="1"/>
    <col min="25" max="16384" width="9.140625" style="13"/>
  </cols>
  <sheetData>
    <row r="1" spans="3:22" ht="8.25" customHeight="1" x14ac:dyDescent="0.25"/>
    <row r="2" spans="3:22" ht="8.25" customHeight="1" x14ac:dyDescent="0.25"/>
    <row r="3" spans="3:22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4"/>
      <c r="R3" s="14"/>
      <c r="S3" s="14"/>
    </row>
    <row r="4" spans="3:22" ht="24" thickTop="1" x14ac:dyDescent="0.35">
      <c r="Q4" s="14"/>
      <c r="R4" s="14"/>
      <c r="S4" s="14"/>
    </row>
    <row r="5" spans="3:22" x14ac:dyDescent="0.25">
      <c r="C5" s="35" t="s">
        <v>38</v>
      </c>
      <c r="D5" s="36"/>
      <c r="E5" s="36"/>
      <c r="F5" s="36"/>
      <c r="H5" s="37" t="s">
        <v>45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3:22" x14ac:dyDescent="0.25">
      <c r="C6" s="5" t="s">
        <v>16</v>
      </c>
      <c r="D6" s="5" t="s">
        <v>5</v>
      </c>
      <c r="E6" s="5" t="s">
        <v>6</v>
      </c>
      <c r="F6" s="5" t="s">
        <v>3</v>
      </c>
      <c r="H6" s="5" t="s">
        <v>16</v>
      </c>
      <c r="I6" s="7" t="s">
        <v>22</v>
      </c>
      <c r="J6" s="7" t="s">
        <v>46</v>
      </c>
      <c r="K6" s="7" t="s">
        <v>26</v>
      </c>
      <c r="L6" s="7" t="s">
        <v>23</v>
      </c>
      <c r="M6" s="7" t="s">
        <v>47</v>
      </c>
      <c r="N6" s="7" t="s">
        <v>28</v>
      </c>
      <c r="O6" s="7" t="s">
        <v>31</v>
      </c>
      <c r="P6" s="9" t="s">
        <v>32</v>
      </c>
      <c r="Q6" s="7" t="s">
        <v>30</v>
      </c>
      <c r="R6" s="7" t="s">
        <v>48</v>
      </c>
      <c r="S6" s="7" t="s">
        <v>36</v>
      </c>
      <c r="T6" s="7" t="s">
        <v>35</v>
      </c>
      <c r="U6" s="7" t="s">
        <v>49</v>
      </c>
      <c r="V6" s="9" t="s">
        <v>34</v>
      </c>
    </row>
    <row r="7" spans="3:22" x14ac:dyDescent="0.25">
      <c r="C7" s="6" t="s">
        <v>14</v>
      </c>
      <c r="D7" s="6">
        <v>8</v>
      </c>
      <c r="E7" s="6">
        <v>0</v>
      </c>
      <c r="F7" s="6">
        <v>2</v>
      </c>
      <c r="H7" s="12" t="s">
        <v>4</v>
      </c>
      <c r="I7" s="12">
        <v>45</v>
      </c>
      <c r="J7" s="12">
        <f>I7*2.5</f>
        <v>112.5</v>
      </c>
      <c r="K7" s="12" t="s">
        <v>3</v>
      </c>
      <c r="L7" s="12"/>
      <c r="M7" s="12"/>
      <c r="N7" s="12"/>
      <c r="O7" s="12">
        <f>D15</f>
        <v>2400</v>
      </c>
      <c r="P7" s="12"/>
      <c r="Q7" s="12">
        <f>O7/I7</f>
        <v>53.333333333333336</v>
      </c>
      <c r="R7" s="15">
        <f>O7/I7</f>
        <v>53.333333333333336</v>
      </c>
      <c r="S7" s="12" t="s">
        <v>4</v>
      </c>
      <c r="T7" s="12">
        <v>15</v>
      </c>
      <c r="U7" s="12">
        <f>T7*2.5</f>
        <v>37.5</v>
      </c>
      <c r="V7" s="15">
        <f>T7*Q7</f>
        <v>800</v>
      </c>
    </row>
    <row r="8" spans="3:22" x14ac:dyDescent="0.25">
      <c r="C8" s="6" t="s">
        <v>13</v>
      </c>
      <c r="D8" s="6">
        <v>3</v>
      </c>
      <c r="E8" s="6">
        <v>2</v>
      </c>
      <c r="F8" s="6">
        <v>1</v>
      </c>
      <c r="H8" s="12" t="s">
        <v>79</v>
      </c>
      <c r="I8" s="12">
        <v>40</v>
      </c>
      <c r="J8" s="12">
        <f>I8*2</f>
        <v>80</v>
      </c>
      <c r="K8" s="12" t="s">
        <v>0</v>
      </c>
      <c r="L8" s="12">
        <v>10</v>
      </c>
      <c r="M8" s="12">
        <f>L8*2</f>
        <v>20</v>
      </c>
      <c r="N8" s="12" t="s">
        <v>1</v>
      </c>
      <c r="O8" s="12">
        <v>4200</v>
      </c>
      <c r="P8" s="12">
        <f>Q8*L8</f>
        <v>1050</v>
      </c>
      <c r="Q8" s="12">
        <f>O8/I8</f>
        <v>105</v>
      </c>
      <c r="R8" s="15">
        <f>O8/J8</f>
        <v>52.5</v>
      </c>
      <c r="S8" s="12" t="s">
        <v>61</v>
      </c>
      <c r="T8" s="12">
        <v>75</v>
      </c>
      <c r="U8" s="12">
        <f>T8*2</f>
        <v>150</v>
      </c>
      <c r="V8" s="15">
        <f>T8*Q8</f>
        <v>7875</v>
      </c>
    </row>
    <row r="9" spans="3:22" x14ac:dyDescent="0.25">
      <c r="C9" s="6" t="s">
        <v>12</v>
      </c>
      <c r="D9" s="6">
        <v>0</v>
      </c>
      <c r="E9" s="6">
        <v>0</v>
      </c>
      <c r="F9" s="6">
        <v>1</v>
      </c>
    </row>
    <row r="11" spans="3:22" x14ac:dyDescent="0.25">
      <c r="C11" s="35" t="s">
        <v>41</v>
      </c>
      <c r="D11" s="36"/>
      <c r="H11" s="37" t="s">
        <v>50</v>
      </c>
      <c r="I11" s="38"/>
      <c r="K11" s="42" t="s">
        <v>51</v>
      </c>
      <c r="L11" s="43"/>
    </row>
    <row r="12" spans="3:22" x14ac:dyDescent="0.25">
      <c r="C12" s="5" t="s">
        <v>16</v>
      </c>
      <c r="D12" s="5" t="s">
        <v>42</v>
      </c>
      <c r="H12" s="12" t="s">
        <v>27</v>
      </c>
      <c r="I12" s="15">
        <f>V8</f>
        <v>7875</v>
      </c>
      <c r="K12" s="12" t="s">
        <v>0</v>
      </c>
      <c r="L12" s="15">
        <f>D13-O8</f>
        <v>0</v>
      </c>
    </row>
    <row r="13" spans="3:22" x14ac:dyDescent="0.25">
      <c r="C13" s="11" t="s">
        <v>5</v>
      </c>
      <c r="D13" s="6">
        <f>(D7*MinerOutputValues!D25) + (D8*MinerOutputValues!D26) + (D9*MinerOutputValues!D27)</f>
        <v>4200</v>
      </c>
      <c r="H13" s="12" t="s">
        <v>4</v>
      </c>
      <c r="I13" s="15">
        <f>V7</f>
        <v>800</v>
      </c>
      <c r="K13" s="12" t="s">
        <v>1</v>
      </c>
      <c r="L13" s="15">
        <f>D14-P8</f>
        <v>150</v>
      </c>
    </row>
    <row r="14" spans="3:22" x14ac:dyDescent="0.25">
      <c r="C14" s="11" t="s">
        <v>6</v>
      </c>
      <c r="D14" s="6">
        <f>(E7*MinerOutputValues!D25) + (E8*MinerOutputValues!D26) + (E9*MinerOutputValues!D27)</f>
        <v>1200</v>
      </c>
      <c r="K14" s="12" t="s">
        <v>3</v>
      </c>
      <c r="L14" s="15">
        <f>D15-O7</f>
        <v>0</v>
      </c>
    </row>
    <row r="15" spans="3:22" x14ac:dyDescent="0.25">
      <c r="C15" s="11" t="s">
        <v>3</v>
      </c>
      <c r="D15" s="6">
        <f>(F7*MinerOutputValues!D25) + (F8*MinerOutputValues!D26) + (F9*MinerOutputValues!D27)</f>
        <v>2400</v>
      </c>
    </row>
    <row r="17" spans="8:22" x14ac:dyDescent="0.25">
      <c r="H17" s="37" t="s">
        <v>66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spans="8:22" x14ac:dyDescent="0.25">
      <c r="H18" s="5" t="s">
        <v>16</v>
      </c>
      <c r="I18" s="7" t="s">
        <v>22</v>
      </c>
      <c r="J18" s="7" t="s">
        <v>46</v>
      </c>
      <c r="K18" s="7" t="s">
        <v>26</v>
      </c>
      <c r="L18" s="7" t="s">
        <v>23</v>
      </c>
      <c r="M18" s="7" t="s">
        <v>47</v>
      </c>
      <c r="N18" s="7" t="s">
        <v>28</v>
      </c>
      <c r="O18" s="7" t="s">
        <v>31</v>
      </c>
      <c r="P18" s="9" t="s">
        <v>32</v>
      </c>
      <c r="Q18" s="7" t="s">
        <v>30</v>
      </c>
      <c r="R18" s="7" t="s">
        <v>48</v>
      </c>
      <c r="S18" s="7" t="s">
        <v>36</v>
      </c>
      <c r="T18" s="7" t="s">
        <v>35</v>
      </c>
      <c r="U18" s="7" t="s">
        <v>49</v>
      </c>
      <c r="V18" s="9" t="s">
        <v>34</v>
      </c>
    </row>
    <row r="19" spans="8:22" x14ac:dyDescent="0.25">
      <c r="H19" s="12" t="s">
        <v>80</v>
      </c>
      <c r="I19" s="12">
        <v>100</v>
      </c>
      <c r="J19" s="12">
        <f>I19*2.5</f>
        <v>250</v>
      </c>
      <c r="K19" s="12" t="s">
        <v>27</v>
      </c>
      <c r="L19" s="12"/>
      <c r="M19" s="12"/>
      <c r="N19" s="12"/>
      <c r="O19" s="12">
        <f>I12</f>
        <v>7875</v>
      </c>
      <c r="P19" s="12"/>
      <c r="Q19" s="12">
        <f>O19/I19</f>
        <v>78.75</v>
      </c>
      <c r="R19" s="15">
        <f>O19/J19</f>
        <v>31.5</v>
      </c>
      <c r="S19" s="12" t="s">
        <v>33</v>
      </c>
      <c r="T19" s="12">
        <v>25</v>
      </c>
      <c r="U19" s="12">
        <f>T19*2.5</f>
        <v>62.5</v>
      </c>
      <c r="V19" s="15">
        <f>T19*Q19</f>
        <v>1968.75</v>
      </c>
    </row>
    <row r="21" spans="8:22" x14ac:dyDescent="0.25">
      <c r="H21" s="37" t="s">
        <v>62</v>
      </c>
      <c r="I21" s="38"/>
    </row>
    <row r="22" spans="8:22" x14ac:dyDescent="0.25">
      <c r="H22" s="12" t="s">
        <v>80</v>
      </c>
      <c r="I22" s="15">
        <f>V19</f>
        <v>1968.75</v>
      </c>
    </row>
    <row r="23" spans="8:22" x14ac:dyDescent="0.25">
      <c r="H23" s="19" t="s">
        <v>4</v>
      </c>
      <c r="I23" s="20">
        <f>I13</f>
        <v>800</v>
      </c>
    </row>
    <row r="25" spans="8:22" x14ac:dyDescent="0.25">
      <c r="H25" s="39" t="s">
        <v>73</v>
      </c>
      <c r="I25" s="40"/>
      <c r="J25" s="41"/>
    </row>
    <row r="26" spans="8:22" x14ac:dyDescent="0.25">
      <c r="H26" s="12" t="s">
        <v>80</v>
      </c>
      <c r="I26" s="15">
        <f>I22</f>
        <v>1968.75</v>
      </c>
      <c r="J26" s="12" t="s">
        <v>83</v>
      </c>
    </row>
    <row r="27" spans="8:22" x14ac:dyDescent="0.25">
      <c r="H27" s="12" t="s">
        <v>4</v>
      </c>
      <c r="I27" s="15">
        <f>I23</f>
        <v>800</v>
      </c>
      <c r="J27" s="12" t="s">
        <v>83</v>
      </c>
    </row>
  </sheetData>
  <mergeCells count="9">
    <mergeCell ref="H17:V17"/>
    <mergeCell ref="H21:I21"/>
    <mergeCell ref="K11:L11"/>
    <mergeCell ref="H25:J25"/>
    <mergeCell ref="C3:P3"/>
    <mergeCell ref="C5:F5"/>
    <mergeCell ref="H5:V5"/>
    <mergeCell ref="C11:D11"/>
    <mergeCell ref="H11:I1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A902-F4C5-4F2A-BED0-7B43B1424E26}">
  <sheetPr>
    <tabColor rgb="FFFFFF00"/>
  </sheetPr>
  <dimension ref="C1:Y65"/>
  <sheetViews>
    <sheetView topLeftCell="K30" zoomScale="75" zoomScaleNormal="85" workbookViewId="0">
      <selection activeCell="P70" sqref="P70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1.5703125" style="13" bestFit="1" customWidth="1"/>
    <col min="7" max="9" width="21.5703125" style="13" customWidth="1"/>
    <col min="10" max="10" width="9.85546875" style="13" bestFit="1" customWidth="1"/>
    <col min="11" max="11" width="29" style="13" bestFit="1" customWidth="1"/>
    <col min="12" max="12" width="29.140625" style="13" bestFit="1" customWidth="1"/>
    <col min="13" max="13" width="37.42578125" style="13" bestFit="1" customWidth="1"/>
    <col min="14" max="14" width="14.85546875" style="13" bestFit="1" customWidth="1"/>
    <col min="15" max="15" width="29" style="13" bestFit="1" customWidth="1"/>
    <col min="16" max="16" width="31.85546875" style="13" bestFit="1" customWidth="1"/>
    <col min="17" max="18" width="16.28515625" style="13" bestFit="1" customWidth="1"/>
    <col min="19" max="19" width="27.140625" style="13" bestFit="1" customWidth="1"/>
    <col min="20" max="20" width="20" style="13" bestFit="1" customWidth="1"/>
    <col min="21" max="21" width="18.85546875" style="13" bestFit="1" customWidth="1"/>
    <col min="22" max="22" width="23.140625" style="13" bestFit="1" customWidth="1"/>
    <col min="23" max="23" width="14" style="13" bestFit="1" customWidth="1"/>
    <col min="24" max="24" width="16.140625" style="13" bestFit="1" customWidth="1"/>
    <col min="25" max="25" width="12.42578125" style="13" bestFit="1" customWidth="1"/>
    <col min="26" max="26" width="9.140625" style="13"/>
    <col min="27" max="27" width="10" style="13" bestFit="1" customWidth="1"/>
    <col min="28" max="16384" width="9.140625" style="13"/>
  </cols>
  <sheetData>
    <row r="1" spans="3:25" ht="8.25" customHeight="1" x14ac:dyDescent="0.25"/>
    <row r="2" spans="3:25" ht="8.25" customHeight="1" x14ac:dyDescent="0.25"/>
    <row r="3" spans="3:25" ht="29.25" thickBot="1" x14ac:dyDescent="0.4">
      <c r="C3" s="34" t="s">
        <v>93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4"/>
      <c r="U3" s="14"/>
      <c r="V3" s="14"/>
    </row>
    <row r="4" spans="3:25" ht="24" thickTop="1" x14ac:dyDescent="0.35">
      <c r="T4" s="14"/>
      <c r="U4" s="14"/>
      <c r="V4" s="14"/>
    </row>
    <row r="5" spans="3:25" x14ac:dyDescent="0.25">
      <c r="C5" s="35" t="s">
        <v>38</v>
      </c>
      <c r="D5" s="36"/>
      <c r="E5" s="36"/>
      <c r="F5" s="36"/>
      <c r="G5" s="17"/>
      <c r="H5" s="17"/>
      <c r="I5" s="17"/>
      <c r="K5" s="37" t="s">
        <v>45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3:25" x14ac:dyDescent="0.25">
      <c r="C6" s="5" t="s">
        <v>16</v>
      </c>
      <c r="D6" s="5" t="s">
        <v>5</v>
      </c>
      <c r="E6" s="5" t="s">
        <v>6</v>
      </c>
      <c r="F6" s="5" t="s">
        <v>3</v>
      </c>
      <c r="G6" s="8" t="s">
        <v>2</v>
      </c>
      <c r="H6" s="8" t="s">
        <v>77</v>
      </c>
      <c r="I6" s="8" t="s">
        <v>78</v>
      </c>
      <c r="K6" s="5" t="s">
        <v>16</v>
      </c>
      <c r="L6" s="7" t="s">
        <v>22</v>
      </c>
      <c r="M6" s="7" t="s">
        <v>46</v>
      </c>
      <c r="N6" s="7" t="s">
        <v>26</v>
      </c>
      <c r="O6" s="7" t="s">
        <v>23</v>
      </c>
      <c r="P6" s="7" t="s">
        <v>47</v>
      </c>
      <c r="Q6" s="7" t="s">
        <v>28</v>
      </c>
      <c r="R6" s="7" t="s">
        <v>31</v>
      </c>
      <c r="S6" s="9" t="s">
        <v>32</v>
      </c>
      <c r="T6" s="7" t="s">
        <v>30</v>
      </c>
      <c r="U6" s="7" t="s">
        <v>48</v>
      </c>
      <c r="V6" s="7" t="s">
        <v>36</v>
      </c>
      <c r="W6" s="7" t="s">
        <v>35</v>
      </c>
      <c r="X6" s="7" t="s">
        <v>49</v>
      </c>
      <c r="Y6" s="9" t="s">
        <v>34</v>
      </c>
    </row>
    <row r="7" spans="3:25" x14ac:dyDescent="0.25">
      <c r="C7" s="6" t="s">
        <v>14</v>
      </c>
      <c r="D7" s="6">
        <v>6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K7" s="12" t="s">
        <v>58</v>
      </c>
      <c r="L7" s="12">
        <v>25</v>
      </c>
      <c r="M7" s="12">
        <f>L7*2.5</f>
        <v>62.5</v>
      </c>
      <c r="N7" s="12" t="s">
        <v>3</v>
      </c>
      <c r="O7" s="12">
        <v>40</v>
      </c>
      <c r="P7" s="12">
        <f>O7*2.5</f>
        <v>100</v>
      </c>
      <c r="Q7" s="12" t="s">
        <v>3</v>
      </c>
      <c r="R7" s="12">
        <v>1875</v>
      </c>
      <c r="S7" s="12">
        <f>D15</f>
        <v>3000</v>
      </c>
      <c r="T7" s="12">
        <f>R7/L7</f>
        <v>75</v>
      </c>
      <c r="U7" s="15">
        <f>R7/M7</f>
        <v>30</v>
      </c>
      <c r="V7" s="12" t="s">
        <v>27</v>
      </c>
      <c r="W7" s="12">
        <v>50</v>
      </c>
      <c r="X7" s="12">
        <f>W7*2.5</f>
        <v>125</v>
      </c>
      <c r="Y7" s="15">
        <f>W7*T7</f>
        <v>3750</v>
      </c>
    </row>
    <row r="8" spans="3:25" x14ac:dyDescent="0.25">
      <c r="C8" s="6" t="s">
        <v>13</v>
      </c>
      <c r="D8" s="6">
        <v>0</v>
      </c>
      <c r="E8" s="6">
        <v>1</v>
      </c>
      <c r="F8" s="6">
        <v>1</v>
      </c>
      <c r="G8" s="6">
        <v>4</v>
      </c>
      <c r="H8" s="6">
        <v>0</v>
      </c>
      <c r="I8" s="6">
        <v>0</v>
      </c>
      <c r="K8" s="12" t="s">
        <v>19</v>
      </c>
      <c r="L8" s="12">
        <v>30</v>
      </c>
      <c r="M8" s="12">
        <f>L8*2.5</f>
        <v>75</v>
      </c>
      <c r="N8" s="12" t="s">
        <v>1</v>
      </c>
      <c r="O8" s="12"/>
      <c r="P8" s="12"/>
      <c r="Q8" s="12"/>
      <c r="R8" s="12">
        <f>D14-S9</f>
        <v>618.75</v>
      </c>
      <c r="S8" s="12"/>
      <c r="T8" s="12">
        <f>R8/L8</f>
        <v>20.625</v>
      </c>
      <c r="U8" s="15">
        <f>R8/L8</f>
        <v>20.625</v>
      </c>
      <c r="V8" s="12" t="s">
        <v>19</v>
      </c>
      <c r="W8" s="12">
        <v>30</v>
      </c>
      <c r="X8" s="12">
        <f>W8*2.5</f>
        <v>75</v>
      </c>
      <c r="Y8" s="15">
        <f>W8*T8</f>
        <v>618.75</v>
      </c>
    </row>
    <row r="9" spans="3:25" x14ac:dyDescent="0.25">
      <c r="C9" s="6" t="s">
        <v>12</v>
      </c>
      <c r="D9" s="6">
        <v>1</v>
      </c>
      <c r="E9" s="6">
        <v>0</v>
      </c>
      <c r="F9" s="6">
        <v>2</v>
      </c>
      <c r="G9" s="6">
        <v>1</v>
      </c>
      <c r="H9" s="6">
        <v>1</v>
      </c>
      <c r="I9" s="6">
        <v>0</v>
      </c>
      <c r="K9" s="12" t="s">
        <v>79</v>
      </c>
      <c r="L9" s="12">
        <v>40</v>
      </c>
      <c r="M9" s="12">
        <f>L9*2</f>
        <v>80</v>
      </c>
      <c r="N9" s="12" t="s">
        <v>1</v>
      </c>
      <c r="O9" s="12">
        <v>10</v>
      </c>
      <c r="P9" s="12">
        <f>O9*2</f>
        <v>20</v>
      </c>
      <c r="Q9" s="12" t="s">
        <v>1</v>
      </c>
      <c r="R9" s="12">
        <v>1125</v>
      </c>
      <c r="S9" s="12">
        <f>T9*O9</f>
        <v>281.25</v>
      </c>
      <c r="T9" s="12">
        <f>R9/L9</f>
        <v>28.125</v>
      </c>
      <c r="U9" s="15">
        <f>R9/M9</f>
        <v>14.0625</v>
      </c>
      <c r="V9" s="12" t="s">
        <v>61</v>
      </c>
      <c r="W9" s="12">
        <v>75</v>
      </c>
      <c r="X9" s="12">
        <f>W9*2</f>
        <v>150</v>
      </c>
      <c r="Y9" s="15">
        <f>W9*T9</f>
        <v>2109.375</v>
      </c>
    </row>
    <row r="11" spans="3:25" x14ac:dyDescent="0.25">
      <c r="C11" s="35" t="s">
        <v>41</v>
      </c>
      <c r="D11" s="36"/>
      <c r="K11" s="37" t="s">
        <v>50</v>
      </c>
      <c r="L11" s="38"/>
      <c r="N11" s="42" t="s">
        <v>51</v>
      </c>
      <c r="O11" s="43"/>
      <c r="P11" s="43"/>
      <c r="Q11" s="43"/>
    </row>
    <row r="12" spans="3:25" x14ac:dyDescent="0.25">
      <c r="C12" s="5" t="s">
        <v>16</v>
      </c>
      <c r="D12" s="5" t="s">
        <v>42</v>
      </c>
      <c r="K12" s="12" t="s">
        <v>27</v>
      </c>
      <c r="L12" s="15">
        <f>Y7+Y9</f>
        <v>5859.375</v>
      </c>
      <c r="N12" s="12" t="s">
        <v>0</v>
      </c>
      <c r="O12" s="15">
        <f>D13-R7-R9</f>
        <v>0</v>
      </c>
      <c r="P12" s="12" t="s">
        <v>2</v>
      </c>
      <c r="Q12" s="15">
        <f>D17</f>
        <v>3600</v>
      </c>
    </row>
    <row r="13" spans="3:25" x14ac:dyDescent="0.25">
      <c r="C13" s="11" t="s">
        <v>5</v>
      </c>
      <c r="D13" s="6">
        <f>(D7*MinerOutputValues!D25) + (D8*MinerOutputValues!D26) + (D9*MinerOutputValues!D27)</f>
        <v>3000</v>
      </c>
      <c r="K13" s="12" t="s">
        <v>19</v>
      </c>
      <c r="L13" s="15">
        <f>Y8</f>
        <v>618.75</v>
      </c>
      <c r="N13" s="12" t="s">
        <v>1</v>
      </c>
      <c r="O13" s="15">
        <f>D14-R8-S9</f>
        <v>0</v>
      </c>
      <c r="P13" s="12" t="s">
        <v>77</v>
      </c>
      <c r="Q13" s="15">
        <f>D18</f>
        <v>1200</v>
      </c>
    </row>
    <row r="14" spans="3:25" x14ac:dyDescent="0.25">
      <c r="C14" s="11" t="s">
        <v>6</v>
      </c>
      <c r="D14" s="6">
        <f>(E7*MinerOutputValues!D25) + (E8*MinerOutputValues!D26) + (E9*MinerOutputValues!D27)</f>
        <v>900</v>
      </c>
      <c r="N14" s="12" t="s">
        <v>3</v>
      </c>
      <c r="O14" s="15">
        <f>D15-S7</f>
        <v>0</v>
      </c>
    </row>
    <row r="15" spans="3:25" x14ac:dyDescent="0.25">
      <c r="C15" s="11" t="s">
        <v>3</v>
      </c>
      <c r="D15" s="6">
        <f>(F7*MinerOutputValues!D25) + (F8*MinerOutputValues!D26) + (F9*MinerOutputValues!D27)</f>
        <v>3000</v>
      </c>
    </row>
    <row r="16" spans="3:25" x14ac:dyDescent="0.25">
      <c r="C16" s="11"/>
      <c r="D16" s="6"/>
    </row>
    <row r="17" spans="3:25" x14ac:dyDescent="0.25">
      <c r="C17" s="11" t="s">
        <v>2</v>
      </c>
      <c r="D17" s="6">
        <f>(G7*MinerOutputValues!D25) + (G8*MinerOutputValues!D26) + (G9*MinerOutputValues!D27)</f>
        <v>3600</v>
      </c>
      <c r="K17" s="37" t="s">
        <v>45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3:25" x14ac:dyDescent="0.25">
      <c r="C18" s="11" t="s">
        <v>77</v>
      </c>
      <c r="D18" s="6">
        <f>(H7*MinerOutputValues!D25) + (H8*MinerOutputValues!D26) + (H9*MinerOutputValues!D27)</f>
        <v>1200</v>
      </c>
      <c r="K18" s="5" t="s">
        <v>16</v>
      </c>
      <c r="L18" s="7" t="s">
        <v>22</v>
      </c>
      <c r="M18" s="7" t="s">
        <v>46</v>
      </c>
      <c r="N18" s="7" t="s">
        <v>26</v>
      </c>
      <c r="O18" s="7" t="s">
        <v>23</v>
      </c>
      <c r="P18" s="7" t="s">
        <v>47</v>
      </c>
      <c r="Q18" s="7" t="s">
        <v>28</v>
      </c>
      <c r="R18" s="7" t="s">
        <v>31</v>
      </c>
      <c r="S18" s="9" t="s">
        <v>32</v>
      </c>
      <c r="T18" s="7" t="s">
        <v>30</v>
      </c>
      <c r="U18" s="7" t="s">
        <v>48</v>
      </c>
      <c r="V18" s="7" t="s">
        <v>36</v>
      </c>
      <c r="W18" s="7" t="s">
        <v>35</v>
      </c>
      <c r="X18" s="7" t="s">
        <v>49</v>
      </c>
      <c r="Y18" s="9" t="s">
        <v>34</v>
      </c>
    </row>
    <row r="19" spans="3:25" x14ac:dyDescent="0.25">
      <c r="K19" s="12" t="s">
        <v>94</v>
      </c>
      <c r="L19" s="12">
        <v>40</v>
      </c>
      <c r="M19" s="12">
        <f>L19*2.5</f>
        <v>100</v>
      </c>
      <c r="N19" s="12" t="s">
        <v>27</v>
      </c>
      <c r="O19" s="12">
        <v>40</v>
      </c>
      <c r="P19" s="12">
        <f>O19*2.5</f>
        <v>100</v>
      </c>
      <c r="Q19" s="12" t="s">
        <v>2</v>
      </c>
      <c r="R19" s="12">
        <v>3600</v>
      </c>
      <c r="S19" s="12">
        <f>T19*O19</f>
        <v>3600</v>
      </c>
      <c r="T19" s="12">
        <f>R19/L19</f>
        <v>90</v>
      </c>
      <c r="U19" s="15">
        <f>R19/M19</f>
        <v>36</v>
      </c>
      <c r="V19" s="12" t="s">
        <v>95</v>
      </c>
      <c r="W19" s="12">
        <v>60</v>
      </c>
      <c r="X19" s="12">
        <f>W19*2.5</f>
        <v>150</v>
      </c>
      <c r="Y19" s="15">
        <f>W19*T19</f>
        <v>5400</v>
      </c>
    </row>
    <row r="21" spans="3:25" x14ac:dyDescent="0.25">
      <c r="K21" s="37" t="s">
        <v>50</v>
      </c>
      <c r="L21" s="38"/>
    </row>
    <row r="22" spans="3:25" x14ac:dyDescent="0.25">
      <c r="K22" s="12" t="s">
        <v>27</v>
      </c>
      <c r="L22" s="15">
        <f>L12-R19</f>
        <v>2259.375</v>
      </c>
    </row>
    <row r="23" spans="3:25" x14ac:dyDescent="0.25">
      <c r="K23" s="12" t="s">
        <v>19</v>
      </c>
      <c r="L23" s="15">
        <f>L13</f>
        <v>618.75</v>
      </c>
    </row>
    <row r="24" spans="3:25" x14ac:dyDescent="0.25">
      <c r="K24" s="12" t="s">
        <v>95</v>
      </c>
      <c r="L24" s="15">
        <f>Y19</f>
        <v>5400</v>
      </c>
    </row>
    <row r="27" spans="3:25" x14ac:dyDescent="0.25">
      <c r="K27" s="37" t="s">
        <v>66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3:25" x14ac:dyDescent="0.25">
      <c r="K28" s="5" t="s">
        <v>16</v>
      </c>
      <c r="L28" s="7" t="s">
        <v>22</v>
      </c>
      <c r="M28" s="7" t="s">
        <v>46</v>
      </c>
      <c r="N28" s="7" t="s">
        <v>26</v>
      </c>
      <c r="O28" s="7" t="s">
        <v>23</v>
      </c>
      <c r="P28" s="7" t="s">
        <v>47</v>
      </c>
      <c r="Q28" s="7" t="s">
        <v>28</v>
      </c>
      <c r="R28" s="7" t="s">
        <v>31</v>
      </c>
      <c r="S28" s="9" t="s">
        <v>32</v>
      </c>
      <c r="T28" s="7" t="s">
        <v>30</v>
      </c>
      <c r="U28" s="7" t="s">
        <v>48</v>
      </c>
      <c r="V28" s="7" t="s">
        <v>36</v>
      </c>
      <c r="W28" s="7" t="s">
        <v>35</v>
      </c>
      <c r="X28" s="7" t="s">
        <v>49</v>
      </c>
      <c r="Y28" s="9" t="s">
        <v>34</v>
      </c>
    </row>
    <row r="29" spans="3:25" x14ac:dyDescent="0.25">
      <c r="K29" s="12" t="s">
        <v>63</v>
      </c>
      <c r="L29" s="12">
        <v>12.5</v>
      </c>
      <c r="M29" s="12">
        <f>L29*2.5</f>
        <v>31.25</v>
      </c>
      <c r="N29" s="12" t="s">
        <v>27</v>
      </c>
      <c r="O29" s="12"/>
      <c r="P29" s="12"/>
      <c r="Q29" s="12"/>
      <c r="R29" s="12">
        <f>L22</f>
        <v>2259.375</v>
      </c>
      <c r="S29" s="12"/>
      <c r="T29" s="12">
        <f>R29/L29</f>
        <v>180.75</v>
      </c>
      <c r="U29" s="15">
        <f>R29/M29</f>
        <v>72.3</v>
      </c>
      <c r="V29" s="12" t="s">
        <v>25</v>
      </c>
      <c r="W29" s="12">
        <v>22.5</v>
      </c>
      <c r="X29" s="12">
        <f>W29*2.5</f>
        <v>56.25</v>
      </c>
      <c r="Y29" s="15">
        <f>W29*T29</f>
        <v>4066.875</v>
      </c>
    </row>
    <row r="30" spans="3:25" x14ac:dyDescent="0.25">
      <c r="K30" s="12" t="s">
        <v>25</v>
      </c>
      <c r="L30" s="12">
        <v>15</v>
      </c>
      <c r="M30" s="12">
        <f>L30*2.5</f>
        <v>37.5</v>
      </c>
      <c r="N30" s="12" t="s">
        <v>19</v>
      </c>
      <c r="O30" s="12"/>
      <c r="P30" s="12"/>
      <c r="Q30" s="12"/>
      <c r="R30" s="12">
        <f>L23</f>
        <v>618.75</v>
      </c>
      <c r="S30" s="12"/>
      <c r="T30" s="12">
        <f>R30/L30</f>
        <v>41.25</v>
      </c>
      <c r="U30" s="15">
        <f>R30/M30</f>
        <v>16.5</v>
      </c>
      <c r="V30" s="12" t="s">
        <v>25</v>
      </c>
      <c r="W30" s="12">
        <v>30</v>
      </c>
      <c r="X30" s="12">
        <f>W30*2.5</f>
        <v>75</v>
      </c>
      <c r="Y30" s="15">
        <f>W30*T30</f>
        <v>1237.5</v>
      </c>
    </row>
    <row r="31" spans="3:25" x14ac:dyDescent="0.25">
      <c r="K31" s="12" t="s">
        <v>96</v>
      </c>
      <c r="L31" s="12">
        <v>30</v>
      </c>
      <c r="M31" s="12">
        <f>L31*2.5</f>
        <v>75</v>
      </c>
      <c r="N31" s="12" t="s">
        <v>95</v>
      </c>
      <c r="O31" s="12"/>
      <c r="P31" s="12"/>
      <c r="Q31" s="12"/>
      <c r="R31" s="12">
        <v>2814</v>
      </c>
      <c r="S31" s="12"/>
      <c r="T31" s="12">
        <f>R31/L31</f>
        <v>93.8</v>
      </c>
      <c r="U31" s="15">
        <f>R31/M31</f>
        <v>37.520000000000003</v>
      </c>
      <c r="V31" s="12" t="s">
        <v>96</v>
      </c>
      <c r="W31" s="12">
        <v>20</v>
      </c>
      <c r="X31" s="12">
        <f>W31*2.5</f>
        <v>50</v>
      </c>
      <c r="Y31" s="15">
        <f>W31*T31</f>
        <v>1876</v>
      </c>
    </row>
    <row r="32" spans="3:25" x14ac:dyDescent="0.25">
      <c r="K32" s="12" t="s">
        <v>98</v>
      </c>
      <c r="L32" s="12">
        <v>60</v>
      </c>
      <c r="M32" s="12">
        <f>L32*2.5</f>
        <v>150</v>
      </c>
      <c r="N32" s="12" t="s">
        <v>95</v>
      </c>
      <c r="O32" s="12"/>
      <c r="P32" s="12"/>
      <c r="Q32" s="12"/>
      <c r="R32" s="12">
        <f>L32*T32</f>
        <v>1920</v>
      </c>
      <c r="S32" s="12"/>
      <c r="T32" s="12">
        <v>32</v>
      </c>
      <c r="U32" s="15">
        <f>R32/M32</f>
        <v>12.8</v>
      </c>
      <c r="V32" s="12" t="s">
        <v>97</v>
      </c>
      <c r="W32" s="12">
        <v>15</v>
      </c>
      <c r="X32" s="12">
        <f>W32*2.5</f>
        <v>37.5</v>
      </c>
      <c r="Y32" s="15">
        <f>W32*T32</f>
        <v>480</v>
      </c>
    </row>
    <row r="33" spans="11:25" x14ac:dyDescent="0.25">
      <c r="K33" s="12" t="s">
        <v>104</v>
      </c>
      <c r="L33" s="12">
        <v>30</v>
      </c>
      <c r="M33" s="12">
        <f>L33*2.5</f>
        <v>75</v>
      </c>
      <c r="N33" s="12" t="s">
        <v>95</v>
      </c>
      <c r="O33" s="12"/>
      <c r="P33" s="12"/>
      <c r="Q33" s="12"/>
      <c r="R33" s="12">
        <f>L24-R31-R32</f>
        <v>666</v>
      </c>
      <c r="S33" s="12"/>
      <c r="T33" s="12">
        <f>R33/L33</f>
        <v>22.2</v>
      </c>
      <c r="U33" s="15">
        <f>R33/M33</f>
        <v>8.8800000000000008</v>
      </c>
      <c r="V33" s="12" t="s">
        <v>96</v>
      </c>
      <c r="W33" s="12">
        <v>20</v>
      </c>
      <c r="X33" s="12">
        <f>W33*2.5</f>
        <v>50</v>
      </c>
      <c r="Y33" s="15">
        <f>W33*T33</f>
        <v>444</v>
      </c>
    </row>
    <row r="35" spans="11:25" x14ac:dyDescent="0.25">
      <c r="K35" s="37" t="s">
        <v>62</v>
      </c>
      <c r="L35" s="38"/>
      <c r="N35" s="37" t="s">
        <v>101</v>
      </c>
      <c r="O35" s="38"/>
    </row>
    <row r="36" spans="11:25" x14ac:dyDescent="0.25">
      <c r="K36" s="12" t="s">
        <v>96</v>
      </c>
      <c r="L36" s="15">
        <f>Y31</f>
        <v>1876</v>
      </c>
      <c r="N36" s="12" t="s">
        <v>95</v>
      </c>
      <c r="O36" s="15">
        <f>L24-R31-R32</f>
        <v>666</v>
      </c>
    </row>
    <row r="37" spans="11:25" x14ac:dyDescent="0.25">
      <c r="K37" s="19" t="s">
        <v>25</v>
      </c>
      <c r="L37" s="20">
        <f>Y29+Y30</f>
        <v>5304.375</v>
      </c>
    </row>
    <row r="38" spans="11:25" x14ac:dyDescent="0.25">
      <c r="K38" s="19" t="s">
        <v>97</v>
      </c>
      <c r="L38" s="20">
        <f>Y32</f>
        <v>480</v>
      </c>
    </row>
    <row r="39" spans="11:25" x14ac:dyDescent="0.25">
      <c r="K39" s="12" t="s">
        <v>103</v>
      </c>
      <c r="L39" s="15">
        <f>Y33</f>
        <v>444</v>
      </c>
    </row>
    <row r="41" spans="11:25" x14ac:dyDescent="0.25">
      <c r="K41" s="37" t="s">
        <v>66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1:25" x14ac:dyDescent="0.25">
      <c r="K42" s="5" t="s">
        <v>16</v>
      </c>
      <c r="L42" s="7" t="s">
        <v>22</v>
      </c>
      <c r="M42" s="7" t="s">
        <v>46</v>
      </c>
      <c r="N42" s="7" t="s">
        <v>26</v>
      </c>
      <c r="O42" s="7" t="s">
        <v>23</v>
      </c>
      <c r="P42" s="7" t="s">
        <v>47</v>
      </c>
      <c r="Q42" s="7" t="s">
        <v>28</v>
      </c>
      <c r="R42" s="7" t="s">
        <v>31</v>
      </c>
      <c r="S42" s="9" t="s">
        <v>32</v>
      </c>
      <c r="T42" s="7" t="s">
        <v>30</v>
      </c>
      <c r="U42" s="7" t="s">
        <v>48</v>
      </c>
      <c r="V42" s="7" t="s">
        <v>36</v>
      </c>
      <c r="W42" s="7" t="s">
        <v>35</v>
      </c>
      <c r="X42" s="7" t="s">
        <v>49</v>
      </c>
      <c r="Y42" s="9" t="s">
        <v>34</v>
      </c>
    </row>
    <row r="43" spans="11:25" x14ac:dyDescent="0.25">
      <c r="K43" s="12" t="s">
        <v>99</v>
      </c>
      <c r="L43" s="12">
        <v>15</v>
      </c>
      <c r="M43" s="12">
        <f>L43*2.5</f>
        <v>37.5</v>
      </c>
      <c r="N43" s="12" t="s">
        <v>82</v>
      </c>
      <c r="O43" s="12">
        <v>40</v>
      </c>
      <c r="P43" s="12">
        <f>O43*2.5</f>
        <v>100</v>
      </c>
      <c r="Q43" s="12" t="s">
        <v>25</v>
      </c>
      <c r="R43" s="12">
        <f>L43*T43</f>
        <v>975</v>
      </c>
      <c r="S43" s="12">
        <f>O43*T43</f>
        <v>2600</v>
      </c>
      <c r="T43" s="12">
        <v>65</v>
      </c>
      <c r="U43" s="15">
        <f>R43/M43</f>
        <v>26</v>
      </c>
      <c r="V43" s="12" t="s">
        <v>99</v>
      </c>
      <c r="W43" s="12">
        <v>5</v>
      </c>
      <c r="X43" s="12">
        <f>W43*2.5</f>
        <v>12.5</v>
      </c>
      <c r="Y43" s="15">
        <f>W43*T43</f>
        <v>325</v>
      </c>
    </row>
    <row r="44" spans="11:25" x14ac:dyDescent="0.25">
      <c r="K44" s="12" t="s">
        <v>100</v>
      </c>
      <c r="L44" s="12">
        <v>10</v>
      </c>
      <c r="M44" s="12">
        <f>L44*2.5</f>
        <v>25</v>
      </c>
      <c r="N44" s="12" t="s">
        <v>82</v>
      </c>
      <c r="O44" s="12">
        <v>30</v>
      </c>
      <c r="P44" s="12">
        <f>O44*2.5</f>
        <v>75</v>
      </c>
      <c r="Q44" s="12" t="s">
        <v>25</v>
      </c>
      <c r="R44" s="12">
        <f>L44*T44</f>
        <v>890</v>
      </c>
      <c r="S44" s="12">
        <f>O44*T44</f>
        <v>2670</v>
      </c>
      <c r="T44" s="12">
        <v>89</v>
      </c>
      <c r="U44" s="15">
        <f>R44/M44</f>
        <v>35.6</v>
      </c>
      <c r="V44" s="12" t="s">
        <v>100</v>
      </c>
      <c r="W44" s="12">
        <v>5</v>
      </c>
      <c r="X44" s="12">
        <f>W44*2.5</f>
        <v>12.5</v>
      </c>
      <c r="Y44" s="15">
        <f>W44*T44</f>
        <v>445</v>
      </c>
    </row>
    <row r="46" spans="11:25" x14ac:dyDescent="0.25">
      <c r="K46" s="37" t="s">
        <v>62</v>
      </c>
      <c r="L46" s="38"/>
      <c r="N46" s="37" t="s">
        <v>101</v>
      </c>
      <c r="O46" s="38"/>
    </row>
    <row r="47" spans="11:25" x14ac:dyDescent="0.25">
      <c r="K47" s="12" t="s">
        <v>97</v>
      </c>
      <c r="L47" s="15">
        <f>L38</f>
        <v>480</v>
      </c>
      <c r="N47" s="12" t="s">
        <v>25</v>
      </c>
      <c r="O47" s="15">
        <f>L37-S43-S44</f>
        <v>34.375</v>
      </c>
    </row>
    <row r="48" spans="11:25" x14ac:dyDescent="0.25">
      <c r="K48" s="12" t="s">
        <v>100</v>
      </c>
      <c r="L48" s="15">
        <f>Y44</f>
        <v>445</v>
      </c>
      <c r="N48" s="12" t="s">
        <v>80</v>
      </c>
      <c r="O48" s="15">
        <f>L36-R43-R44</f>
        <v>11</v>
      </c>
    </row>
    <row r="49" spans="11:25" x14ac:dyDescent="0.25">
      <c r="K49" s="12" t="s">
        <v>99</v>
      </c>
      <c r="L49" s="15">
        <f>Y43</f>
        <v>325</v>
      </c>
    </row>
    <row r="51" spans="11:25" x14ac:dyDescent="0.25">
      <c r="K51" s="37" t="s">
        <v>66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1:25" x14ac:dyDescent="0.25">
      <c r="K52" s="5" t="s">
        <v>16</v>
      </c>
      <c r="L52" s="7" t="s">
        <v>22</v>
      </c>
      <c r="M52" s="7" t="s">
        <v>46</v>
      </c>
      <c r="N52" s="7" t="s">
        <v>26</v>
      </c>
      <c r="O52" s="7" t="s">
        <v>23</v>
      </c>
      <c r="P52" s="7" t="s">
        <v>47</v>
      </c>
      <c r="Q52" s="7" t="s">
        <v>28</v>
      </c>
      <c r="R52" s="7" t="s">
        <v>31</v>
      </c>
      <c r="S52" s="9" t="s">
        <v>32</v>
      </c>
      <c r="T52" s="7" t="s">
        <v>30</v>
      </c>
      <c r="U52" s="7" t="s">
        <v>48</v>
      </c>
      <c r="V52" s="7" t="s">
        <v>36</v>
      </c>
      <c r="W52" s="7" t="s">
        <v>35</v>
      </c>
      <c r="X52" s="7" t="s">
        <v>49</v>
      </c>
      <c r="Y52" s="9" t="s">
        <v>34</v>
      </c>
    </row>
    <row r="53" spans="11:25" x14ac:dyDescent="0.25">
      <c r="K53" s="12" t="s">
        <v>102</v>
      </c>
      <c r="L53" s="12">
        <v>10</v>
      </c>
      <c r="M53" s="12">
        <f>L53*2.5</f>
        <v>25</v>
      </c>
      <c r="N53" s="12" t="s">
        <v>100</v>
      </c>
      <c r="O53" s="12">
        <v>10</v>
      </c>
      <c r="P53" s="12">
        <f>O53*2.5</f>
        <v>25</v>
      </c>
      <c r="Q53" s="12" t="s">
        <v>99</v>
      </c>
      <c r="R53" s="12">
        <f>L49</f>
        <v>325</v>
      </c>
      <c r="S53" s="12">
        <f>O53*T53</f>
        <v>325</v>
      </c>
      <c r="T53" s="12">
        <f>R53/O53</f>
        <v>32.5</v>
      </c>
      <c r="U53" s="15">
        <f>R53/M53</f>
        <v>13</v>
      </c>
      <c r="V53" s="12" t="s">
        <v>102</v>
      </c>
      <c r="W53" s="12">
        <v>5</v>
      </c>
      <c r="X53" s="12">
        <f>W53*2.5</f>
        <v>12.5</v>
      </c>
      <c r="Y53" s="15">
        <f>W53*T53</f>
        <v>162.5</v>
      </c>
    </row>
    <row r="55" spans="11:25" x14ac:dyDescent="0.25">
      <c r="K55" s="37" t="s">
        <v>62</v>
      </c>
      <c r="L55" s="38"/>
    </row>
    <row r="56" spans="11:25" x14ac:dyDescent="0.25">
      <c r="K56" s="12" t="s">
        <v>97</v>
      </c>
      <c r="L56" s="15">
        <f>L47</f>
        <v>480</v>
      </c>
    </row>
    <row r="57" spans="11:25" x14ac:dyDescent="0.25">
      <c r="K57" s="12" t="s">
        <v>100</v>
      </c>
      <c r="L57" s="15">
        <f>L48-S53</f>
        <v>120</v>
      </c>
    </row>
    <row r="58" spans="11:25" x14ac:dyDescent="0.25">
      <c r="K58" s="12" t="s">
        <v>102</v>
      </c>
      <c r="L58" s="15">
        <f>Y53</f>
        <v>162.5</v>
      </c>
    </row>
    <row r="59" spans="11:25" x14ac:dyDescent="0.25">
      <c r="K59" s="12" t="s">
        <v>96</v>
      </c>
      <c r="L59" s="15">
        <f>L39</f>
        <v>444</v>
      </c>
    </row>
    <row r="62" spans="11:25" x14ac:dyDescent="0.25">
      <c r="K62" s="39" t="s">
        <v>73</v>
      </c>
      <c r="L62" s="40"/>
      <c r="N62" s="44" t="s">
        <v>40</v>
      </c>
      <c r="O62" s="45"/>
    </row>
    <row r="63" spans="11:25" x14ac:dyDescent="0.25">
      <c r="K63" s="12" t="s">
        <v>102</v>
      </c>
      <c r="L63" s="15">
        <f>L58</f>
        <v>162.5</v>
      </c>
      <c r="N63" s="12" t="s">
        <v>96</v>
      </c>
      <c r="O63" s="15">
        <f>L59</f>
        <v>444</v>
      </c>
    </row>
    <row r="64" spans="11:25" x14ac:dyDescent="0.25">
      <c r="K64" s="12" t="s">
        <v>2</v>
      </c>
      <c r="L64" s="15">
        <f>Q12</f>
        <v>3600</v>
      </c>
      <c r="N64" s="12" t="s">
        <v>97</v>
      </c>
      <c r="O64" s="15">
        <f>L56</f>
        <v>480</v>
      </c>
    </row>
    <row r="65" spans="11:15" x14ac:dyDescent="0.25">
      <c r="K65" s="12" t="s">
        <v>77</v>
      </c>
      <c r="L65" s="15">
        <f>Q13</f>
        <v>1200</v>
      </c>
      <c r="N65" s="12" t="s">
        <v>100</v>
      </c>
      <c r="O65" s="15">
        <f>L57</f>
        <v>120</v>
      </c>
    </row>
  </sheetData>
  <mergeCells count="18">
    <mergeCell ref="K17:Y17"/>
    <mergeCell ref="K21:L21"/>
    <mergeCell ref="K27:Y27"/>
    <mergeCell ref="K35:L35"/>
    <mergeCell ref="C3:S3"/>
    <mergeCell ref="C5:F5"/>
    <mergeCell ref="K5:Y5"/>
    <mergeCell ref="C11:D11"/>
    <mergeCell ref="K11:L11"/>
    <mergeCell ref="N11:Q11"/>
    <mergeCell ref="K55:L55"/>
    <mergeCell ref="N35:O35"/>
    <mergeCell ref="N62:O62"/>
    <mergeCell ref="K41:Y41"/>
    <mergeCell ref="K46:L46"/>
    <mergeCell ref="K62:L62"/>
    <mergeCell ref="N46:O46"/>
    <mergeCell ref="K51:Y51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271C-8BFB-4DCE-A46D-C7A7ACDE5632}">
  <sheetPr>
    <tabColor rgb="FFFFFF00"/>
  </sheetPr>
  <dimension ref="C1:W38"/>
  <sheetViews>
    <sheetView topLeftCell="G1" zoomScale="85" zoomScaleNormal="85" workbookViewId="0">
      <selection activeCell="M37" sqref="M37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1.5703125" style="13" bestFit="1" customWidth="1"/>
    <col min="7" max="7" width="21.5703125" style="13" customWidth="1"/>
    <col min="8" max="8" width="9.85546875" style="13" bestFit="1" customWidth="1"/>
    <col min="9" max="9" width="29" style="13" bestFit="1" customWidth="1"/>
    <col min="10" max="10" width="29.140625" style="13" bestFit="1" customWidth="1"/>
    <col min="11" max="11" width="37.42578125" style="13" bestFit="1" customWidth="1"/>
    <col min="12" max="12" width="14.85546875" style="13" bestFit="1" customWidth="1"/>
    <col min="13" max="13" width="29" style="13" bestFit="1" customWidth="1"/>
    <col min="14" max="14" width="31.85546875" style="13" bestFit="1" customWidth="1"/>
    <col min="15" max="16" width="16.28515625" style="13" bestFit="1" customWidth="1"/>
    <col min="17" max="17" width="27.140625" style="13" bestFit="1" customWidth="1"/>
    <col min="18" max="18" width="20" style="13" bestFit="1" customWidth="1"/>
    <col min="19" max="19" width="18.85546875" style="13" bestFit="1" customWidth="1"/>
    <col min="20" max="20" width="23.140625" style="13" bestFit="1" customWidth="1"/>
    <col min="21" max="21" width="14" style="13" bestFit="1" customWidth="1"/>
    <col min="22" max="22" width="16.140625" style="13" bestFit="1" customWidth="1"/>
    <col min="23" max="23" width="12.42578125" style="13" bestFit="1" customWidth="1"/>
    <col min="24" max="24" width="9.140625" style="13"/>
    <col min="25" max="25" width="10" style="13" bestFit="1" customWidth="1"/>
    <col min="26" max="16384" width="9.140625" style="13"/>
  </cols>
  <sheetData>
    <row r="1" spans="3:23" ht="8.25" customHeight="1" x14ac:dyDescent="0.25"/>
    <row r="2" spans="3:23" ht="8.25" customHeight="1" x14ac:dyDescent="0.25"/>
    <row r="3" spans="3:23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14"/>
      <c r="S3" s="14"/>
      <c r="T3" s="14"/>
    </row>
    <row r="4" spans="3:23" ht="24" thickTop="1" x14ac:dyDescent="0.35">
      <c r="R4" s="14"/>
      <c r="S4" s="14"/>
      <c r="T4" s="14"/>
    </row>
    <row r="5" spans="3:23" x14ac:dyDescent="0.25">
      <c r="C5" s="35" t="s">
        <v>38</v>
      </c>
      <c r="D5" s="36"/>
      <c r="E5" s="36"/>
      <c r="F5" s="36"/>
      <c r="G5" s="17"/>
      <c r="I5" s="37" t="s">
        <v>45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3:23" x14ac:dyDescent="0.25">
      <c r="C6" s="5" t="s">
        <v>16</v>
      </c>
      <c r="D6" s="5" t="s">
        <v>134</v>
      </c>
      <c r="E6" s="5" t="s">
        <v>6</v>
      </c>
      <c r="F6" s="5" t="s">
        <v>3</v>
      </c>
      <c r="G6" s="8" t="s">
        <v>135</v>
      </c>
      <c r="I6" s="5" t="s">
        <v>16</v>
      </c>
      <c r="J6" s="7" t="s">
        <v>22</v>
      </c>
      <c r="K6" s="7" t="s">
        <v>46</v>
      </c>
      <c r="L6" s="7" t="s">
        <v>26</v>
      </c>
      <c r="M6" s="7" t="s">
        <v>23</v>
      </c>
      <c r="N6" s="7" t="s">
        <v>47</v>
      </c>
      <c r="O6" s="7" t="s">
        <v>28</v>
      </c>
      <c r="P6" s="7" t="s">
        <v>31</v>
      </c>
      <c r="Q6" s="9" t="s">
        <v>32</v>
      </c>
      <c r="R6" s="7" t="s">
        <v>30</v>
      </c>
      <c r="S6" s="7" t="s">
        <v>48</v>
      </c>
      <c r="T6" s="7" t="s">
        <v>36</v>
      </c>
      <c r="U6" s="7" t="s">
        <v>35</v>
      </c>
      <c r="V6" s="7" t="s">
        <v>49</v>
      </c>
      <c r="W6" s="9" t="s">
        <v>34</v>
      </c>
    </row>
    <row r="7" spans="3:23" x14ac:dyDescent="0.25">
      <c r="C7" s="6" t="s">
        <v>14</v>
      </c>
      <c r="D7" s="6">
        <v>0</v>
      </c>
      <c r="E7" s="6">
        <v>0</v>
      </c>
      <c r="F7" s="6">
        <v>0</v>
      </c>
      <c r="G7" s="6">
        <v>2</v>
      </c>
      <c r="I7" s="12" t="s">
        <v>139</v>
      </c>
      <c r="J7" s="12">
        <v>15</v>
      </c>
      <c r="K7" s="12">
        <f>J7*2.5</f>
        <v>37.5</v>
      </c>
      <c r="L7" s="12" t="s">
        <v>1</v>
      </c>
      <c r="M7" s="12">
        <v>10</v>
      </c>
      <c r="N7" s="12"/>
      <c r="O7" s="12" t="s">
        <v>135</v>
      </c>
      <c r="P7" s="12">
        <f>D13</f>
        <v>1800</v>
      </c>
      <c r="Q7" s="12">
        <f>R7*M7</f>
        <v>1200</v>
      </c>
      <c r="R7" s="12">
        <f>P7/J7</f>
        <v>120</v>
      </c>
      <c r="S7" s="15">
        <f>P7/K7</f>
        <v>48</v>
      </c>
      <c r="T7" s="12" t="s">
        <v>19</v>
      </c>
      <c r="U7" s="12">
        <v>37.5</v>
      </c>
      <c r="V7" s="12">
        <f>U7*2.5</f>
        <v>93.75</v>
      </c>
      <c r="W7" s="15">
        <f>U7*R7</f>
        <v>4500</v>
      </c>
    </row>
    <row r="8" spans="3:23" x14ac:dyDescent="0.25">
      <c r="C8" s="6" t="s">
        <v>13</v>
      </c>
      <c r="D8" s="6">
        <v>1</v>
      </c>
      <c r="E8" s="6">
        <v>3</v>
      </c>
      <c r="F8" s="6">
        <v>1</v>
      </c>
      <c r="G8" s="6">
        <v>1</v>
      </c>
      <c r="I8" s="12" t="s">
        <v>140</v>
      </c>
      <c r="J8" s="12">
        <v>22.5</v>
      </c>
      <c r="K8" s="12">
        <f>J8*2.5</f>
        <v>56.25</v>
      </c>
      <c r="L8" s="12" t="s">
        <v>142</v>
      </c>
      <c r="M8" s="12"/>
      <c r="N8" s="12"/>
      <c r="O8" s="12"/>
      <c r="P8" s="12">
        <v>1440</v>
      </c>
      <c r="Q8" s="12"/>
      <c r="R8" s="12">
        <f>P8/J8</f>
        <v>64</v>
      </c>
      <c r="S8" s="15">
        <f>P8/J8</f>
        <v>64</v>
      </c>
      <c r="T8" s="12" t="s">
        <v>140</v>
      </c>
      <c r="U8" s="12">
        <v>37.5</v>
      </c>
      <c r="V8" s="12">
        <f>U8*2.5</f>
        <v>93.75</v>
      </c>
      <c r="W8" s="15">
        <f>U8*R8</f>
        <v>2400</v>
      </c>
    </row>
    <row r="9" spans="3:23" x14ac:dyDescent="0.25">
      <c r="C9" s="6" t="s">
        <v>12</v>
      </c>
      <c r="D9" s="6">
        <v>1</v>
      </c>
      <c r="E9" s="6">
        <v>0</v>
      </c>
      <c r="F9" s="6">
        <v>0</v>
      </c>
      <c r="G9" s="6">
        <v>11</v>
      </c>
      <c r="I9" s="12" t="s">
        <v>141</v>
      </c>
      <c r="J9" s="12">
        <v>22.5</v>
      </c>
      <c r="K9" s="12">
        <f>J9*2</f>
        <v>45</v>
      </c>
      <c r="L9" s="12" t="s">
        <v>142</v>
      </c>
      <c r="M9" s="12">
        <v>37.5</v>
      </c>
      <c r="N9" s="12">
        <f>M9*2</f>
        <v>75</v>
      </c>
      <c r="O9" s="12" t="s">
        <v>3</v>
      </c>
      <c r="P9" s="12">
        <v>360</v>
      </c>
      <c r="Q9" s="12">
        <v>600</v>
      </c>
      <c r="R9" s="12">
        <f>P9/J9</f>
        <v>16</v>
      </c>
      <c r="S9" s="15">
        <f>P9/K9</f>
        <v>8</v>
      </c>
      <c r="T9" s="12" t="s">
        <v>140</v>
      </c>
      <c r="U9" s="12">
        <v>52.5</v>
      </c>
      <c r="V9" s="12">
        <f>U9*2</f>
        <v>105</v>
      </c>
      <c r="W9" s="15">
        <f>U9*R9</f>
        <v>840</v>
      </c>
    </row>
    <row r="11" spans="3:23" x14ac:dyDescent="0.25">
      <c r="C11" s="35" t="s">
        <v>41</v>
      </c>
      <c r="D11" s="36"/>
      <c r="I11" s="37" t="s">
        <v>50</v>
      </c>
      <c r="J11" s="38"/>
      <c r="L11" s="42" t="s">
        <v>51</v>
      </c>
      <c r="M11" s="43"/>
      <c r="N11" s="43"/>
      <c r="O11" s="43"/>
    </row>
    <row r="12" spans="3:23" x14ac:dyDescent="0.25">
      <c r="C12" s="5" t="s">
        <v>16</v>
      </c>
      <c r="D12" s="5" t="s">
        <v>42</v>
      </c>
      <c r="I12" s="12" t="s">
        <v>19</v>
      </c>
      <c r="J12" s="15">
        <f>W7</f>
        <v>4500</v>
      </c>
      <c r="L12" s="12" t="s">
        <v>1</v>
      </c>
      <c r="M12" s="15">
        <f>D13-P7</f>
        <v>0</v>
      </c>
      <c r="N12" s="12" t="s">
        <v>135</v>
      </c>
      <c r="O12" s="15">
        <f>D21-Q7</f>
        <v>2400</v>
      </c>
    </row>
    <row r="13" spans="3:23" x14ac:dyDescent="0.25">
      <c r="C13" s="11" t="s">
        <v>6</v>
      </c>
      <c r="D13" s="6">
        <f>(E7*MinerOutputValues!D25) + (E8*MinerOutputValues!D26) + (E9*MinerOutputValues!D27)</f>
        <v>1800</v>
      </c>
      <c r="I13" s="12" t="s">
        <v>140</v>
      </c>
      <c r="J13" s="15">
        <f>W8+W9</f>
        <v>3240</v>
      </c>
      <c r="L13" s="12" t="s">
        <v>3</v>
      </c>
      <c r="M13" s="15">
        <f>D14-Q9</f>
        <v>0</v>
      </c>
    </row>
    <row r="14" spans="3:23" x14ac:dyDescent="0.25">
      <c r="C14" s="11" t="s">
        <v>3</v>
      </c>
      <c r="D14" s="6">
        <f>(F7*MinerOutputValues!D25) + (F8*MinerOutputValues!D26) + (F9*MinerOutputValues!D27)</f>
        <v>600</v>
      </c>
      <c r="L14" s="12" t="s">
        <v>134</v>
      </c>
      <c r="M14" s="15">
        <f>D15-P8-P9</f>
        <v>0</v>
      </c>
    </row>
    <row r="15" spans="3:23" x14ac:dyDescent="0.25">
      <c r="C15" s="11" t="s">
        <v>134</v>
      </c>
      <c r="D15" s="6">
        <f>(D7*MinerOutputValues!D25) + (D8*MinerOutputValues!D26) + (D9*MinerOutputValues!D27)</f>
        <v>1800</v>
      </c>
    </row>
    <row r="17" spans="3:23" x14ac:dyDescent="0.25">
      <c r="I17" s="37" t="s">
        <v>66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3:23" x14ac:dyDescent="0.25">
      <c r="C18" s="35" t="s">
        <v>137</v>
      </c>
      <c r="D18" s="36"/>
      <c r="I18" s="5" t="s">
        <v>16</v>
      </c>
      <c r="J18" s="7" t="s">
        <v>22</v>
      </c>
      <c r="K18" s="7" t="s">
        <v>46</v>
      </c>
      <c r="L18" s="7" t="s">
        <v>26</v>
      </c>
      <c r="M18" s="7" t="s">
        <v>23</v>
      </c>
      <c r="N18" s="7" t="s">
        <v>47</v>
      </c>
      <c r="O18" s="7" t="s">
        <v>28</v>
      </c>
      <c r="P18" s="7" t="s">
        <v>31</v>
      </c>
      <c r="Q18" s="9" t="s">
        <v>32</v>
      </c>
      <c r="R18" s="7" t="s">
        <v>30</v>
      </c>
      <c r="S18" s="7" t="s">
        <v>48</v>
      </c>
      <c r="T18" s="7" t="s">
        <v>36</v>
      </c>
      <c r="U18" s="7" t="s">
        <v>35</v>
      </c>
      <c r="V18" s="7" t="s">
        <v>49</v>
      </c>
      <c r="W18" s="9" t="s">
        <v>34</v>
      </c>
    </row>
    <row r="19" spans="3:23" x14ac:dyDescent="0.25">
      <c r="C19" s="5" t="s">
        <v>16</v>
      </c>
      <c r="D19" s="5" t="s">
        <v>42</v>
      </c>
      <c r="I19" s="12" t="s">
        <v>143</v>
      </c>
      <c r="J19" s="12">
        <v>22.5</v>
      </c>
      <c r="K19" s="12">
        <f>J19*2.5</f>
        <v>56.25</v>
      </c>
      <c r="L19" s="12" t="s">
        <v>19</v>
      </c>
      <c r="M19" s="12">
        <v>22.5</v>
      </c>
      <c r="N19" s="12">
        <f>M19*2.5</f>
        <v>56.25</v>
      </c>
      <c r="O19" s="12" t="s">
        <v>135</v>
      </c>
      <c r="P19" s="12">
        <f>J19*R19</f>
        <v>1980</v>
      </c>
      <c r="Q19" s="12">
        <f>R19*M19</f>
        <v>1980</v>
      </c>
      <c r="R19" s="12">
        <v>88</v>
      </c>
      <c r="S19" s="15">
        <f>P19/K19</f>
        <v>35.200000000000003</v>
      </c>
      <c r="T19" s="12" t="s">
        <v>145</v>
      </c>
      <c r="U19" s="12">
        <v>25</v>
      </c>
      <c r="V19" s="12">
        <f>U19*2.5</f>
        <v>62.5</v>
      </c>
      <c r="W19" s="15">
        <f>U19*R19</f>
        <v>2200</v>
      </c>
    </row>
    <row r="20" spans="3:23" x14ac:dyDescent="0.25">
      <c r="C20" s="8"/>
      <c r="D20" s="5"/>
      <c r="I20" s="12" t="s">
        <v>144</v>
      </c>
      <c r="J20" s="12">
        <v>20</v>
      </c>
      <c r="K20" s="12">
        <f>J20*2.5</f>
        <v>50</v>
      </c>
      <c r="L20" s="12" t="s">
        <v>19</v>
      </c>
      <c r="M20" s="12"/>
      <c r="N20" s="12"/>
      <c r="O20" s="12"/>
      <c r="P20" s="12">
        <f>R20*J20</f>
        <v>2520</v>
      </c>
      <c r="Q20" s="12">
        <f>R20*M20</f>
        <v>0</v>
      </c>
      <c r="R20" s="12">
        <v>126</v>
      </c>
      <c r="S20" s="15">
        <f>P20/K20</f>
        <v>50.4</v>
      </c>
      <c r="T20" s="12" t="s">
        <v>145</v>
      </c>
      <c r="U20" s="12">
        <v>10</v>
      </c>
      <c r="V20" s="12">
        <f>U20*2.5</f>
        <v>25</v>
      </c>
      <c r="W20" s="15">
        <f>U20*R20</f>
        <v>1260</v>
      </c>
    </row>
    <row r="21" spans="3:23" x14ac:dyDescent="0.25">
      <c r="C21" s="11" t="s">
        <v>135</v>
      </c>
      <c r="D21" s="6">
        <f>(G7*MinerOutputValues!G19) + (G8*MinerOutputValues!G20) + (G9*MinerOutputValues!G21)</f>
        <v>3600</v>
      </c>
    </row>
    <row r="22" spans="3:23" x14ac:dyDescent="0.25">
      <c r="I22" s="37" t="s">
        <v>62</v>
      </c>
      <c r="J22" s="38"/>
    </row>
    <row r="23" spans="3:23" x14ac:dyDescent="0.25">
      <c r="I23" s="12" t="s">
        <v>144</v>
      </c>
      <c r="J23" s="15">
        <f>W19+W20</f>
        <v>3460</v>
      </c>
    </row>
    <row r="24" spans="3:23" x14ac:dyDescent="0.25">
      <c r="I24" s="19" t="s">
        <v>140</v>
      </c>
      <c r="J24" s="20">
        <f>J13</f>
        <v>3240</v>
      </c>
    </row>
    <row r="26" spans="3:23" x14ac:dyDescent="0.25">
      <c r="I26" s="37" t="s">
        <v>66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3:23" x14ac:dyDescent="0.25">
      <c r="I27" s="5" t="s">
        <v>16</v>
      </c>
      <c r="J27" s="7" t="s">
        <v>22</v>
      </c>
      <c r="K27" s="7" t="s">
        <v>46</v>
      </c>
      <c r="L27" s="7" t="s">
        <v>26</v>
      </c>
      <c r="M27" s="7" t="s">
        <v>23</v>
      </c>
      <c r="N27" s="7" t="s">
        <v>47</v>
      </c>
      <c r="O27" s="7" t="s">
        <v>28</v>
      </c>
      <c r="P27" s="7" t="s">
        <v>31</v>
      </c>
      <c r="Q27" s="9" t="s">
        <v>32</v>
      </c>
      <c r="R27" s="7" t="s">
        <v>30</v>
      </c>
      <c r="S27" s="7" t="s">
        <v>48</v>
      </c>
      <c r="T27" s="7" t="s">
        <v>36</v>
      </c>
      <c r="U27" s="7" t="s">
        <v>35</v>
      </c>
      <c r="V27" s="7" t="s">
        <v>49</v>
      </c>
      <c r="W27" s="9" t="s">
        <v>34</v>
      </c>
    </row>
    <row r="28" spans="3:23" x14ac:dyDescent="0.25">
      <c r="I28" s="12" t="s">
        <v>147</v>
      </c>
      <c r="J28" s="12">
        <v>27.5</v>
      </c>
      <c r="K28" s="12">
        <f>J28*2.5</f>
        <v>68.75</v>
      </c>
      <c r="L28" s="12" t="s">
        <v>144</v>
      </c>
      <c r="M28" s="12">
        <v>27.5</v>
      </c>
      <c r="N28" s="12">
        <f>M28*2.5</f>
        <v>68.75</v>
      </c>
      <c r="O28" s="12" t="s">
        <v>140</v>
      </c>
      <c r="P28" s="12">
        <f>R28*J28</f>
        <v>3190</v>
      </c>
      <c r="Q28" s="12">
        <f>J24</f>
        <v>3240</v>
      </c>
      <c r="R28" s="12">
        <v>116</v>
      </c>
      <c r="S28" s="15">
        <f>P28/K28</f>
        <v>46.4</v>
      </c>
      <c r="T28" s="12" t="s">
        <v>146</v>
      </c>
      <c r="U28" s="12">
        <v>12.5</v>
      </c>
      <c r="V28" s="12">
        <f>U28*2.5</f>
        <v>31.25</v>
      </c>
      <c r="W28" s="15">
        <f>U28*R28</f>
        <v>1450</v>
      </c>
    </row>
    <row r="30" spans="3:23" x14ac:dyDescent="0.25">
      <c r="I30" s="37" t="s">
        <v>62</v>
      </c>
      <c r="J30" s="38"/>
    </row>
    <row r="31" spans="3:23" x14ac:dyDescent="0.25">
      <c r="I31" s="12" t="s">
        <v>148</v>
      </c>
      <c r="J31" s="15">
        <f>W28</f>
        <v>1450</v>
      </c>
    </row>
    <row r="33" spans="7:11" x14ac:dyDescent="0.25">
      <c r="I33" s="39" t="s">
        <v>73</v>
      </c>
      <c r="J33" s="40"/>
      <c r="K33" s="41"/>
    </row>
    <row r="34" spans="7:11" x14ac:dyDescent="0.25">
      <c r="G34" s="13" t="s">
        <v>138</v>
      </c>
      <c r="I34" s="12" t="s">
        <v>148</v>
      </c>
      <c r="J34" s="15">
        <v>1200</v>
      </c>
      <c r="K34" s="12" t="s">
        <v>149</v>
      </c>
    </row>
    <row r="36" spans="7:11" x14ac:dyDescent="0.25">
      <c r="I36" s="35" t="s">
        <v>40</v>
      </c>
      <c r="J36" s="36"/>
    </row>
    <row r="37" spans="7:11" x14ac:dyDescent="0.25">
      <c r="I37" s="12" t="s">
        <v>146</v>
      </c>
      <c r="J37" s="15">
        <f>J31-J34</f>
        <v>250</v>
      </c>
    </row>
    <row r="38" spans="7:11" x14ac:dyDescent="0.25">
      <c r="I38" s="12" t="s">
        <v>151</v>
      </c>
      <c r="J38" s="15">
        <f>J23-P28</f>
        <v>270</v>
      </c>
    </row>
  </sheetData>
  <mergeCells count="13">
    <mergeCell ref="I36:J36"/>
    <mergeCell ref="I17:W17"/>
    <mergeCell ref="I22:J22"/>
    <mergeCell ref="I26:W26"/>
    <mergeCell ref="I30:J30"/>
    <mergeCell ref="I33:K33"/>
    <mergeCell ref="C18:D18"/>
    <mergeCell ref="C3:Q3"/>
    <mergeCell ref="C5:F5"/>
    <mergeCell ref="I5:W5"/>
    <mergeCell ref="C11:D11"/>
    <mergeCell ref="I11:J11"/>
    <mergeCell ref="L11:O11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CE3F-3EE5-4A1F-A70D-EA0ECA47D312}">
  <sheetPr>
    <tabColor rgb="FFFFFF00"/>
  </sheetPr>
  <dimension ref="C1:X68"/>
  <sheetViews>
    <sheetView topLeftCell="L1" zoomScale="85" zoomScaleNormal="85" workbookViewId="0">
      <selection activeCell="F28" sqref="F28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57.85546875" style="13" bestFit="1" customWidth="1"/>
    <col min="6" max="6" width="21.5703125" style="13" bestFit="1" customWidth="1"/>
    <col min="7" max="7" width="13.140625" style="13" customWidth="1"/>
    <col min="8" max="8" width="29" style="13" bestFit="1" customWidth="1"/>
    <col min="9" max="9" width="29.140625" style="13" bestFit="1" customWidth="1"/>
    <col min="10" max="10" width="37.42578125" style="13" bestFit="1" customWidth="1"/>
    <col min="11" max="11" width="14.85546875" style="13" bestFit="1" customWidth="1"/>
    <col min="12" max="12" width="29" style="13" bestFit="1" customWidth="1"/>
    <col min="13" max="13" width="31.85546875" style="13" bestFit="1" customWidth="1"/>
    <col min="14" max="15" width="16.28515625" style="13" bestFit="1" customWidth="1"/>
    <col min="16" max="16" width="27.140625" style="13" bestFit="1" customWidth="1"/>
    <col min="17" max="17" width="20" style="13" bestFit="1" customWidth="1"/>
    <col min="18" max="18" width="18.85546875" style="13" bestFit="1" customWidth="1"/>
    <col min="19" max="19" width="23.140625" style="13" bestFit="1" customWidth="1"/>
    <col min="20" max="20" width="14" style="13" bestFit="1" customWidth="1"/>
    <col min="21" max="21" width="16.140625" style="13" bestFit="1" customWidth="1"/>
    <col min="22" max="22" width="12.42578125" style="13" bestFit="1" customWidth="1"/>
    <col min="23" max="23" width="9.140625" style="13"/>
    <col min="24" max="24" width="10" style="13" bestFit="1" customWidth="1"/>
    <col min="25" max="16384" width="9.140625" style="13"/>
  </cols>
  <sheetData>
    <row r="1" spans="3:21" ht="8.25" customHeight="1" x14ac:dyDescent="0.25"/>
    <row r="2" spans="3:21" ht="8.25" customHeight="1" x14ac:dyDescent="0.25"/>
    <row r="3" spans="3:21" ht="29.25" thickBot="1" x14ac:dyDescent="0.4">
      <c r="C3" s="34" t="s">
        <v>225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4"/>
      <c r="R3" s="14"/>
      <c r="S3" s="14"/>
    </row>
    <row r="4" spans="3:21" ht="24" thickTop="1" x14ac:dyDescent="0.35">
      <c r="Q4" s="14"/>
      <c r="R4" s="14"/>
      <c r="S4" s="14"/>
    </row>
    <row r="5" spans="3:21" x14ac:dyDescent="0.25">
      <c r="C5" s="35" t="s">
        <v>38</v>
      </c>
      <c r="D5" s="36"/>
      <c r="E5" s="36"/>
      <c r="F5" s="36"/>
      <c r="H5" s="37" t="s">
        <v>173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spans="3:21" x14ac:dyDescent="0.25">
      <c r="C6" s="5" t="s">
        <v>16</v>
      </c>
      <c r="D6" s="5" t="s">
        <v>159</v>
      </c>
      <c r="E6" s="5" t="s">
        <v>78</v>
      </c>
      <c r="F6" s="5" t="s">
        <v>6</v>
      </c>
      <c r="H6" s="5" t="s">
        <v>16</v>
      </c>
      <c r="I6" s="7" t="s">
        <v>22</v>
      </c>
      <c r="J6" s="7" t="s">
        <v>26</v>
      </c>
      <c r="K6" s="7" t="s">
        <v>23</v>
      </c>
      <c r="L6" s="7" t="s">
        <v>28</v>
      </c>
      <c r="M6" s="7" t="s">
        <v>31</v>
      </c>
      <c r="N6" s="9" t="s">
        <v>32</v>
      </c>
      <c r="O6" s="7" t="s">
        <v>30</v>
      </c>
      <c r="P6" s="7" t="s">
        <v>36</v>
      </c>
      <c r="Q6" s="7" t="s">
        <v>35</v>
      </c>
      <c r="R6" s="9" t="s">
        <v>34</v>
      </c>
      <c r="S6" s="7" t="s">
        <v>174</v>
      </c>
      <c r="T6" s="7" t="s">
        <v>175</v>
      </c>
      <c r="U6" s="9" t="s">
        <v>176</v>
      </c>
    </row>
    <row r="7" spans="3:21" x14ac:dyDescent="0.25">
      <c r="C7" s="6" t="s">
        <v>14</v>
      </c>
      <c r="D7" s="6">
        <v>0</v>
      </c>
      <c r="E7" s="6">
        <v>0</v>
      </c>
      <c r="F7" s="6">
        <v>0</v>
      </c>
      <c r="H7" s="6" t="s">
        <v>177</v>
      </c>
      <c r="I7" s="6">
        <v>15</v>
      </c>
      <c r="J7" s="6" t="s">
        <v>1</v>
      </c>
      <c r="K7" s="6">
        <v>10</v>
      </c>
      <c r="L7" s="6" t="s">
        <v>135</v>
      </c>
      <c r="M7" s="6">
        <f>SUM(I7*O7)</f>
        <v>600</v>
      </c>
      <c r="N7" s="6">
        <f>K7*Q7</f>
        <v>375</v>
      </c>
      <c r="O7" s="6">
        <v>40</v>
      </c>
      <c r="P7" s="6" t="s">
        <v>19</v>
      </c>
      <c r="Q7" s="6">
        <v>37.5</v>
      </c>
      <c r="R7" s="6">
        <f>Q7*O7</f>
        <v>1500</v>
      </c>
      <c r="S7" s="6"/>
      <c r="T7" s="6"/>
      <c r="U7" s="6"/>
    </row>
    <row r="8" spans="3:21" x14ac:dyDescent="0.25">
      <c r="C8" s="6" t="s">
        <v>13</v>
      </c>
      <c r="D8" s="6">
        <v>1</v>
      </c>
      <c r="E8" s="6">
        <v>0</v>
      </c>
      <c r="F8" s="6">
        <v>1</v>
      </c>
      <c r="H8" s="6" t="s">
        <v>178</v>
      </c>
      <c r="I8" s="6">
        <v>60</v>
      </c>
      <c r="J8" s="6" t="s">
        <v>179</v>
      </c>
      <c r="K8" s="6"/>
      <c r="L8" s="6"/>
      <c r="M8" s="6">
        <f>SUM(I8*O8)</f>
        <v>738.6</v>
      </c>
      <c r="N8" s="6"/>
      <c r="O8" s="6">
        <v>12.31</v>
      </c>
      <c r="P8" s="6" t="s">
        <v>180</v>
      </c>
      <c r="Q8" s="6">
        <v>130</v>
      </c>
      <c r="R8" s="6">
        <f>Q8*O8</f>
        <v>1600.3</v>
      </c>
      <c r="S8" s="6" t="s">
        <v>181</v>
      </c>
      <c r="T8" s="6">
        <v>20</v>
      </c>
      <c r="U8" s="6">
        <f>T8*O8</f>
        <v>246.20000000000002</v>
      </c>
    </row>
    <row r="9" spans="3:21" x14ac:dyDescent="0.25">
      <c r="C9" s="6" t="s">
        <v>12</v>
      </c>
      <c r="D9" s="6">
        <v>2</v>
      </c>
      <c r="E9" s="6">
        <v>1</v>
      </c>
      <c r="F9" s="6">
        <v>0</v>
      </c>
      <c r="H9" s="6" t="s">
        <v>182</v>
      </c>
      <c r="I9" s="6">
        <v>30</v>
      </c>
      <c r="J9" s="6" t="s">
        <v>179</v>
      </c>
      <c r="K9" s="6"/>
      <c r="L9" s="6"/>
      <c r="M9" s="6">
        <f>SUM(I9*O9)</f>
        <v>864.3</v>
      </c>
      <c r="N9" s="6"/>
      <c r="O9" s="6">
        <v>28.81</v>
      </c>
      <c r="P9" s="6" t="s">
        <v>180</v>
      </c>
      <c r="Q9" s="6">
        <v>20</v>
      </c>
      <c r="R9" s="6">
        <f>Q9*O9</f>
        <v>576.19999999999993</v>
      </c>
      <c r="S9" s="6" t="s">
        <v>181</v>
      </c>
      <c r="T9" s="6">
        <v>40</v>
      </c>
      <c r="U9" s="6">
        <f>T9*O9</f>
        <v>1152.3999999999999</v>
      </c>
    </row>
    <row r="10" spans="3:21" x14ac:dyDescent="0.25">
      <c r="H10" s="6" t="s">
        <v>183</v>
      </c>
      <c r="I10" s="6">
        <v>30</v>
      </c>
      <c r="J10" s="6" t="s">
        <v>179</v>
      </c>
      <c r="K10" s="6"/>
      <c r="L10" s="6"/>
      <c r="M10" s="6">
        <f>SUM(I10*O10)</f>
        <v>197.10000000000002</v>
      </c>
      <c r="N10" s="6"/>
      <c r="O10" s="6">
        <v>6.57</v>
      </c>
      <c r="P10" s="6" t="s">
        <v>170</v>
      </c>
      <c r="Q10" s="6">
        <v>20</v>
      </c>
      <c r="R10" s="6">
        <f>Q10*O10</f>
        <v>131.4</v>
      </c>
      <c r="S10" s="6" t="s">
        <v>181</v>
      </c>
      <c r="T10" s="6">
        <v>10</v>
      </c>
      <c r="U10" s="6">
        <f>T10*O10</f>
        <v>65.7</v>
      </c>
    </row>
    <row r="11" spans="3:21" x14ac:dyDescent="0.25">
      <c r="C11" s="35" t="s">
        <v>160</v>
      </c>
      <c r="D11" s="36"/>
      <c r="E11" s="36"/>
      <c r="H11" s="6" t="s">
        <v>184</v>
      </c>
      <c r="I11" s="6">
        <v>200</v>
      </c>
      <c r="J11" s="6" t="s">
        <v>185</v>
      </c>
      <c r="K11" s="6">
        <v>200</v>
      </c>
      <c r="L11" s="6" t="s">
        <v>135</v>
      </c>
      <c r="M11" s="6">
        <f>SUM(I11*O11)</f>
        <v>2160</v>
      </c>
      <c r="N11" s="6">
        <f>K11*O11</f>
        <v>2160</v>
      </c>
      <c r="O11" s="6">
        <v>10.8</v>
      </c>
      <c r="P11" s="6" t="s">
        <v>186</v>
      </c>
      <c r="Q11" s="6">
        <v>240</v>
      </c>
      <c r="R11" s="6">
        <f>Q11*O11</f>
        <v>2592</v>
      </c>
      <c r="S11" s="6"/>
      <c r="T11" s="6"/>
      <c r="U11" s="6"/>
    </row>
    <row r="12" spans="3:21" x14ac:dyDescent="0.25">
      <c r="C12" s="5" t="s">
        <v>16</v>
      </c>
      <c r="D12" s="5" t="s">
        <v>162</v>
      </c>
      <c r="E12" s="5" t="s">
        <v>163</v>
      </c>
    </row>
    <row r="13" spans="3:21" x14ac:dyDescent="0.25">
      <c r="C13" s="6" t="s">
        <v>14</v>
      </c>
      <c r="D13" s="6">
        <v>0</v>
      </c>
      <c r="E13" s="6">
        <v>2</v>
      </c>
      <c r="H13" s="35" t="s">
        <v>187</v>
      </c>
      <c r="I13" s="36"/>
      <c r="K13" s="35" t="s">
        <v>188</v>
      </c>
      <c r="L13" s="36"/>
    </row>
    <row r="14" spans="3:21" x14ac:dyDescent="0.25">
      <c r="C14" s="6" t="s">
        <v>13</v>
      </c>
      <c r="D14" s="6">
        <v>2</v>
      </c>
      <c r="E14" s="6">
        <v>3</v>
      </c>
      <c r="H14" s="5" t="s">
        <v>189</v>
      </c>
      <c r="I14" s="6">
        <f>R7</f>
        <v>1500</v>
      </c>
      <c r="K14" s="5" t="s">
        <v>1</v>
      </c>
      <c r="L14" s="6">
        <f>SUM(B10-M7)</f>
        <v>-600</v>
      </c>
    </row>
    <row r="15" spans="3:21" x14ac:dyDescent="0.25">
      <c r="C15" s="6" t="s">
        <v>12</v>
      </c>
      <c r="D15" s="6">
        <v>2</v>
      </c>
      <c r="E15" s="6">
        <v>1</v>
      </c>
      <c r="H15" s="5" t="s">
        <v>190</v>
      </c>
      <c r="I15" s="6">
        <f>R8+R9</f>
        <v>2176.5</v>
      </c>
      <c r="K15" s="5" t="s">
        <v>179</v>
      </c>
      <c r="L15" s="6">
        <f>SUM(D10-(M8+M9+M10))</f>
        <v>-1800</v>
      </c>
    </row>
    <row r="16" spans="3:21" x14ac:dyDescent="0.25">
      <c r="H16" s="5" t="s">
        <v>191</v>
      </c>
      <c r="I16" s="6">
        <f>SUM(U8:U10)</f>
        <v>1464.3</v>
      </c>
      <c r="K16" s="5" t="s">
        <v>159</v>
      </c>
      <c r="L16" s="6">
        <f>SUM(C10-M11)</f>
        <v>-2160</v>
      </c>
    </row>
    <row r="17" spans="3:21" x14ac:dyDescent="0.25">
      <c r="C17" s="11" t="s">
        <v>164</v>
      </c>
      <c r="D17" s="6">
        <f>(D13*MinerOutputValues!J19) + (D14*MinerOutputValues!J20) + (D15*MinerOutputValues!J21)</f>
        <v>1800</v>
      </c>
      <c r="H17" s="5" t="s">
        <v>192</v>
      </c>
      <c r="I17" s="6">
        <f>R10</f>
        <v>131.4</v>
      </c>
      <c r="K17" s="5" t="s">
        <v>78</v>
      </c>
      <c r="L17" s="6">
        <f>E10</f>
        <v>0</v>
      </c>
    </row>
    <row r="18" spans="3:21" x14ac:dyDescent="0.25">
      <c r="C18" s="11" t="s">
        <v>165</v>
      </c>
      <c r="D18" s="6">
        <f>(E13*MinerOutputValues!G19) + (E14*MinerOutputValues!G20) + (E15*MinerOutputValues!G21)</f>
        <v>900</v>
      </c>
      <c r="H18" s="5" t="s">
        <v>193</v>
      </c>
      <c r="I18" s="6">
        <f>R11</f>
        <v>2592</v>
      </c>
      <c r="K18" s="27" t="s">
        <v>135</v>
      </c>
      <c r="L18" s="6">
        <f>SUM(F10-(N7+N11))</f>
        <v>-2535</v>
      </c>
    </row>
    <row r="20" spans="3:21" x14ac:dyDescent="0.25">
      <c r="H20" s="37" t="s">
        <v>194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 spans="3:21" x14ac:dyDescent="0.25">
      <c r="C21" s="35" t="s">
        <v>41</v>
      </c>
      <c r="D21" s="36"/>
      <c r="H21" s="5" t="s">
        <v>16</v>
      </c>
      <c r="I21" s="7" t="s">
        <v>22</v>
      </c>
      <c r="J21" s="7" t="s">
        <v>26</v>
      </c>
      <c r="K21" s="7" t="s">
        <v>23</v>
      </c>
      <c r="L21" s="7" t="s">
        <v>28</v>
      </c>
      <c r="M21" s="7" t="s">
        <v>31</v>
      </c>
      <c r="N21" s="9" t="s">
        <v>32</v>
      </c>
      <c r="O21" s="7" t="s">
        <v>30</v>
      </c>
      <c r="P21" s="7" t="s">
        <v>36</v>
      </c>
      <c r="Q21" s="7" t="s">
        <v>35</v>
      </c>
      <c r="R21" s="9" t="s">
        <v>34</v>
      </c>
      <c r="S21" s="9" t="s">
        <v>174</v>
      </c>
      <c r="T21" s="9" t="s">
        <v>195</v>
      </c>
      <c r="U21" s="9" t="s">
        <v>176</v>
      </c>
    </row>
    <row r="22" spans="3:21" x14ac:dyDescent="0.25">
      <c r="C22" s="5" t="s">
        <v>16</v>
      </c>
      <c r="D22" s="5" t="s">
        <v>42</v>
      </c>
      <c r="H22" s="6" t="s">
        <v>196</v>
      </c>
      <c r="I22" s="6">
        <v>30</v>
      </c>
      <c r="J22" s="6" t="s">
        <v>180</v>
      </c>
      <c r="K22" s="6">
        <v>30</v>
      </c>
      <c r="L22" s="6" t="s">
        <v>135</v>
      </c>
      <c r="M22" s="6">
        <f>SUM(I22*O22)</f>
        <v>600</v>
      </c>
      <c r="N22" s="6">
        <f>K22*O22</f>
        <v>600</v>
      </c>
      <c r="O22" s="6">
        <v>20</v>
      </c>
      <c r="P22" s="6" t="s">
        <v>197</v>
      </c>
      <c r="Q22" s="6">
        <v>30</v>
      </c>
      <c r="R22" s="6">
        <f>Q22*O22</f>
        <v>600</v>
      </c>
      <c r="S22" s="6"/>
      <c r="T22" s="6"/>
      <c r="U22" s="6"/>
    </row>
    <row r="23" spans="3:21" x14ac:dyDescent="0.25">
      <c r="C23" s="11" t="s">
        <v>159</v>
      </c>
      <c r="D23" s="6">
        <f>(D7*MinerOutputValues!D25) + (D8*MinerOutputValues!D26) + (D9*MinerOutputValues!D27)</f>
        <v>3000</v>
      </c>
      <c r="H23" s="6" t="s">
        <v>198</v>
      </c>
      <c r="I23" s="6">
        <v>60</v>
      </c>
      <c r="J23" s="6" t="s">
        <v>180</v>
      </c>
      <c r="K23" s="6">
        <v>20</v>
      </c>
      <c r="L23" s="6" t="s">
        <v>135</v>
      </c>
      <c r="M23" s="6">
        <f>SUM(I23*O23)</f>
        <v>576</v>
      </c>
      <c r="N23" s="6">
        <f>K23*O23</f>
        <v>192</v>
      </c>
      <c r="O23" s="6">
        <v>9.6</v>
      </c>
      <c r="P23" s="6" t="s">
        <v>170</v>
      </c>
      <c r="Q23" s="6">
        <v>20</v>
      </c>
      <c r="R23" s="6">
        <f>Q23*O23</f>
        <v>192</v>
      </c>
      <c r="S23" s="6"/>
      <c r="T23" s="6"/>
      <c r="U23" s="6"/>
    </row>
    <row r="24" spans="3:21" x14ac:dyDescent="0.25">
      <c r="C24" s="11" t="s">
        <v>78</v>
      </c>
      <c r="D24" s="6">
        <f>(E7*MinerOutputValues!D25) + (E8*MinerOutputValues!D26) + (E9*MinerOutputValues!D27)</f>
        <v>1200</v>
      </c>
      <c r="H24" s="6" t="s">
        <v>199</v>
      </c>
      <c r="I24" s="6">
        <v>40</v>
      </c>
      <c r="J24" s="6" t="s">
        <v>181</v>
      </c>
      <c r="K24" s="6"/>
      <c r="L24" s="6"/>
      <c r="M24" s="6">
        <f>SUM(I24*O24)</f>
        <v>278.39999999999998</v>
      </c>
      <c r="N24" s="6"/>
      <c r="O24" s="6">
        <v>6.96</v>
      </c>
      <c r="P24" s="6" t="s">
        <v>199</v>
      </c>
      <c r="Q24" s="6">
        <v>120</v>
      </c>
      <c r="R24" s="6">
        <f>Q24*O24</f>
        <v>835.2</v>
      </c>
      <c r="S24" s="6"/>
      <c r="T24" s="6"/>
      <c r="U24" s="6"/>
    </row>
    <row r="25" spans="3:21" x14ac:dyDescent="0.25">
      <c r="C25" s="11" t="s">
        <v>6</v>
      </c>
      <c r="D25" s="6">
        <f>(F7*MinerOutputValues!D25) + (F8*MinerOutputValues!D26) + (F9*MinerOutputValues!D27)</f>
        <v>600</v>
      </c>
      <c r="H25" s="6" t="s">
        <v>200</v>
      </c>
      <c r="I25" s="6">
        <v>180</v>
      </c>
      <c r="J25" s="6" t="s">
        <v>186</v>
      </c>
      <c r="K25" s="6">
        <v>60</v>
      </c>
      <c r="L25" s="6" t="s">
        <v>199</v>
      </c>
      <c r="M25" s="6">
        <f>SUM(I25*O25)</f>
        <v>2505.6</v>
      </c>
      <c r="N25" s="6">
        <f>K25*O25</f>
        <v>835.2</v>
      </c>
      <c r="O25" s="6">
        <v>13.92</v>
      </c>
      <c r="P25" s="6" t="s">
        <v>201</v>
      </c>
      <c r="Q25" s="6">
        <v>300</v>
      </c>
      <c r="R25" s="6">
        <f>Q25*O25</f>
        <v>4176</v>
      </c>
      <c r="S25" s="6" t="s">
        <v>135</v>
      </c>
      <c r="T25" s="6">
        <v>105</v>
      </c>
      <c r="U25" s="6">
        <f>O25*T25</f>
        <v>1461.6</v>
      </c>
    </row>
    <row r="26" spans="3:21" x14ac:dyDescent="0.25">
      <c r="C26" s="11" t="s">
        <v>158</v>
      </c>
      <c r="D26" s="6">
        <f xml:space="preserve"> D17+D18</f>
        <v>2700</v>
      </c>
      <c r="H26" s="6" t="s">
        <v>202</v>
      </c>
      <c r="I26" s="6">
        <v>60</v>
      </c>
      <c r="J26" s="6" t="s">
        <v>201</v>
      </c>
      <c r="K26" s="6"/>
      <c r="L26" s="6"/>
      <c r="M26" s="6">
        <f>SUM(I26*O26)</f>
        <v>4176</v>
      </c>
      <c r="N26" s="6"/>
      <c r="O26" s="6">
        <v>69.599999999999994</v>
      </c>
      <c r="P26" s="6" t="s">
        <v>203</v>
      </c>
      <c r="Q26" s="6">
        <v>30</v>
      </c>
      <c r="R26" s="6">
        <f>Q26*O26</f>
        <v>2088</v>
      </c>
      <c r="S26" s="6"/>
      <c r="T26" s="6"/>
      <c r="U26" s="6"/>
    </row>
    <row r="28" spans="3:21" x14ac:dyDescent="0.25">
      <c r="H28" s="35" t="s">
        <v>204</v>
      </c>
      <c r="I28" s="36"/>
      <c r="K28" s="35" t="s">
        <v>188</v>
      </c>
      <c r="L28" s="36"/>
    </row>
    <row r="29" spans="3:21" x14ac:dyDescent="0.25">
      <c r="H29" s="5" t="s">
        <v>197</v>
      </c>
      <c r="I29" s="6">
        <f>R22</f>
        <v>600</v>
      </c>
      <c r="K29" s="5" t="s">
        <v>180</v>
      </c>
      <c r="L29" s="6">
        <f>SUM(I15-(M22+M23))</f>
        <v>1000.5</v>
      </c>
    </row>
    <row r="30" spans="3:21" x14ac:dyDescent="0.25">
      <c r="H30" s="5" t="s">
        <v>170</v>
      </c>
      <c r="I30" s="6">
        <f>R23+I17</f>
        <v>323.39999999999998</v>
      </c>
      <c r="K30" s="5" t="s">
        <v>205</v>
      </c>
      <c r="L30" s="6">
        <f>I16-M24</f>
        <v>1185.9000000000001</v>
      </c>
    </row>
    <row r="31" spans="3:21" x14ac:dyDescent="0.25">
      <c r="H31" s="5" t="s">
        <v>203</v>
      </c>
      <c r="I31" s="6">
        <f>R26</f>
        <v>2088</v>
      </c>
      <c r="K31" s="5" t="s">
        <v>206</v>
      </c>
      <c r="L31" s="6">
        <f>R25-M26</f>
        <v>0</v>
      </c>
    </row>
    <row r="32" spans="3:21" x14ac:dyDescent="0.25">
      <c r="K32" s="5" t="s">
        <v>199</v>
      </c>
      <c r="L32" s="6">
        <f>R24-N25</f>
        <v>0</v>
      </c>
    </row>
    <row r="33" spans="8:24" x14ac:dyDescent="0.25">
      <c r="K33" s="5" t="s">
        <v>78</v>
      </c>
      <c r="L33" s="6">
        <f>E10</f>
        <v>0</v>
      </c>
    </row>
    <row r="34" spans="8:24" x14ac:dyDescent="0.25">
      <c r="K34" s="5" t="s">
        <v>193</v>
      </c>
      <c r="L34" s="6">
        <f>I18-M25</f>
        <v>86.400000000000091</v>
      </c>
    </row>
    <row r="35" spans="8:24" x14ac:dyDescent="0.25">
      <c r="K35" s="5" t="s">
        <v>135</v>
      </c>
      <c r="L35" s="6">
        <f>SUM(L18+U25-(N22+N23))</f>
        <v>-1865.4</v>
      </c>
    </row>
    <row r="36" spans="8:24" x14ac:dyDescent="0.25">
      <c r="K36" s="5" t="s">
        <v>19</v>
      </c>
      <c r="L36" s="6">
        <f>I14</f>
        <v>1500</v>
      </c>
    </row>
    <row r="37" spans="8:24" x14ac:dyDescent="0.25">
      <c r="K37"/>
      <c r="L37"/>
    </row>
    <row r="38" spans="8:24" x14ac:dyDescent="0.25">
      <c r="H38" s="37" t="s">
        <v>207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8:24" x14ac:dyDescent="0.25">
      <c r="H39" s="5" t="s">
        <v>16</v>
      </c>
      <c r="I39" s="7" t="s">
        <v>22</v>
      </c>
      <c r="J39" s="7" t="s">
        <v>26</v>
      </c>
      <c r="K39" s="7" t="s">
        <v>23</v>
      </c>
      <c r="L39" s="7" t="s">
        <v>28</v>
      </c>
      <c r="M39" s="7" t="s">
        <v>110</v>
      </c>
      <c r="N39" s="7" t="s">
        <v>112</v>
      </c>
      <c r="O39" s="7" t="s">
        <v>31</v>
      </c>
      <c r="P39" s="9" t="s">
        <v>32</v>
      </c>
      <c r="Q39" s="9" t="s">
        <v>118</v>
      </c>
      <c r="R39" s="7" t="s">
        <v>30</v>
      </c>
      <c r="S39" s="7" t="s">
        <v>36</v>
      </c>
      <c r="T39" s="7" t="s">
        <v>35</v>
      </c>
      <c r="U39" s="9" t="s">
        <v>34</v>
      </c>
      <c r="V39" s="9" t="s">
        <v>174</v>
      </c>
      <c r="W39" s="9" t="s">
        <v>195</v>
      </c>
      <c r="X39" s="9" t="s">
        <v>176</v>
      </c>
    </row>
    <row r="40" spans="8:24" x14ac:dyDescent="0.25">
      <c r="H40" s="6" t="s">
        <v>208</v>
      </c>
      <c r="I40" s="6">
        <v>50</v>
      </c>
      <c r="J40" s="6" t="s">
        <v>78</v>
      </c>
      <c r="K40" s="6">
        <v>50</v>
      </c>
      <c r="L40" s="6" t="s">
        <v>135</v>
      </c>
      <c r="M40" s="6"/>
      <c r="N40" s="6"/>
      <c r="O40" s="6">
        <f t="shared" ref="O40:O45" si="0">SUM(I40*R40)</f>
        <v>120</v>
      </c>
      <c r="P40" s="6">
        <f>K40*R40</f>
        <v>120</v>
      </c>
      <c r="Q40" s="6">
        <v>0</v>
      </c>
      <c r="R40" s="6">
        <v>2.4</v>
      </c>
      <c r="S40" s="6" t="s">
        <v>208</v>
      </c>
      <c r="T40" s="6">
        <v>50</v>
      </c>
      <c r="U40" s="6">
        <f t="shared" ref="U40:U45" si="1">T40*R40</f>
        <v>120</v>
      </c>
      <c r="V40" s="6"/>
      <c r="W40" s="6"/>
      <c r="X40" s="6"/>
    </row>
    <row r="41" spans="8:24" x14ac:dyDescent="0.25">
      <c r="H41" s="6" t="s">
        <v>209</v>
      </c>
      <c r="I41" s="6">
        <v>90</v>
      </c>
      <c r="J41" s="6" t="s">
        <v>210</v>
      </c>
      <c r="K41" s="6"/>
      <c r="L41" s="6"/>
      <c r="M41" s="6"/>
      <c r="N41" s="6"/>
      <c r="O41" s="6">
        <f t="shared" si="0"/>
        <v>64.8</v>
      </c>
      <c r="P41" s="6">
        <f>K41*R41</f>
        <v>0</v>
      </c>
      <c r="Q41" s="6">
        <v>0</v>
      </c>
      <c r="R41" s="6">
        <v>0.72</v>
      </c>
      <c r="S41" s="6" t="s">
        <v>209</v>
      </c>
      <c r="T41" s="6">
        <v>60</v>
      </c>
      <c r="U41" s="6">
        <f t="shared" si="1"/>
        <v>43.199999999999996</v>
      </c>
      <c r="V41" s="6"/>
      <c r="W41" s="6"/>
      <c r="X41" s="6"/>
    </row>
    <row r="42" spans="8:24" x14ac:dyDescent="0.25">
      <c r="H42" s="6" t="s">
        <v>211</v>
      </c>
      <c r="I42" s="6">
        <v>30</v>
      </c>
      <c r="J42" s="6" t="s">
        <v>210</v>
      </c>
      <c r="K42" s="6">
        <v>10</v>
      </c>
      <c r="L42" s="6" t="s">
        <v>19</v>
      </c>
      <c r="M42" s="6"/>
      <c r="N42" s="6"/>
      <c r="O42" s="6">
        <f t="shared" si="0"/>
        <v>1260</v>
      </c>
      <c r="P42" s="6">
        <f>K42*R42</f>
        <v>420</v>
      </c>
      <c r="Q42" s="6">
        <v>0</v>
      </c>
      <c r="R42" s="6">
        <v>42</v>
      </c>
      <c r="S42" s="6" t="s">
        <v>212</v>
      </c>
      <c r="T42" s="6">
        <v>30</v>
      </c>
      <c r="U42" s="6">
        <f t="shared" si="1"/>
        <v>1260</v>
      </c>
      <c r="V42" s="6"/>
      <c r="W42" s="6"/>
      <c r="X42" s="6"/>
    </row>
    <row r="43" spans="8:24" x14ac:dyDescent="0.25">
      <c r="H43" s="6" t="s">
        <v>25</v>
      </c>
      <c r="I43" s="6">
        <v>15</v>
      </c>
      <c r="J43" s="6" t="s">
        <v>19</v>
      </c>
      <c r="K43" s="6">
        <v>0</v>
      </c>
      <c r="L43" s="6"/>
      <c r="M43" s="6"/>
      <c r="N43" s="6"/>
      <c r="O43" s="6">
        <f t="shared" si="0"/>
        <v>1080</v>
      </c>
      <c r="P43" s="6">
        <v>0</v>
      </c>
      <c r="Q43" s="6">
        <v>0</v>
      </c>
      <c r="R43" s="6">
        <v>72</v>
      </c>
      <c r="S43" s="6" t="s">
        <v>25</v>
      </c>
      <c r="T43" s="6">
        <v>30</v>
      </c>
      <c r="U43" s="6">
        <f t="shared" si="1"/>
        <v>2160</v>
      </c>
      <c r="V43" s="6"/>
      <c r="W43" s="6"/>
      <c r="X43" s="6"/>
    </row>
    <row r="44" spans="8:24" x14ac:dyDescent="0.25">
      <c r="H44" s="6" t="s">
        <v>172</v>
      </c>
      <c r="I44" s="6">
        <v>50</v>
      </c>
      <c r="J44" s="6" t="s">
        <v>208</v>
      </c>
      <c r="K44" s="6">
        <v>20</v>
      </c>
      <c r="L44" s="6" t="s">
        <v>213</v>
      </c>
      <c r="M44" s="6">
        <v>40</v>
      </c>
      <c r="N44" s="6" t="s">
        <v>214</v>
      </c>
      <c r="O44" s="6">
        <f t="shared" si="0"/>
        <v>108</v>
      </c>
      <c r="P44" s="6">
        <f>K44*R44</f>
        <v>43.2</v>
      </c>
      <c r="Q44" s="6">
        <f>R44*M44</f>
        <v>86.4</v>
      </c>
      <c r="R44" s="6">
        <v>2.16</v>
      </c>
      <c r="S44" s="6" t="s">
        <v>172</v>
      </c>
      <c r="T44" s="6">
        <v>20</v>
      </c>
      <c r="U44" s="6">
        <f t="shared" si="1"/>
        <v>43.2</v>
      </c>
      <c r="V44" s="6" t="s">
        <v>135</v>
      </c>
      <c r="W44" s="6">
        <v>30</v>
      </c>
      <c r="X44" s="6">
        <f>R44*W44</f>
        <v>64.800000000000011</v>
      </c>
    </row>
    <row r="45" spans="8:24" x14ac:dyDescent="0.25">
      <c r="H45" s="6" t="s">
        <v>215</v>
      </c>
      <c r="I45" s="6">
        <v>50</v>
      </c>
      <c r="J45" s="6" t="s">
        <v>181</v>
      </c>
      <c r="K45" s="6">
        <v>100</v>
      </c>
      <c r="L45" s="6" t="s">
        <v>135</v>
      </c>
      <c r="M45" s="6"/>
      <c r="N45" s="6"/>
      <c r="O45" s="6">
        <f t="shared" si="0"/>
        <v>999.49999999999989</v>
      </c>
      <c r="P45" s="6">
        <f>K45*R45</f>
        <v>1998.9999999999998</v>
      </c>
      <c r="Q45" s="6">
        <v>0</v>
      </c>
      <c r="R45" s="6">
        <v>19.989999999999998</v>
      </c>
      <c r="S45" s="6" t="s">
        <v>216</v>
      </c>
      <c r="T45" s="6">
        <v>100</v>
      </c>
      <c r="U45" s="6">
        <f t="shared" si="1"/>
        <v>1998.9999999999998</v>
      </c>
      <c r="V45" s="6"/>
      <c r="W45" s="6"/>
      <c r="X45" s="6"/>
    </row>
    <row r="47" spans="8:24" x14ac:dyDescent="0.25">
      <c r="H47" s="35" t="s">
        <v>217</v>
      </c>
      <c r="I47" s="36"/>
      <c r="K47" s="35" t="s">
        <v>188</v>
      </c>
      <c r="L47" s="36"/>
    </row>
    <row r="48" spans="8:24" ht="15.75" thickBot="1" x14ac:dyDescent="0.3">
      <c r="H48" s="5" t="s">
        <v>197</v>
      </c>
      <c r="I48" s="6">
        <f>I29</f>
        <v>600</v>
      </c>
      <c r="K48" s="5" t="s">
        <v>135</v>
      </c>
      <c r="L48" s="6">
        <f>SUM(L35-P40+X44-P45)</f>
        <v>-3919.6</v>
      </c>
    </row>
    <row r="49" spans="8:24" ht="15.75" thickBot="1" x14ac:dyDescent="0.3">
      <c r="H49" s="5" t="s">
        <v>170</v>
      </c>
      <c r="I49" s="6">
        <f>I30</f>
        <v>323.39999999999998</v>
      </c>
      <c r="K49" s="5" t="s">
        <v>205</v>
      </c>
      <c r="L49" s="28">
        <f>L30-O45</f>
        <v>186.4000000000002</v>
      </c>
      <c r="M49" s="46" t="s">
        <v>218</v>
      </c>
      <c r="N49" s="47"/>
      <c r="O49" s="47"/>
      <c r="P49" s="47"/>
      <c r="Q49" s="47"/>
      <c r="R49" s="47"/>
      <c r="S49" s="48"/>
    </row>
    <row r="50" spans="8:24" x14ac:dyDescent="0.25">
      <c r="H50" s="5" t="s">
        <v>203</v>
      </c>
      <c r="I50" s="6">
        <f>I31-O41-O42</f>
        <v>763.2</v>
      </c>
      <c r="K50" s="5" t="s">
        <v>193</v>
      </c>
      <c r="L50" s="6">
        <f>L34-Q44</f>
        <v>0</v>
      </c>
    </row>
    <row r="51" spans="8:24" x14ac:dyDescent="0.25">
      <c r="H51" s="5" t="s">
        <v>25</v>
      </c>
      <c r="I51" s="6">
        <f>U43</f>
        <v>2160</v>
      </c>
      <c r="K51" s="5" t="s">
        <v>135</v>
      </c>
      <c r="L51" s="6">
        <f>SUM(L35+X44-P40-P45)</f>
        <v>-3919.6</v>
      </c>
    </row>
    <row r="52" spans="8:24" x14ac:dyDescent="0.25">
      <c r="H52" s="5" t="s">
        <v>172</v>
      </c>
      <c r="I52" s="6">
        <f>U44</f>
        <v>43.2</v>
      </c>
      <c r="K52" s="5" t="s">
        <v>19</v>
      </c>
      <c r="L52" s="6">
        <f>L36-O43-P42</f>
        <v>0</v>
      </c>
    </row>
    <row r="53" spans="8:24" x14ac:dyDescent="0.25">
      <c r="H53" s="5" t="s">
        <v>216</v>
      </c>
      <c r="I53" s="6">
        <f>U45</f>
        <v>1998.9999999999998</v>
      </c>
      <c r="K53" s="27" t="s">
        <v>208</v>
      </c>
      <c r="L53" s="6">
        <f>U40-O44</f>
        <v>12</v>
      </c>
    </row>
    <row r="54" spans="8:24" x14ac:dyDescent="0.25">
      <c r="H54" s="27" t="s">
        <v>211</v>
      </c>
      <c r="I54" s="6">
        <f>U42</f>
        <v>1260</v>
      </c>
      <c r="K54" s="27" t="s">
        <v>209</v>
      </c>
      <c r="L54" s="6">
        <f>U41-P44</f>
        <v>0</v>
      </c>
    </row>
    <row r="55" spans="8:24" ht="15.75" thickBot="1" x14ac:dyDescent="0.3">
      <c r="H55" s="5" t="s">
        <v>78</v>
      </c>
      <c r="I55" s="6">
        <f>L33-O40</f>
        <v>-120</v>
      </c>
    </row>
    <row r="56" spans="8:24" ht="15.75" thickBot="1" x14ac:dyDescent="0.3">
      <c r="M56" s="46" t="s">
        <v>219</v>
      </c>
      <c r="N56" s="47"/>
      <c r="O56" s="47"/>
      <c r="P56" s="47"/>
      <c r="Q56" s="47"/>
      <c r="R56" s="47"/>
      <c r="S56" s="48"/>
    </row>
    <row r="57" spans="8:24" x14ac:dyDescent="0.25">
      <c r="H57" s="37" t="s">
        <v>220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8:24" x14ac:dyDescent="0.25">
      <c r="H58" s="5" t="s">
        <v>16</v>
      </c>
      <c r="I58" s="7" t="s">
        <v>22</v>
      </c>
      <c r="J58" s="7" t="s">
        <v>26</v>
      </c>
      <c r="K58" s="7" t="s">
        <v>23</v>
      </c>
      <c r="L58" s="7" t="s">
        <v>28</v>
      </c>
      <c r="M58" s="7" t="s">
        <v>110</v>
      </c>
      <c r="N58" s="7" t="s">
        <v>112</v>
      </c>
      <c r="O58" s="7" t="s">
        <v>113</v>
      </c>
      <c r="P58" s="7" t="s">
        <v>115</v>
      </c>
      <c r="Q58" s="7" t="s">
        <v>31</v>
      </c>
      <c r="R58" s="9" t="s">
        <v>32</v>
      </c>
      <c r="S58" s="9" t="s">
        <v>118</v>
      </c>
      <c r="T58" s="9" t="s">
        <v>119</v>
      </c>
      <c r="U58" s="7" t="s">
        <v>30</v>
      </c>
      <c r="V58" s="7" t="s">
        <v>36</v>
      </c>
      <c r="W58" s="7" t="s">
        <v>35</v>
      </c>
      <c r="X58" s="9" t="s">
        <v>34</v>
      </c>
    </row>
    <row r="59" spans="8:24" x14ac:dyDescent="0.25">
      <c r="H59" s="6" t="s">
        <v>221</v>
      </c>
      <c r="I59" s="6">
        <v>30</v>
      </c>
      <c r="J59" s="6" t="s">
        <v>170</v>
      </c>
      <c r="K59" s="6">
        <v>30</v>
      </c>
      <c r="L59" s="6" t="s">
        <v>216</v>
      </c>
      <c r="M59" s="6"/>
      <c r="N59" s="6"/>
      <c r="O59" s="6"/>
      <c r="P59" s="6"/>
      <c r="Q59" s="6">
        <f>SUM(I59*U59)</f>
        <v>914.4</v>
      </c>
      <c r="R59" s="6">
        <f>K59*U59</f>
        <v>914.4</v>
      </c>
      <c r="S59" s="6">
        <v>0</v>
      </c>
      <c r="T59" s="6">
        <v>0</v>
      </c>
      <c r="U59" s="6">
        <v>30.48</v>
      </c>
      <c r="V59" s="6" t="s">
        <v>155</v>
      </c>
      <c r="W59" s="6">
        <v>60</v>
      </c>
      <c r="X59" s="6">
        <f>W59*U59</f>
        <v>1828.8</v>
      </c>
    </row>
    <row r="60" spans="8:24" x14ac:dyDescent="0.25">
      <c r="H60" s="6" t="s">
        <v>222</v>
      </c>
      <c r="I60" s="6">
        <v>30</v>
      </c>
      <c r="J60" s="6" t="s">
        <v>155</v>
      </c>
      <c r="K60" s="6">
        <v>30</v>
      </c>
      <c r="L60" s="6" t="s">
        <v>216</v>
      </c>
      <c r="M60" s="6"/>
      <c r="N60" s="6"/>
      <c r="O60" s="6"/>
      <c r="P60" s="6"/>
      <c r="Q60" s="6">
        <f>SUM(I60*U60)</f>
        <v>1065.3</v>
      </c>
      <c r="R60" s="6">
        <f>K60*U60</f>
        <v>1065.3</v>
      </c>
      <c r="S60" s="6">
        <v>0</v>
      </c>
      <c r="T60" s="6">
        <v>0</v>
      </c>
      <c r="U60" s="6">
        <v>35.51</v>
      </c>
      <c r="V60" s="6" t="s">
        <v>170</v>
      </c>
      <c r="W60" s="6">
        <v>60</v>
      </c>
      <c r="X60" s="6">
        <f>W60*U60</f>
        <v>2130.6</v>
      </c>
    </row>
    <row r="61" spans="8:24" x14ac:dyDescent="0.25">
      <c r="H61" s="6" t="s">
        <v>223</v>
      </c>
      <c r="I61" s="6">
        <v>45</v>
      </c>
      <c r="J61" s="6" t="s">
        <v>78</v>
      </c>
      <c r="K61" s="6">
        <v>52.5</v>
      </c>
      <c r="L61" s="6" t="s">
        <v>211</v>
      </c>
      <c r="M61" s="6">
        <v>60</v>
      </c>
      <c r="N61" s="6" t="s">
        <v>170</v>
      </c>
      <c r="O61" s="6">
        <v>90</v>
      </c>
      <c r="P61" s="6" t="s">
        <v>25</v>
      </c>
      <c r="Q61" s="6">
        <f>U61*I61</f>
        <v>1080</v>
      </c>
      <c r="R61" s="6">
        <f>K61*U61</f>
        <v>1260</v>
      </c>
      <c r="S61" s="6">
        <f>U61*M61</f>
        <v>1440</v>
      </c>
      <c r="T61" s="6">
        <f>U61*O61</f>
        <v>2160</v>
      </c>
      <c r="U61" s="6">
        <v>24</v>
      </c>
      <c r="V61" s="6" t="s">
        <v>212</v>
      </c>
      <c r="W61" s="6">
        <v>30</v>
      </c>
      <c r="X61" s="6">
        <f>W61*U61</f>
        <v>720</v>
      </c>
    </row>
    <row r="62" spans="8:24" x14ac:dyDescent="0.25">
      <c r="K62"/>
      <c r="L62"/>
    </row>
    <row r="63" spans="8:24" x14ac:dyDescent="0.25">
      <c r="H63" s="49" t="s">
        <v>224</v>
      </c>
      <c r="I63" s="50"/>
      <c r="K63" s="35" t="s">
        <v>188</v>
      </c>
      <c r="L63" s="36"/>
    </row>
    <row r="64" spans="8:24" x14ac:dyDescent="0.25">
      <c r="H64" s="5" t="s">
        <v>197</v>
      </c>
      <c r="I64" s="29">
        <f>I48</f>
        <v>600</v>
      </c>
      <c r="K64" s="5" t="s">
        <v>25</v>
      </c>
      <c r="L64" s="6">
        <f>I51-T61</f>
        <v>0</v>
      </c>
    </row>
    <row r="65" spans="8:12" x14ac:dyDescent="0.25">
      <c r="H65" s="5" t="s">
        <v>155</v>
      </c>
      <c r="I65" s="29">
        <f>X59-Q60</f>
        <v>763.5</v>
      </c>
      <c r="K65" s="5" t="s">
        <v>211</v>
      </c>
      <c r="L65" s="6">
        <f>I54-R61</f>
        <v>0</v>
      </c>
    </row>
    <row r="66" spans="8:12" x14ac:dyDescent="0.25">
      <c r="H66" s="5" t="s">
        <v>203</v>
      </c>
      <c r="I66" s="29">
        <f>I50</f>
        <v>763.2</v>
      </c>
      <c r="K66" s="5" t="s">
        <v>78</v>
      </c>
      <c r="L66" s="6">
        <f>I55-Q61</f>
        <v>-1200</v>
      </c>
    </row>
    <row r="67" spans="8:12" x14ac:dyDescent="0.25">
      <c r="H67" s="5" t="s">
        <v>172</v>
      </c>
      <c r="I67" s="29">
        <f>U44+X61</f>
        <v>763.2</v>
      </c>
      <c r="K67" s="5" t="s">
        <v>216</v>
      </c>
      <c r="L67" s="6">
        <f>I53-Q59-Q60</f>
        <v>19.299999999999955</v>
      </c>
    </row>
    <row r="68" spans="8:12" x14ac:dyDescent="0.25">
      <c r="H68" s="5" t="s">
        <v>170</v>
      </c>
      <c r="I68" s="29">
        <f>I49+X60-Q59-S61</f>
        <v>99.599999999999909</v>
      </c>
      <c r="K68" s="5" t="s">
        <v>78</v>
      </c>
      <c r="L68" s="6">
        <f>I57-Q63</f>
        <v>0</v>
      </c>
    </row>
  </sheetData>
  <mergeCells count="18">
    <mergeCell ref="C3:P3"/>
    <mergeCell ref="C5:F5"/>
    <mergeCell ref="C21:D21"/>
    <mergeCell ref="C11:E11"/>
    <mergeCell ref="H5:U5"/>
    <mergeCell ref="H13:I13"/>
    <mergeCell ref="K13:L13"/>
    <mergeCell ref="H20:U20"/>
    <mergeCell ref="H28:I28"/>
    <mergeCell ref="K28:L28"/>
    <mergeCell ref="H38:X38"/>
    <mergeCell ref="H47:I47"/>
    <mergeCell ref="K47:L47"/>
    <mergeCell ref="M49:S49"/>
    <mergeCell ref="M56:S56"/>
    <mergeCell ref="H57:X57"/>
    <mergeCell ref="H63:I63"/>
    <mergeCell ref="K63:L6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8B56-0C3C-4F26-ACFD-B29B66889923}">
  <sheetPr>
    <tabColor rgb="FFFFFF00"/>
  </sheetPr>
  <dimension ref="C1:W36"/>
  <sheetViews>
    <sheetView zoomScale="85" zoomScaleNormal="85" workbookViewId="0">
      <selection activeCell="H40" sqref="H40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57.85546875" style="13" bestFit="1" customWidth="1"/>
    <col min="6" max="6" width="21.5703125" style="13" bestFit="1" customWidth="1"/>
    <col min="7" max="7" width="21.5703125" style="13" customWidth="1"/>
    <col min="8" max="8" width="9.85546875" style="13" bestFit="1" customWidth="1"/>
    <col min="9" max="9" width="29" style="13" bestFit="1" customWidth="1"/>
    <col min="10" max="10" width="29.140625" style="13" bestFit="1" customWidth="1"/>
    <col min="11" max="11" width="37.42578125" style="13" bestFit="1" customWidth="1"/>
    <col min="12" max="12" width="14.85546875" style="13" bestFit="1" customWidth="1"/>
    <col min="13" max="13" width="29" style="13" bestFit="1" customWidth="1"/>
    <col min="14" max="14" width="31.85546875" style="13" bestFit="1" customWidth="1"/>
    <col min="15" max="16" width="16.28515625" style="13" bestFit="1" customWidth="1"/>
    <col min="17" max="17" width="27.140625" style="13" bestFit="1" customWidth="1"/>
    <col min="18" max="18" width="20" style="13" bestFit="1" customWidth="1"/>
    <col min="19" max="19" width="18.85546875" style="13" bestFit="1" customWidth="1"/>
    <col min="20" max="20" width="23.140625" style="13" bestFit="1" customWidth="1"/>
    <col min="21" max="21" width="14" style="13" bestFit="1" customWidth="1"/>
    <col min="22" max="22" width="16.140625" style="13" bestFit="1" customWidth="1"/>
    <col min="23" max="23" width="12.42578125" style="13" bestFit="1" customWidth="1"/>
    <col min="24" max="24" width="9.140625" style="13"/>
    <col min="25" max="25" width="10" style="13" bestFit="1" customWidth="1"/>
    <col min="26" max="16384" width="9.140625" style="13"/>
  </cols>
  <sheetData>
    <row r="1" spans="3:23" ht="8.25" customHeight="1" x14ac:dyDescent="0.25"/>
    <row r="2" spans="3:23" ht="8.25" customHeight="1" x14ac:dyDescent="0.25"/>
    <row r="3" spans="3:23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14"/>
      <c r="S3" s="14"/>
      <c r="T3" s="14"/>
    </row>
    <row r="4" spans="3:23" ht="24" thickTop="1" x14ac:dyDescent="0.35">
      <c r="R4" s="14"/>
      <c r="S4" s="14"/>
      <c r="T4" s="14"/>
    </row>
    <row r="5" spans="3:23" x14ac:dyDescent="0.25">
      <c r="C5" s="35" t="s">
        <v>38</v>
      </c>
      <c r="D5" s="36"/>
      <c r="E5" s="36"/>
      <c r="F5" s="36"/>
      <c r="G5" s="17"/>
      <c r="I5" s="37" t="s">
        <v>45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3:23" x14ac:dyDescent="0.25">
      <c r="C6" s="5" t="s">
        <v>16</v>
      </c>
      <c r="D6" s="5" t="s">
        <v>5</v>
      </c>
      <c r="E6" s="5" t="s">
        <v>6</v>
      </c>
      <c r="F6" s="5" t="s">
        <v>3</v>
      </c>
      <c r="G6" s="8" t="s">
        <v>21</v>
      </c>
      <c r="I6" s="5" t="s">
        <v>16</v>
      </c>
      <c r="J6" s="7" t="s">
        <v>22</v>
      </c>
      <c r="K6" s="7" t="s">
        <v>46</v>
      </c>
      <c r="L6" s="7" t="s">
        <v>26</v>
      </c>
      <c r="M6" s="7" t="s">
        <v>23</v>
      </c>
      <c r="N6" s="7" t="s">
        <v>47</v>
      </c>
      <c r="O6" s="7" t="s">
        <v>28</v>
      </c>
      <c r="P6" s="7" t="s">
        <v>31</v>
      </c>
      <c r="Q6" s="9" t="s">
        <v>32</v>
      </c>
      <c r="R6" s="7" t="s">
        <v>30</v>
      </c>
      <c r="S6" s="7" t="s">
        <v>48</v>
      </c>
      <c r="T6" s="7" t="s">
        <v>36</v>
      </c>
      <c r="U6" s="7" t="s">
        <v>35</v>
      </c>
      <c r="V6" s="7" t="s">
        <v>49</v>
      </c>
      <c r="W6" s="9" t="s">
        <v>34</v>
      </c>
    </row>
    <row r="7" spans="3:23" x14ac:dyDescent="0.25">
      <c r="C7" s="6" t="s">
        <v>14</v>
      </c>
      <c r="D7" s="6">
        <v>0</v>
      </c>
      <c r="E7" s="6">
        <v>0</v>
      </c>
      <c r="F7" s="6">
        <v>0</v>
      </c>
      <c r="G7" s="6">
        <v>0</v>
      </c>
      <c r="I7" s="12" t="s">
        <v>61</v>
      </c>
      <c r="J7" s="12">
        <v>30</v>
      </c>
      <c r="K7" s="12">
        <f>J7*2.5</f>
        <v>75</v>
      </c>
      <c r="L7" s="12" t="s">
        <v>0</v>
      </c>
      <c r="M7" s="12"/>
      <c r="N7" s="12"/>
      <c r="O7" s="12"/>
      <c r="P7" s="12">
        <v>750</v>
      </c>
      <c r="Q7" s="12"/>
      <c r="R7" s="12">
        <f>P7/J7</f>
        <v>25</v>
      </c>
      <c r="S7" s="15">
        <f>P7/K7</f>
        <v>10</v>
      </c>
      <c r="T7" s="12" t="s">
        <v>27</v>
      </c>
      <c r="U7" s="12">
        <v>30</v>
      </c>
      <c r="V7" s="12">
        <f>U7*2.5</f>
        <v>75</v>
      </c>
      <c r="W7" s="15">
        <f>U7*R7</f>
        <v>750</v>
      </c>
    </row>
    <row r="8" spans="3:23" x14ac:dyDescent="0.25">
      <c r="C8" s="6" t="s">
        <v>13</v>
      </c>
      <c r="D8" s="6">
        <v>0</v>
      </c>
      <c r="E8" s="6">
        <v>0</v>
      </c>
      <c r="F8" s="6">
        <v>0</v>
      </c>
      <c r="G8" s="6">
        <v>0</v>
      </c>
      <c r="I8" s="12" t="s">
        <v>4</v>
      </c>
      <c r="J8" s="12">
        <v>45</v>
      </c>
      <c r="K8" s="12">
        <f>J8*2.5</f>
        <v>112.5</v>
      </c>
      <c r="L8" s="12" t="s">
        <v>3</v>
      </c>
      <c r="M8" s="12"/>
      <c r="N8" s="12"/>
      <c r="O8" s="12"/>
      <c r="P8" s="12">
        <v>2400</v>
      </c>
      <c r="Q8" s="12"/>
      <c r="R8" s="12">
        <f>P8/J8</f>
        <v>53.333333333333336</v>
      </c>
      <c r="S8" s="15">
        <f>P8/J8</f>
        <v>53.333333333333336</v>
      </c>
      <c r="T8" s="12" t="s">
        <v>4</v>
      </c>
      <c r="U8" s="12">
        <v>15</v>
      </c>
      <c r="V8" s="12">
        <f>U8*2.5</f>
        <v>37.5</v>
      </c>
      <c r="W8" s="15">
        <f>U8*R8</f>
        <v>800</v>
      </c>
    </row>
    <row r="9" spans="3:23" x14ac:dyDescent="0.25">
      <c r="C9" s="6" t="s">
        <v>12</v>
      </c>
      <c r="D9" s="6">
        <v>3</v>
      </c>
      <c r="E9" s="6">
        <v>1</v>
      </c>
      <c r="F9" s="6">
        <v>2</v>
      </c>
      <c r="G9" s="6">
        <v>1</v>
      </c>
      <c r="I9" s="12" t="s">
        <v>79</v>
      </c>
      <c r="J9" s="12">
        <v>40</v>
      </c>
      <c r="K9" s="12">
        <f>J9*2</f>
        <v>80</v>
      </c>
      <c r="L9" s="12" t="s">
        <v>0</v>
      </c>
      <c r="M9" s="12">
        <v>10</v>
      </c>
      <c r="N9" s="12">
        <f>M9*2</f>
        <v>20</v>
      </c>
      <c r="O9" s="12" t="s">
        <v>1</v>
      </c>
      <c r="P9" s="12">
        <v>1650</v>
      </c>
      <c r="Q9" s="12">
        <v>600</v>
      </c>
      <c r="R9" s="12">
        <v>41</v>
      </c>
      <c r="S9" s="15">
        <f>P9/K9</f>
        <v>20.625</v>
      </c>
      <c r="T9" s="12" t="s">
        <v>61</v>
      </c>
      <c r="U9" s="12">
        <v>75</v>
      </c>
      <c r="V9" s="12">
        <f>U9*2</f>
        <v>150</v>
      </c>
      <c r="W9" s="15">
        <f>U9*R9</f>
        <v>3075</v>
      </c>
    </row>
    <row r="11" spans="3:23" x14ac:dyDescent="0.25">
      <c r="C11" s="35" t="s">
        <v>41</v>
      </c>
      <c r="D11" s="36"/>
      <c r="I11" s="37" t="s">
        <v>50</v>
      </c>
      <c r="J11" s="38"/>
      <c r="L11" s="42" t="s">
        <v>51</v>
      </c>
      <c r="M11" s="43"/>
      <c r="N11" s="43"/>
      <c r="O11" s="43"/>
    </row>
    <row r="12" spans="3:23" x14ac:dyDescent="0.25">
      <c r="C12" s="5" t="s">
        <v>16</v>
      </c>
      <c r="D12" s="5" t="s">
        <v>42</v>
      </c>
      <c r="I12" s="12" t="s">
        <v>27</v>
      </c>
      <c r="J12" s="15">
        <f>W9+W7</f>
        <v>3825</v>
      </c>
      <c r="L12" s="12" t="s">
        <v>0</v>
      </c>
      <c r="M12" s="15">
        <f>D13-P7-P9</f>
        <v>1200</v>
      </c>
      <c r="N12" s="12" t="s">
        <v>2</v>
      </c>
      <c r="O12" s="15">
        <f>D16</f>
        <v>1200</v>
      </c>
    </row>
    <row r="13" spans="3:23" x14ac:dyDescent="0.25">
      <c r="C13" s="11" t="s">
        <v>5</v>
      </c>
      <c r="D13" s="6">
        <f>(D7*MinerOutputValues!D25) + (D8*MinerOutputValues!D26) + (D9*MinerOutputValues!D27)</f>
        <v>3600</v>
      </c>
      <c r="I13" s="12" t="s">
        <v>4</v>
      </c>
      <c r="J13" s="15">
        <f>W8</f>
        <v>800</v>
      </c>
      <c r="L13" s="12" t="s">
        <v>1</v>
      </c>
      <c r="M13" s="15">
        <f>D14-Q9</f>
        <v>600</v>
      </c>
      <c r="N13" s="12" t="s">
        <v>78</v>
      </c>
      <c r="O13" s="15" t="e">
        <f>#REF!</f>
        <v>#REF!</v>
      </c>
    </row>
    <row r="14" spans="3:23" x14ac:dyDescent="0.25">
      <c r="C14" s="11" t="s">
        <v>6</v>
      </c>
      <c r="D14" s="6">
        <f>(E7*MinerOutputValues!D25) + (E8*MinerOutputValues!D26) + (E9*MinerOutputValues!D27)</f>
        <v>1200</v>
      </c>
      <c r="L14" s="12" t="s">
        <v>3</v>
      </c>
      <c r="M14" s="15">
        <f>D15-P8</f>
        <v>0</v>
      </c>
      <c r="N14" s="12" t="s">
        <v>77</v>
      </c>
      <c r="O14" s="15">
        <f>D17</f>
        <v>0</v>
      </c>
    </row>
    <row r="15" spans="3:23" x14ac:dyDescent="0.25">
      <c r="C15" s="11" t="s">
        <v>3</v>
      </c>
      <c r="D15" s="6">
        <f>(F7*MinerOutputValues!D25) + (F8*MinerOutputValues!D26) + (F9*MinerOutputValues!D27)</f>
        <v>2400</v>
      </c>
    </row>
    <row r="16" spans="3:23" x14ac:dyDescent="0.25">
      <c r="C16" s="11" t="s">
        <v>21</v>
      </c>
      <c r="D16" s="6">
        <f>(G7*MinerOutputValues!D25) + (G8*MinerOutputValues!D26) + (G9*MinerOutputValues!D27)</f>
        <v>1200</v>
      </c>
    </row>
    <row r="17" spans="3:23" x14ac:dyDescent="0.25">
      <c r="I17" s="37" t="s">
        <v>66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3:23" x14ac:dyDescent="0.25">
      <c r="C18" s="35" t="s">
        <v>152</v>
      </c>
      <c r="D18" s="36"/>
      <c r="I18" s="5" t="s">
        <v>16</v>
      </c>
      <c r="J18" s="7" t="s">
        <v>22</v>
      </c>
      <c r="K18" s="7" t="s">
        <v>46</v>
      </c>
      <c r="L18" s="7" t="s">
        <v>26</v>
      </c>
      <c r="M18" s="7" t="s">
        <v>23</v>
      </c>
      <c r="N18" s="7" t="s">
        <v>47</v>
      </c>
      <c r="O18" s="7" t="s">
        <v>28</v>
      </c>
      <c r="P18" s="7" t="s">
        <v>31</v>
      </c>
      <c r="Q18" s="9" t="s">
        <v>32</v>
      </c>
      <c r="R18" s="7" t="s">
        <v>30</v>
      </c>
      <c r="S18" s="7" t="s">
        <v>48</v>
      </c>
      <c r="T18" s="7" t="s">
        <v>36</v>
      </c>
      <c r="U18" s="7" t="s">
        <v>35</v>
      </c>
      <c r="V18" s="7" t="s">
        <v>49</v>
      </c>
      <c r="W18" s="9" t="s">
        <v>34</v>
      </c>
    </row>
    <row r="19" spans="3:23" x14ac:dyDescent="0.25">
      <c r="C19" s="5" t="s">
        <v>16</v>
      </c>
      <c r="D19" s="5" t="s">
        <v>42</v>
      </c>
      <c r="I19" s="12" t="s">
        <v>80</v>
      </c>
      <c r="J19" s="12">
        <v>100</v>
      </c>
      <c r="K19" s="12">
        <f>J19*2.5</f>
        <v>250</v>
      </c>
      <c r="L19" s="12" t="s">
        <v>27</v>
      </c>
      <c r="M19" s="12"/>
      <c r="N19" s="12"/>
      <c r="O19" s="12"/>
      <c r="P19" s="12">
        <f>J12</f>
        <v>3825</v>
      </c>
      <c r="Q19" s="12"/>
      <c r="R19" s="12">
        <f>P19/J19</f>
        <v>38.25</v>
      </c>
      <c r="S19" s="15">
        <f>P19/K19</f>
        <v>15.3</v>
      </c>
      <c r="T19" s="12" t="s">
        <v>33</v>
      </c>
      <c r="U19" s="12">
        <v>25</v>
      </c>
      <c r="V19" s="12">
        <f>U19*2.5</f>
        <v>62.5</v>
      </c>
      <c r="W19" s="15">
        <f>U19*R19</f>
        <v>956.25</v>
      </c>
    </row>
    <row r="20" spans="3:23" ht="18.75" x14ac:dyDescent="0.3">
      <c r="C20" s="11" t="s">
        <v>129</v>
      </c>
      <c r="D20" s="6">
        <f>'Regional Production'!D11</f>
        <v>4520</v>
      </c>
      <c r="E20" s="26" t="s">
        <v>154</v>
      </c>
    </row>
    <row r="21" spans="3:23" ht="18.75" x14ac:dyDescent="0.3">
      <c r="C21" s="11" t="s">
        <v>146</v>
      </c>
      <c r="D21" s="6">
        <f>'Regional Production'!D41</f>
        <v>1200</v>
      </c>
      <c r="E21" s="26" t="s">
        <v>153</v>
      </c>
      <c r="I21" s="37" t="s">
        <v>62</v>
      </c>
      <c r="J21" s="38"/>
    </row>
    <row r="22" spans="3:23" ht="18.75" x14ac:dyDescent="0.3">
      <c r="C22" s="11" t="s">
        <v>155</v>
      </c>
      <c r="D22" s="6" t="s">
        <v>157</v>
      </c>
      <c r="E22" s="26" t="s">
        <v>156</v>
      </c>
      <c r="I22" s="12" t="s">
        <v>80</v>
      </c>
      <c r="J22" s="15">
        <f>W19</f>
        <v>956.25</v>
      </c>
    </row>
    <row r="23" spans="3:23" ht="18.75" x14ac:dyDescent="0.3">
      <c r="C23" s="11" t="s">
        <v>170</v>
      </c>
      <c r="D23" s="6" t="s">
        <v>157</v>
      </c>
      <c r="E23" s="26" t="s">
        <v>156</v>
      </c>
      <c r="I23" s="19" t="s">
        <v>4</v>
      </c>
      <c r="J23" s="20">
        <f>J13</f>
        <v>800</v>
      </c>
    </row>
    <row r="24" spans="3:23" ht="18.75" x14ac:dyDescent="0.3">
      <c r="C24" s="11" t="s">
        <v>171</v>
      </c>
      <c r="D24" s="6" t="s">
        <v>157</v>
      </c>
      <c r="E24" s="26" t="s">
        <v>156</v>
      </c>
    </row>
    <row r="25" spans="3:23" ht="18.75" x14ac:dyDescent="0.3">
      <c r="C25" s="11" t="s">
        <v>172</v>
      </c>
      <c r="D25" s="6" t="s">
        <v>157</v>
      </c>
      <c r="E25" s="26" t="s">
        <v>156</v>
      </c>
      <c r="I25" s="37" t="s">
        <v>66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3:23" x14ac:dyDescent="0.25">
      <c r="I26" s="5" t="s">
        <v>16</v>
      </c>
      <c r="J26" s="7" t="s">
        <v>22</v>
      </c>
      <c r="K26" s="7" t="s">
        <v>46</v>
      </c>
      <c r="L26" s="7" t="s">
        <v>26</v>
      </c>
      <c r="M26" s="7" t="s">
        <v>23</v>
      </c>
      <c r="N26" s="7" t="s">
        <v>47</v>
      </c>
      <c r="O26" s="7" t="s">
        <v>28</v>
      </c>
      <c r="P26" s="7" t="s">
        <v>31</v>
      </c>
      <c r="Q26" s="9" t="s">
        <v>32</v>
      </c>
      <c r="R26" s="7" t="s">
        <v>30</v>
      </c>
      <c r="S26" s="7" t="s">
        <v>48</v>
      </c>
      <c r="T26" s="7" t="s">
        <v>36</v>
      </c>
      <c r="U26" s="7" t="s">
        <v>35</v>
      </c>
      <c r="V26" s="7" t="s">
        <v>49</v>
      </c>
      <c r="W26" s="9" t="s">
        <v>34</v>
      </c>
    </row>
    <row r="27" spans="3:23" x14ac:dyDescent="0.25">
      <c r="I27" s="12" t="s">
        <v>81</v>
      </c>
      <c r="J27" s="12">
        <v>24</v>
      </c>
      <c r="K27" s="12">
        <f>J27*2.5</f>
        <v>60</v>
      </c>
      <c r="L27" s="12" t="s">
        <v>82</v>
      </c>
      <c r="M27" s="12">
        <v>20</v>
      </c>
      <c r="N27" s="12">
        <f>M27*2.5</f>
        <v>50</v>
      </c>
      <c r="O27" s="12" t="s">
        <v>4</v>
      </c>
      <c r="P27" s="12">
        <f>J22</f>
        <v>956.25</v>
      </c>
      <c r="Q27" s="12">
        <f>J23</f>
        <v>800</v>
      </c>
      <c r="R27" s="12">
        <f>P27/J27</f>
        <v>39.84375</v>
      </c>
      <c r="S27" s="15">
        <f>P27/K27</f>
        <v>15.9375</v>
      </c>
      <c r="T27" s="12" t="s">
        <v>33</v>
      </c>
      <c r="U27" s="12">
        <v>4</v>
      </c>
      <c r="V27" s="12">
        <f>U27*2.5</f>
        <v>10</v>
      </c>
      <c r="W27" s="15">
        <f>U27*R27</f>
        <v>159.375</v>
      </c>
    </row>
    <row r="29" spans="3:23" x14ac:dyDescent="0.25">
      <c r="I29" s="37" t="s">
        <v>62</v>
      </c>
      <c r="J29" s="38"/>
    </row>
    <row r="30" spans="3:23" x14ac:dyDescent="0.25">
      <c r="I30" s="12" t="s">
        <v>81</v>
      </c>
      <c r="J30" s="15">
        <f>W27</f>
        <v>159.375</v>
      </c>
    </row>
    <row r="32" spans="3:23" x14ac:dyDescent="0.25">
      <c r="I32" s="39" t="s">
        <v>73</v>
      </c>
      <c r="J32" s="40"/>
      <c r="K32" s="41"/>
    </row>
    <row r="33" spans="9:11" x14ac:dyDescent="0.25">
      <c r="I33" s="12" t="s">
        <v>81</v>
      </c>
      <c r="J33" s="15">
        <f>J30</f>
        <v>159.375</v>
      </c>
      <c r="K33" s="12" t="s">
        <v>83</v>
      </c>
    </row>
    <row r="34" spans="9:11" x14ac:dyDescent="0.25">
      <c r="I34" s="12" t="s">
        <v>2</v>
      </c>
      <c r="J34" s="15">
        <f>O12</f>
        <v>1200</v>
      </c>
      <c r="K34" s="12" t="s">
        <v>130</v>
      </c>
    </row>
    <row r="35" spans="9:11" x14ac:dyDescent="0.25">
      <c r="I35" s="12" t="s">
        <v>77</v>
      </c>
      <c r="J35" s="15">
        <f>O14</f>
        <v>0</v>
      </c>
    </row>
    <row r="36" spans="9:11" x14ac:dyDescent="0.25">
      <c r="I36" s="12" t="s">
        <v>78</v>
      </c>
      <c r="J36" s="15" t="e">
        <f>O13</f>
        <v>#REF!</v>
      </c>
    </row>
  </sheetData>
  <mergeCells count="12">
    <mergeCell ref="I17:W17"/>
    <mergeCell ref="C3:Q3"/>
    <mergeCell ref="C5:F5"/>
    <mergeCell ref="I5:W5"/>
    <mergeCell ref="C11:D11"/>
    <mergeCell ref="I11:J11"/>
    <mergeCell ref="L11:O11"/>
    <mergeCell ref="I21:J21"/>
    <mergeCell ref="I25:W25"/>
    <mergeCell ref="I29:J29"/>
    <mergeCell ref="I32:K32"/>
    <mergeCell ref="C18:D18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B9C0-CF53-4747-A2E4-BE80F578FA47}">
  <sheetPr>
    <tabColor rgb="FFFFFF00"/>
  </sheetPr>
  <dimension ref="C1:W30"/>
  <sheetViews>
    <sheetView zoomScale="85" zoomScaleNormal="85" workbookViewId="0">
      <selection activeCell="J33" sqref="J33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0.7109375" style="13" bestFit="1" customWidth="1"/>
    <col min="6" max="6" width="21.5703125" style="13" bestFit="1" customWidth="1"/>
    <col min="7" max="10" width="21.5703125" style="13" customWidth="1"/>
    <col min="11" max="11" width="13.140625" style="13" customWidth="1"/>
    <col min="12" max="12" width="29" style="13" bestFit="1" customWidth="1"/>
    <col min="13" max="13" width="29.140625" style="13" bestFit="1" customWidth="1"/>
    <col min="14" max="14" width="37.42578125" style="13" bestFit="1" customWidth="1"/>
    <col min="15" max="15" width="14.85546875" style="13" bestFit="1" customWidth="1"/>
    <col min="16" max="16" width="29" style="13" bestFit="1" customWidth="1"/>
    <col min="17" max="17" width="31.85546875" style="13" bestFit="1" customWidth="1"/>
    <col min="18" max="19" width="16.28515625" style="13" bestFit="1" customWidth="1"/>
    <col min="20" max="20" width="27.140625" style="13" bestFit="1" customWidth="1"/>
    <col min="21" max="21" width="20" style="13" bestFit="1" customWidth="1"/>
    <col min="22" max="22" width="18.85546875" style="13" bestFit="1" customWidth="1"/>
    <col min="23" max="23" width="23.140625" style="13" bestFit="1" customWidth="1"/>
    <col min="24" max="24" width="14" style="13" bestFit="1" customWidth="1"/>
    <col min="25" max="25" width="16.140625" style="13" bestFit="1" customWidth="1"/>
    <col min="26" max="26" width="12.42578125" style="13" bestFit="1" customWidth="1"/>
    <col min="27" max="27" width="9.140625" style="13"/>
    <col min="28" max="28" width="10" style="13" bestFit="1" customWidth="1"/>
    <col min="29" max="16384" width="9.140625" style="13"/>
  </cols>
  <sheetData>
    <row r="1" spans="3:23" ht="8.25" customHeight="1" x14ac:dyDescent="0.25"/>
    <row r="2" spans="3:23" ht="8.25" customHeight="1" x14ac:dyDescent="0.25"/>
    <row r="3" spans="3:23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14"/>
      <c r="V3" s="14"/>
      <c r="W3" s="14"/>
    </row>
    <row r="4" spans="3:23" ht="24" thickTop="1" x14ac:dyDescent="0.35">
      <c r="U4" s="14"/>
      <c r="V4" s="14"/>
      <c r="W4" s="14"/>
    </row>
    <row r="5" spans="3:23" x14ac:dyDescent="0.25">
      <c r="C5" s="35" t="s">
        <v>38</v>
      </c>
      <c r="D5" s="36"/>
      <c r="E5" s="36"/>
      <c r="F5" s="36"/>
      <c r="G5" s="17"/>
      <c r="H5" s="17"/>
      <c r="I5" s="17"/>
      <c r="J5" s="17"/>
    </row>
    <row r="6" spans="3:23" x14ac:dyDescent="0.25">
      <c r="C6" s="5" t="s">
        <v>16</v>
      </c>
      <c r="D6" s="5" t="s">
        <v>2</v>
      </c>
      <c r="E6" s="5" t="s">
        <v>3</v>
      </c>
      <c r="F6" s="5" t="s">
        <v>134</v>
      </c>
      <c r="G6" s="5" t="s">
        <v>6</v>
      </c>
      <c r="H6" s="5" t="s">
        <v>21</v>
      </c>
      <c r="I6" s="5" t="s">
        <v>78</v>
      </c>
      <c r="J6" s="5" t="s">
        <v>77</v>
      </c>
    </row>
    <row r="7" spans="3:23" x14ac:dyDescent="0.25">
      <c r="C7" s="6" t="s">
        <v>14</v>
      </c>
      <c r="D7" s="6">
        <v>1</v>
      </c>
      <c r="E7" s="6">
        <v>0</v>
      </c>
      <c r="F7" s="6">
        <v>0</v>
      </c>
      <c r="G7" s="6">
        <v>2</v>
      </c>
      <c r="H7" s="6">
        <v>0</v>
      </c>
      <c r="I7" s="6">
        <v>0</v>
      </c>
      <c r="J7" s="6">
        <v>0</v>
      </c>
    </row>
    <row r="8" spans="3:23" x14ac:dyDescent="0.25">
      <c r="C8" s="6" t="s">
        <v>13</v>
      </c>
      <c r="D8" s="6">
        <v>0</v>
      </c>
      <c r="E8" s="6">
        <v>2</v>
      </c>
      <c r="F8" s="6">
        <v>0</v>
      </c>
      <c r="G8" s="6">
        <v>0</v>
      </c>
      <c r="H8" s="6">
        <v>0</v>
      </c>
      <c r="I8" s="6">
        <v>1</v>
      </c>
      <c r="J8" s="6">
        <v>1</v>
      </c>
    </row>
    <row r="9" spans="3:23" x14ac:dyDescent="0.25">
      <c r="C9" s="6" t="s">
        <v>12</v>
      </c>
      <c r="D9" s="6">
        <v>1</v>
      </c>
      <c r="E9" s="6">
        <v>1</v>
      </c>
      <c r="F9" s="6">
        <v>2</v>
      </c>
      <c r="G9" s="6">
        <v>0</v>
      </c>
      <c r="H9" s="6">
        <v>1</v>
      </c>
      <c r="I9" s="6">
        <v>0</v>
      </c>
      <c r="J9" s="6">
        <v>0</v>
      </c>
    </row>
    <row r="11" spans="3:23" x14ac:dyDescent="0.25">
      <c r="C11" s="35" t="s">
        <v>160</v>
      </c>
      <c r="D11" s="36"/>
    </row>
    <row r="12" spans="3:23" x14ac:dyDescent="0.25">
      <c r="C12" s="5" t="s">
        <v>16</v>
      </c>
      <c r="D12" s="5" t="s">
        <v>166</v>
      </c>
      <c r="F12" s="37" t="s">
        <v>45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3:23" x14ac:dyDescent="0.25">
      <c r="C13" s="6" t="s">
        <v>14</v>
      </c>
      <c r="D13" s="6">
        <v>0</v>
      </c>
      <c r="F13" s="5" t="s">
        <v>16</v>
      </c>
      <c r="G13" s="7" t="s">
        <v>22</v>
      </c>
      <c r="H13" s="7" t="s">
        <v>46</v>
      </c>
      <c r="I13" s="7" t="s">
        <v>26</v>
      </c>
      <c r="J13" s="7" t="s">
        <v>23</v>
      </c>
      <c r="K13" s="7" t="s">
        <v>47</v>
      </c>
      <c r="L13" s="7" t="s">
        <v>28</v>
      </c>
      <c r="M13" s="7" t="s">
        <v>31</v>
      </c>
      <c r="N13" s="9" t="s">
        <v>32</v>
      </c>
      <c r="O13" s="7" t="s">
        <v>30</v>
      </c>
      <c r="P13" s="7" t="s">
        <v>48</v>
      </c>
      <c r="Q13" s="7" t="s">
        <v>36</v>
      </c>
      <c r="R13" s="7" t="s">
        <v>35</v>
      </c>
      <c r="S13" s="7" t="s">
        <v>49</v>
      </c>
      <c r="T13" s="9" t="s">
        <v>34</v>
      </c>
    </row>
    <row r="14" spans="3:23" x14ac:dyDescent="0.25">
      <c r="C14" s="6" t="s">
        <v>13</v>
      </c>
      <c r="D14" s="6">
        <f>-E131</f>
        <v>0</v>
      </c>
      <c r="F14" s="12" t="s">
        <v>61</v>
      </c>
      <c r="G14" s="12">
        <v>30</v>
      </c>
      <c r="H14" s="12">
        <f>G14*2.5</f>
        <v>75</v>
      </c>
      <c r="I14" s="12" t="s">
        <v>0</v>
      </c>
      <c r="J14" s="12"/>
      <c r="K14" s="12"/>
      <c r="L14" s="12"/>
      <c r="M14" s="12">
        <v>750</v>
      </c>
      <c r="N14" s="12"/>
      <c r="O14" s="12">
        <f>M14/G14</f>
        <v>25</v>
      </c>
      <c r="P14" s="15">
        <f>M14/H14</f>
        <v>10</v>
      </c>
      <c r="Q14" s="12" t="s">
        <v>27</v>
      </c>
      <c r="R14" s="12">
        <v>30</v>
      </c>
      <c r="S14" s="12">
        <f>R14*2.5</f>
        <v>75</v>
      </c>
      <c r="T14" s="15">
        <f>R14*O14</f>
        <v>750</v>
      </c>
    </row>
    <row r="15" spans="3:23" x14ac:dyDescent="0.25">
      <c r="C15" s="6" t="s">
        <v>12</v>
      </c>
      <c r="D15" s="6">
        <v>7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5"/>
      <c r="Q15" s="12"/>
      <c r="R15" s="12"/>
      <c r="S15" s="12"/>
      <c r="T15" s="15"/>
    </row>
    <row r="16" spans="3:23" x14ac:dyDescent="0.25"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5"/>
      <c r="Q16" s="12"/>
      <c r="R16" s="12"/>
      <c r="S16" s="12"/>
      <c r="T16" s="15"/>
    </row>
    <row r="18" spans="3:20" x14ac:dyDescent="0.25">
      <c r="C18" s="11" t="s">
        <v>165</v>
      </c>
      <c r="D18" s="6">
        <f>(D13*MinerOutputValues!G19) + (D14*MinerOutputValues!G20) + (D15*MinerOutputValues!G21)</f>
        <v>2100</v>
      </c>
      <c r="F18" s="37" t="s">
        <v>50</v>
      </c>
      <c r="G18" s="38"/>
      <c r="I18" s="42" t="s">
        <v>51</v>
      </c>
      <c r="J18" s="43"/>
      <c r="K18" s="43"/>
      <c r="L18" s="43"/>
    </row>
    <row r="19" spans="3:20" x14ac:dyDescent="0.25">
      <c r="F19" s="12" t="s">
        <v>27</v>
      </c>
      <c r="G19" s="15">
        <f>T16+T14</f>
        <v>750</v>
      </c>
      <c r="I19" s="12" t="s">
        <v>0</v>
      </c>
      <c r="J19" s="15">
        <f>D23-M14-M16</f>
        <v>750</v>
      </c>
      <c r="K19" s="12" t="s">
        <v>2</v>
      </c>
      <c r="L19" s="15">
        <f>D16</f>
        <v>0</v>
      </c>
    </row>
    <row r="20" spans="3:20" x14ac:dyDescent="0.25">
      <c r="F20" s="12"/>
      <c r="G20" s="15">
        <f>T15</f>
        <v>0</v>
      </c>
      <c r="I20" s="12"/>
      <c r="J20" s="15"/>
      <c r="K20" s="12"/>
      <c r="L20" s="15"/>
    </row>
    <row r="21" spans="3:20" x14ac:dyDescent="0.25">
      <c r="C21" s="35" t="s">
        <v>41</v>
      </c>
      <c r="D21" s="36"/>
      <c r="I21" s="12"/>
      <c r="J21" s="15"/>
      <c r="K21" s="12"/>
      <c r="L21" s="15"/>
    </row>
    <row r="22" spans="3:20" x14ac:dyDescent="0.25">
      <c r="C22" s="5" t="s">
        <v>16</v>
      </c>
      <c r="D22" s="5" t="s">
        <v>42</v>
      </c>
    </row>
    <row r="23" spans="3:20" x14ac:dyDescent="0.25">
      <c r="C23" s="6" t="s">
        <v>2</v>
      </c>
      <c r="D23" s="6">
        <f>(D7*MinerOutputValues!D25) + (D8*MinerOutputValues!D26) + (D9*MinerOutputValues!D27)</f>
        <v>1500</v>
      </c>
    </row>
    <row r="24" spans="3:20" x14ac:dyDescent="0.25">
      <c r="C24" s="6" t="s">
        <v>3</v>
      </c>
      <c r="D24" s="6">
        <f>(E7*MinerOutputValues!D25) + (E8*MinerOutputValues!D26) + (E9*MinerOutputValues!D27)</f>
        <v>2400</v>
      </c>
      <c r="F24" s="37" t="s">
        <v>66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3:20" x14ac:dyDescent="0.25">
      <c r="C25" s="6" t="s">
        <v>6</v>
      </c>
      <c r="D25" s="6">
        <f>(G7*MinerOutputValues!D25) + (G8*MinerOutputValues!D26) + (G9*MinerOutputValues!D27)</f>
        <v>600</v>
      </c>
      <c r="F25" s="5" t="s">
        <v>16</v>
      </c>
      <c r="G25" s="7" t="s">
        <v>22</v>
      </c>
      <c r="H25" s="7" t="s">
        <v>46</v>
      </c>
      <c r="I25" s="7" t="s">
        <v>26</v>
      </c>
      <c r="J25" s="7" t="s">
        <v>23</v>
      </c>
      <c r="K25" s="7" t="s">
        <v>47</v>
      </c>
      <c r="L25" s="7" t="s">
        <v>28</v>
      </c>
      <c r="M25" s="7" t="s">
        <v>31</v>
      </c>
      <c r="N25" s="9" t="s">
        <v>32</v>
      </c>
      <c r="O25" s="7" t="s">
        <v>30</v>
      </c>
      <c r="P25" s="7" t="s">
        <v>48</v>
      </c>
      <c r="Q25" s="7" t="s">
        <v>36</v>
      </c>
      <c r="R25" s="7" t="s">
        <v>35</v>
      </c>
      <c r="S25" s="7" t="s">
        <v>49</v>
      </c>
      <c r="T25" s="9" t="s">
        <v>34</v>
      </c>
    </row>
    <row r="26" spans="3:20" x14ac:dyDescent="0.25">
      <c r="C26" s="6" t="s">
        <v>134</v>
      </c>
      <c r="D26" s="6">
        <f>(F7*MinerOutputValues!D25) + (F8*MinerOutputValues!D26) + (F9*MinerOutputValues!D27)</f>
        <v>2400</v>
      </c>
      <c r="F26" s="12" t="s">
        <v>80</v>
      </c>
      <c r="G26" s="12">
        <v>100</v>
      </c>
      <c r="H26" s="12">
        <f>G26*2.5</f>
        <v>250</v>
      </c>
      <c r="I26" s="12" t="s">
        <v>27</v>
      </c>
      <c r="J26" s="12"/>
      <c r="K26" s="12"/>
      <c r="L26" s="12"/>
      <c r="M26" s="12">
        <f>G19</f>
        <v>750</v>
      </c>
      <c r="N26" s="12"/>
      <c r="O26" s="12">
        <f>M26/G26</f>
        <v>7.5</v>
      </c>
      <c r="P26" s="15">
        <f>M26/H26</f>
        <v>3</v>
      </c>
      <c r="Q26" s="12" t="s">
        <v>33</v>
      </c>
      <c r="R26" s="12">
        <v>25</v>
      </c>
      <c r="S26" s="12">
        <f>R26*2.5</f>
        <v>62.5</v>
      </c>
      <c r="T26" s="15">
        <f>R26*O26</f>
        <v>187.5</v>
      </c>
    </row>
    <row r="27" spans="3:20" x14ac:dyDescent="0.25">
      <c r="C27" s="6" t="s">
        <v>166</v>
      </c>
      <c r="D27" s="6">
        <f xml:space="preserve"> D17+D18</f>
        <v>2100</v>
      </c>
    </row>
    <row r="28" spans="3:20" x14ac:dyDescent="0.25">
      <c r="C28" s="6" t="s">
        <v>21</v>
      </c>
      <c r="D28" s="6">
        <f>(H7*MinerOutputValues!D25) + (H8*MinerOutputValues!D26) + (H9*MinerOutputValues!D27)</f>
        <v>1200</v>
      </c>
    </row>
    <row r="29" spans="3:20" x14ac:dyDescent="0.25">
      <c r="C29" s="6" t="s">
        <v>78</v>
      </c>
      <c r="D29" s="6">
        <f>(I7*MinerOutputValues!D25) + (I8*MinerOutputValues!D26) + (I9*MinerOutputValues!D27)</f>
        <v>600</v>
      </c>
    </row>
    <row r="30" spans="3:20" x14ac:dyDescent="0.25">
      <c r="C30" s="6" t="s">
        <v>77</v>
      </c>
      <c r="D30" s="6">
        <f>(J7*MinerOutputValues!D25) + (J8*MinerOutputValues!D26) + (J9*MinerOutputValues!D27)</f>
        <v>600</v>
      </c>
    </row>
  </sheetData>
  <mergeCells count="8">
    <mergeCell ref="F24:T24"/>
    <mergeCell ref="C21:D21"/>
    <mergeCell ref="C11:D11"/>
    <mergeCell ref="C3:T3"/>
    <mergeCell ref="C5:F5"/>
    <mergeCell ref="F12:T12"/>
    <mergeCell ref="F18:G18"/>
    <mergeCell ref="I18:L18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5443-0053-478D-9F09-AD59ACF2EF9E}">
  <sheetPr>
    <tabColor rgb="FF00B050"/>
  </sheetPr>
  <dimension ref="C1:Y39"/>
  <sheetViews>
    <sheetView topLeftCell="K1" zoomScale="85" zoomScaleNormal="85" workbookViewId="0">
      <selection activeCell="N60" sqref="N60"/>
    </sheetView>
  </sheetViews>
  <sheetFormatPr defaultColWidth="9.140625" defaultRowHeight="15" x14ac:dyDescent="0.25"/>
  <cols>
    <col min="1" max="2" width="2.5703125" style="13" customWidth="1"/>
    <col min="3" max="3" width="25.85546875" style="13" bestFit="1" customWidth="1"/>
    <col min="4" max="4" width="15.85546875" style="13" bestFit="1" customWidth="1"/>
    <col min="5" max="5" width="12.140625" style="13" bestFit="1" customWidth="1"/>
    <col min="6" max="6" width="21.5703125" style="13" bestFit="1" customWidth="1"/>
    <col min="7" max="9" width="21.5703125" style="13" customWidth="1"/>
    <col min="10" max="10" width="9.85546875" style="13" bestFit="1" customWidth="1"/>
    <col min="11" max="11" width="29" style="13" bestFit="1" customWidth="1"/>
    <col min="12" max="12" width="29.140625" style="13" bestFit="1" customWidth="1"/>
    <col min="13" max="13" width="57.140625" style="13" bestFit="1" customWidth="1"/>
    <col min="14" max="14" width="14.85546875" style="13" bestFit="1" customWidth="1"/>
    <col min="15" max="15" width="29" style="13" bestFit="1" customWidth="1"/>
    <col min="16" max="16" width="31.85546875" style="13" bestFit="1" customWidth="1"/>
    <col min="17" max="18" width="16.28515625" style="13" bestFit="1" customWidth="1"/>
    <col min="19" max="19" width="27.140625" style="13" bestFit="1" customWidth="1"/>
    <col min="20" max="20" width="20" style="13" bestFit="1" customWidth="1"/>
    <col min="21" max="21" width="18.85546875" style="13" bestFit="1" customWidth="1"/>
    <col min="22" max="22" width="24.5703125" style="13" bestFit="1" customWidth="1"/>
    <col min="23" max="23" width="14" style="13" bestFit="1" customWidth="1"/>
    <col min="24" max="24" width="16.140625" style="13" bestFit="1" customWidth="1"/>
    <col min="25" max="25" width="12.42578125" style="13" bestFit="1" customWidth="1"/>
    <col min="26" max="26" width="9.140625" style="13"/>
    <col min="27" max="27" width="10" style="13" bestFit="1" customWidth="1"/>
    <col min="28" max="16384" width="9.140625" style="13"/>
  </cols>
  <sheetData>
    <row r="1" spans="3:25" ht="8.25" customHeight="1" x14ac:dyDescent="0.25"/>
    <row r="2" spans="3:25" ht="8.25" customHeight="1" x14ac:dyDescent="0.25"/>
    <row r="3" spans="3:25" ht="29.25" thickBot="1" x14ac:dyDescent="0.4">
      <c r="C3" s="34" t="s">
        <v>24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4"/>
      <c r="U3" s="14"/>
      <c r="V3" s="14"/>
    </row>
    <row r="4" spans="3:25" ht="24" thickTop="1" x14ac:dyDescent="0.35">
      <c r="T4" s="14"/>
      <c r="U4" s="14"/>
      <c r="V4" s="14"/>
    </row>
    <row r="5" spans="3:25" x14ac:dyDescent="0.25">
      <c r="C5" s="35" t="s">
        <v>38</v>
      </c>
      <c r="D5" s="36"/>
      <c r="E5" s="36"/>
      <c r="F5" s="36"/>
      <c r="G5" s="17"/>
      <c r="H5" s="17"/>
      <c r="I5" s="17"/>
      <c r="K5" s="37" t="s">
        <v>45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3:25" x14ac:dyDescent="0.25">
      <c r="C6" s="5" t="s">
        <v>16</v>
      </c>
      <c r="D6" s="5" t="s">
        <v>5</v>
      </c>
      <c r="E6" s="5" t="s">
        <v>6</v>
      </c>
      <c r="F6" s="5" t="s">
        <v>3</v>
      </c>
      <c r="G6" s="8" t="s">
        <v>2</v>
      </c>
      <c r="H6" s="8" t="s">
        <v>77</v>
      </c>
      <c r="I6" s="8" t="s">
        <v>78</v>
      </c>
      <c r="K6" s="5" t="s">
        <v>16</v>
      </c>
      <c r="L6" s="7" t="s">
        <v>22</v>
      </c>
      <c r="M6" s="7" t="s">
        <v>46</v>
      </c>
      <c r="N6" s="7" t="s">
        <v>26</v>
      </c>
      <c r="O6" s="7" t="s">
        <v>23</v>
      </c>
      <c r="P6" s="7" t="s">
        <v>47</v>
      </c>
      <c r="Q6" s="7" t="s">
        <v>28</v>
      </c>
      <c r="R6" s="7" t="s">
        <v>31</v>
      </c>
      <c r="S6" s="9" t="s">
        <v>32</v>
      </c>
      <c r="T6" s="7" t="s">
        <v>30</v>
      </c>
      <c r="U6" s="7" t="s">
        <v>48</v>
      </c>
      <c r="V6" s="7" t="s">
        <v>36</v>
      </c>
      <c r="W6" s="7" t="s">
        <v>35</v>
      </c>
      <c r="X6" s="7" t="s">
        <v>49</v>
      </c>
      <c r="Y6" s="9" t="s">
        <v>34</v>
      </c>
    </row>
    <row r="7" spans="3:25" x14ac:dyDescent="0.25">
      <c r="C7" s="6" t="s">
        <v>14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K7" s="12" t="s">
        <v>4</v>
      </c>
      <c r="L7" s="12">
        <v>45</v>
      </c>
      <c r="M7" s="12">
        <f>L7*2.5</f>
        <v>112.5</v>
      </c>
      <c r="N7" s="12" t="s">
        <v>3</v>
      </c>
      <c r="O7" s="12"/>
      <c r="P7" s="12"/>
      <c r="Q7" s="12"/>
      <c r="R7" s="12">
        <v>2400</v>
      </c>
      <c r="S7" s="12"/>
      <c r="T7" s="12">
        <f>R7/L7</f>
        <v>53.333333333333336</v>
      </c>
      <c r="U7" s="15">
        <f>R7/L7</f>
        <v>53.333333333333336</v>
      </c>
      <c r="V7" s="12" t="s">
        <v>4</v>
      </c>
      <c r="W7" s="12">
        <v>15</v>
      </c>
      <c r="X7" s="12">
        <f>W7*2.5</f>
        <v>37.5</v>
      </c>
      <c r="Y7" s="15">
        <f>W7*T7</f>
        <v>800</v>
      </c>
    </row>
    <row r="8" spans="3:25" x14ac:dyDescent="0.25">
      <c r="C8" s="6" t="s">
        <v>13</v>
      </c>
      <c r="D8" s="6">
        <v>4</v>
      </c>
      <c r="E8" s="6">
        <v>1</v>
      </c>
      <c r="F8" s="6">
        <v>4</v>
      </c>
      <c r="G8" s="6">
        <v>0</v>
      </c>
      <c r="H8" s="6">
        <v>1</v>
      </c>
      <c r="I8" s="6">
        <v>0</v>
      </c>
      <c r="K8" s="12" t="s">
        <v>79</v>
      </c>
      <c r="L8" s="12">
        <v>40</v>
      </c>
      <c r="M8" s="12">
        <f>L8*2</f>
        <v>80</v>
      </c>
      <c r="N8" s="12" t="s">
        <v>0</v>
      </c>
      <c r="O8" s="12">
        <v>10</v>
      </c>
      <c r="P8" s="12">
        <f>O8*2</f>
        <v>20</v>
      </c>
      <c r="Q8" s="12" t="s">
        <v>1</v>
      </c>
      <c r="R8" s="12">
        <f>L8*T8</f>
        <v>2400</v>
      </c>
      <c r="S8" s="12">
        <v>600</v>
      </c>
      <c r="T8" s="12">
        <v>60</v>
      </c>
      <c r="U8" s="15">
        <f>R8/M8</f>
        <v>30</v>
      </c>
      <c r="V8" s="12" t="s">
        <v>61</v>
      </c>
      <c r="W8" s="12">
        <v>75</v>
      </c>
      <c r="X8" s="12">
        <f>W8*2</f>
        <v>150</v>
      </c>
      <c r="Y8" s="15">
        <f>W8*T8</f>
        <v>4500</v>
      </c>
    </row>
    <row r="9" spans="3:25" x14ac:dyDescent="0.25">
      <c r="C9" s="6" t="s">
        <v>12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</row>
    <row r="11" spans="3:25" x14ac:dyDescent="0.25">
      <c r="C11" s="35" t="s">
        <v>41</v>
      </c>
      <c r="D11" s="36"/>
      <c r="K11" s="37" t="s">
        <v>50</v>
      </c>
      <c r="L11" s="38"/>
      <c r="N11" s="42" t="s">
        <v>51</v>
      </c>
      <c r="O11" s="43"/>
      <c r="P11" s="43"/>
      <c r="Q11" s="43"/>
    </row>
    <row r="12" spans="3:25" x14ac:dyDescent="0.25">
      <c r="C12" s="5" t="s">
        <v>16</v>
      </c>
      <c r="D12" s="5" t="s">
        <v>42</v>
      </c>
      <c r="K12" s="12" t="s">
        <v>27</v>
      </c>
      <c r="L12" s="15">
        <f>Y8</f>
        <v>4500</v>
      </c>
      <c r="N12" s="12" t="s">
        <v>0</v>
      </c>
      <c r="O12" s="15" t="e">
        <f>D13-#REF!-R8</f>
        <v>#REF!</v>
      </c>
      <c r="P12" s="12" t="s">
        <v>2</v>
      </c>
      <c r="Q12" s="15">
        <f>D16</f>
        <v>1200</v>
      </c>
    </row>
    <row r="13" spans="3:25" x14ac:dyDescent="0.25">
      <c r="C13" s="11" t="s">
        <v>5</v>
      </c>
      <c r="D13" s="6">
        <f>(D7*MinerOutputValues!D25) + (D8*MinerOutputValues!D26) + (D9*MinerOutputValues!D27)</f>
        <v>2400</v>
      </c>
      <c r="K13" s="12" t="s">
        <v>4</v>
      </c>
      <c r="L13" s="15">
        <f>Y7</f>
        <v>800</v>
      </c>
      <c r="N13" s="12" t="s">
        <v>1</v>
      </c>
      <c r="O13" s="15">
        <f>D14-S8</f>
        <v>0</v>
      </c>
      <c r="P13" s="12" t="s">
        <v>78</v>
      </c>
      <c r="Q13" s="15">
        <f>D18</f>
        <v>300</v>
      </c>
    </row>
    <row r="14" spans="3:25" x14ac:dyDescent="0.25">
      <c r="C14" s="11" t="s">
        <v>6</v>
      </c>
      <c r="D14" s="6">
        <f>(E7*MinerOutputValues!D25) + (E8*MinerOutputValues!D26) + (E9*MinerOutputValues!D27)</f>
        <v>600</v>
      </c>
      <c r="N14" s="12" t="s">
        <v>3</v>
      </c>
      <c r="O14" s="15">
        <f>D15-R7</f>
        <v>0</v>
      </c>
      <c r="P14" s="12" t="s">
        <v>77</v>
      </c>
      <c r="Q14" s="15">
        <f>D17</f>
        <v>600</v>
      </c>
    </row>
    <row r="15" spans="3:25" x14ac:dyDescent="0.25">
      <c r="C15" s="11" t="s">
        <v>3</v>
      </c>
      <c r="D15" s="6">
        <f>(F7*MinerOutputValues!D25) + (F8*MinerOutputValues!D26) + (F9*MinerOutputValues!D27)</f>
        <v>2400</v>
      </c>
    </row>
    <row r="16" spans="3:25" x14ac:dyDescent="0.25">
      <c r="C16" s="11" t="s">
        <v>2</v>
      </c>
      <c r="D16" s="6">
        <f>(G7*MinerOutputValues!D25) + (G8*MinerOutputValues!D26) + (G9*MinerOutputValues!D27)</f>
        <v>1200</v>
      </c>
    </row>
    <row r="17" spans="3:25" x14ac:dyDescent="0.25">
      <c r="C17" s="11" t="s">
        <v>77</v>
      </c>
      <c r="D17" s="6">
        <f>(H7*MinerOutputValues!D25) + (H8*MinerOutputValues!D26) + (H9*MinerOutputValues!D27)</f>
        <v>600</v>
      </c>
      <c r="K17" s="37" t="s">
        <v>66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3:25" x14ac:dyDescent="0.25">
      <c r="C18" s="11" t="s">
        <v>78</v>
      </c>
      <c r="D18" s="6">
        <f>(I7*MinerOutputValues!D25) + (I8*MinerOutputValues!D26) + (I9*MinerOutputValues!D27)</f>
        <v>300</v>
      </c>
      <c r="K18" s="5" t="s">
        <v>16</v>
      </c>
      <c r="L18" s="7" t="s">
        <v>22</v>
      </c>
      <c r="M18" s="7" t="s">
        <v>46</v>
      </c>
      <c r="N18" s="7" t="s">
        <v>26</v>
      </c>
      <c r="O18" s="7" t="s">
        <v>23</v>
      </c>
      <c r="P18" s="7" t="s">
        <v>47</v>
      </c>
      <c r="Q18" s="7" t="s">
        <v>28</v>
      </c>
      <c r="R18" s="7" t="s">
        <v>31</v>
      </c>
      <c r="S18" s="9" t="s">
        <v>32</v>
      </c>
      <c r="T18" s="7" t="s">
        <v>30</v>
      </c>
      <c r="U18" s="7" t="s">
        <v>48</v>
      </c>
      <c r="V18" s="7" t="s">
        <v>36</v>
      </c>
      <c r="W18" s="7" t="s">
        <v>35</v>
      </c>
      <c r="X18" s="7" t="s">
        <v>49</v>
      </c>
      <c r="Y18" s="9" t="s">
        <v>34</v>
      </c>
    </row>
    <row r="19" spans="3:25" x14ac:dyDescent="0.25">
      <c r="K19" s="12" t="s">
        <v>80</v>
      </c>
      <c r="L19" s="12">
        <v>100</v>
      </c>
      <c r="M19" s="12">
        <f>L19*2.5</f>
        <v>250</v>
      </c>
      <c r="N19" s="12" t="s">
        <v>27</v>
      </c>
      <c r="O19" s="12"/>
      <c r="P19" s="12"/>
      <c r="Q19" s="12"/>
      <c r="R19" s="12">
        <f>L12</f>
        <v>4500</v>
      </c>
      <c r="S19" s="12"/>
      <c r="T19" s="12">
        <f>R19/L19</f>
        <v>45</v>
      </c>
      <c r="U19" s="15">
        <f>R19/M19</f>
        <v>18</v>
      </c>
      <c r="V19" s="12" t="s">
        <v>227</v>
      </c>
      <c r="W19" s="12">
        <v>25</v>
      </c>
      <c r="X19" s="12">
        <f>W19*2.5</f>
        <v>62.5</v>
      </c>
      <c r="Y19" s="15">
        <f>W19*T19</f>
        <v>1125</v>
      </c>
    </row>
    <row r="21" spans="3:25" x14ac:dyDescent="0.25">
      <c r="K21" s="37" t="s">
        <v>62</v>
      </c>
      <c r="L21" s="38"/>
    </row>
    <row r="22" spans="3:25" x14ac:dyDescent="0.25">
      <c r="K22" s="12" t="s">
        <v>80</v>
      </c>
      <c r="L22" s="15">
        <f>Y19</f>
        <v>1125</v>
      </c>
    </row>
    <row r="23" spans="3:25" x14ac:dyDescent="0.25">
      <c r="K23" s="19" t="s">
        <v>4</v>
      </c>
      <c r="L23" s="20">
        <f>L13</f>
        <v>800</v>
      </c>
    </row>
    <row r="25" spans="3:25" x14ac:dyDescent="0.25">
      <c r="K25" s="37" t="s">
        <v>66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3:25" x14ac:dyDescent="0.25">
      <c r="K26" s="5" t="s">
        <v>16</v>
      </c>
      <c r="L26" s="7" t="s">
        <v>22</v>
      </c>
      <c r="M26" s="7" t="s">
        <v>46</v>
      </c>
      <c r="N26" s="7" t="s">
        <v>26</v>
      </c>
      <c r="O26" s="7" t="s">
        <v>23</v>
      </c>
      <c r="P26" s="7" t="s">
        <v>47</v>
      </c>
      <c r="Q26" s="7" t="s">
        <v>28</v>
      </c>
      <c r="R26" s="7" t="s">
        <v>31</v>
      </c>
      <c r="S26" s="9" t="s">
        <v>32</v>
      </c>
      <c r="T26" s="7" t="s">
        <v>30</v>
      </c>
      <c r="U26" s="7" t="s">
        <v>48</v>
      </c>
      <c r="V26" s="7" t="s">
        <v>36</v>
      </c>
      <c r="W26" s="7" t="s">
        <v>35</v>
      </c>
      <c r="X26" s="7" t="s">
        <v>49</v>
      </c>
      <c r="Y26" s="9" t="s">
        <v>34</v>
      </c>
    </row>
    <row r="27" spans="3:25" x14ac:dyDescent="0.25">
      <c r="K27" s="12" t="s">
        <v>81</v>
      </c>
      <c r="L27" s="12">
        <v>24</v>
      </c>
      <c r="M27" s="12">
        <f>L27*2.5</f>
        <v>60</v>
      </c>
      <c r="N27" s="12" t="s">
        <v>82</v>
      </c>
      <c r="O27" s="12">
        <v>20</v>
      </c>
      <c r="P27" s="12">
        <f>O27*2.5</f>
        <v>50</v>
      </c>
      <c r="Q27" s="12" t="s">
        <v>4</v>
      </c>
      <c r="R27" s="12">
        <f>L27*T27</f>
        <v>960</v>
      </c>
      <c r="S27" s="12">
        <f>L23</f>
        <v>800</v>
      </c>
      <c r="T27" s="12">
        <f>S27/O27</f>
        <v>40</v>
      </c>
      <c r="U27" s="15">
        <f>R27/M27</f>
        <v>16</v>
      </c>
      <c r="V27" s="12" t="s">
        <v>81</v>
      </c>
      <c r="W27" s="12">
        <v>4</v>
      </c>
      <c r="X27" s="12">
        <f>W27*2.5</f>
        <v>10</v>
      </c>
      <c r="Y27" s="15">
        <f>W27*T27</f>
        <v>160</v>
      </c>
    </row>
    <row r="29" spans="3:25" x14ac:dyDescent="0.25">
      <c r="K29" s="37" t="s">
        <v>62</v>
      </c>
      <c r="L29" s="38"/>
    </row>
    <row r="30" spans="3:25" x14ac:dyDescent="0.25">
      <c r="K30" s="12" t="s">
        <v>81</v>
      </c>
      <c r="L30" s="15">
        <f>Y27</f>
        <v>160</v>
      </c>
    </row>
    <row r="32" spans="3:25" x14ac:dyDescent="0.25">
      <c r="K32" s="37" t="s">
        <v>101</v>
      </c>
      <c r="L32" s="38"/>
    </row>
    <row r="33" spans="11:13" x14ac:dyDescent="0.25">
      <c r="K33" s="12" t="s">
        <v>82</v>
      </c>
      <c r="L33" s="15">
        <f>L22-R27</f>
        <v>165</v>
      </c>
      <c r="M33" s="12" t="s">
        <v>226</v>
      </c>
    </row>
    <row r="35" spans="11:13" x14ac:dyDescent="0.25">
      <c r="K35" s="39" t="s">
        <v>73</v>
      </c>
      <c r="L35" s="40"/>
      <c r="M35" s="41"/>
    </row>
    <row r="36" spans="11:13" x14ac:dyDescent="0.25">
      <c r="K36" s="12" t="s">
        <v>81</v>
      </c>
      <c r="L36" s="15">
        <f>L30</f>
        <v>160</v>
      </c>
      <c r="M36" s="12" t="s">
        <v>83</v>
      </c>
    </row>
    <row r="37" spans="11:13" x14ac:dyDescent="0.25">
      <c r="K37" s="12" t="s">
        <v>2</v>
      </c>
      <c r="L37" s="15">
        <f>Q12</f>
        <v>1200</v>
      </c>
      <c r="M37" s="12" t="s">
        <v>130</v>
      </c>
    </row>
    <row r="38" spans="11:13" x14ac:dyDescent="0.25">
      <c r="K38" s="12" t="s">
        <v>77</v>
      </c>
      <c r="L38" s="15">
        <f>Q14</f>
        <v>600</v>
      </c>
    </row>
    <row r="39" spans="11:13" x14ac:dyDescent="0.25">
      <c r="K39" s="12" t="s">
        <v>78</v>
      </c>
      <c r="L39" s="15">
        <f>Q13</f>
        <v>300</v>
      </c>
    </row>
  </sheetData>
  <mergeCells count="12">
    <mergeCell ref="K17:Y17"/>
    <mergeCell ref="K25:Y25"/>
    <mergeCell ref="K29:L29"/>
    <mergeCell ref="K35:M35"/>
    <mergeCell ref="K21:L21"/>
    <mergeCell ref="K32:L32"/>
    <mergeCell ref="C3:S3"/>
    <mergeCell ref="C5:F5"/>
    <mergeCell ref="K5:Y5"/>
    <mergeCell ref="C11:D11"/>
    <mergeCell ref="K11:L11"/>
    <mergeCell ref="N11:Q1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Regional Production</vt:lpstr>
      <vt:lpstr>GrasslandsTrainHub</vt:lpstr>
      <vt:lpstr>Grasslands Central</vt:lpstr>
      <vt:lpstr>CoalLake</vt:lpstr>
      <vt:lpstr>Grasslands Void</vt:lpstr>
      <vt:lpstr>CoastalRig</vt:lpstr>
      <vt:lpstr>CoastalComputers</vt:lpstr>
      <vt:lpstr>GrasslandsNorthernForest</vt:lpstr>
      <vt:lpstr>GrasslandsSouthEast</vt:lpstr>
      <vt:lpstr>GrasslandsSouthwest</vt:lpstr>
      <vt:lpstr>GrasslandsSouth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Christopher Olson</cp:lastModifiedBy>
  <cp:lastPrinted>2022-03-04T20:14:29Z</cp:lastPrinted>
  <dcterms:created xsi:type="dcterms:W3CDTF">2022-02-21T19:44:59Z</dcterms:created>
  <dcterms:modified xsi:type="dcterms:W3CDTF">2024-09-27T06:29:46Z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