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CodeBase\Documents\"/>
    </mc:Choice>
  </mc:AlternateContent>
  <xr:revisionPtr revIDLastSave="0" documentId="13_ncr:1_{8768EA01-0258-4E65-900B-026AC927FD34}" xr6:coauthVersionLast="46" xr6:coauthVersionMax="47" xr10:uidLastSave="{00000000-0000-0000-0000-000000000000}"/>
  <bookViews>
    <workbookView xWindow="-120" yWindow="-120" windowWidth="29040" windowHeight="15840" tabRatio="780" activeTab="4" xr2:uid="{16EA9A20-0D63-4694-8194-00B2147553CC}"/>
  </bookViews>
  <sheets>
    <sheet name="AgendaToDo" sheetId="8" r:id="rId1"/>
    <sheet name="OverallResources" sheetId="19" r:id="rId2"/>
    <sheet name="TierLocationOrganization" sheetId="1" r:id="rId3"/>
    <sheet name="GrasslandRegionalProduction" sheetId="6" r:id="rId4"/>
    <sheet name="QuickwireCoast" sheetId="18" r:id="rId5"/>
    <sheet name="SteelLakeSite" sheetId="17" r:id="rId6"/>
    <sheet name="OffshoreMegaRefinery" sheetId="16" r:id="rId7"/>
    <sheet name="SilicaCaveSite" sheetId="13" r:id="rId8"/>
    <sheet name="SWNitrogenFacility" sheetId="14" r:id="rId9"/>
    <sheet name="Diagrams" sheetId="2" r:id="rId10"/>
    <sheet name="GrasslandTrainHubStations" sheetId="9" r:id="rId11"/>
    <sheet name="MinerOutputValues" sheetId="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8" l="1"/>
  <c r="F27" i="18"/>
  <c r="F28" i="18" s="1"/>
  <c r="F8" i="18"/>
  <c r="E8" i="18"/>
  <c r="F23" i="18"/>
  <c r="F19" i="18"/>
  <c r="F15" i="18"/>
  <c r="F14" i="18"/>
  <c r="F13" i="18"/>
  <c r="M28" i="6"/>
  <c r="P11" i="19"/>
  <c r="P12" i="19"/>
  <c r="P19" i="19"/>
  <c r="P10" i="19"/>
  <c r="P6" i="19"/>
  <c r="P8" i="19"/>
  <c r="P7" i="19"/>
  <c r="P17" i="19"/>
  <c r="P9" i="19"/>
  <c r="P15" i="19"/>
  <c r="P18" i="19"/>
  <c r="P20" i="19"/>
  <c r="P22" i="19"/>
  <c r="P5" i="19"/>
  <c r="P16" i="19"/>
  <c r="P13" i="19"/>
  <c r="P14" i="19"/>
  <c r="D16" i="19"/>
  <c r="M5" i="19"/>
  <c r="M4" i="19"/>
  <c r="J5" i="19"/>
  <c r="J6" i="19"/>
  <c r="J7" i="19"/>
  <c r="J8" i="19"/>
  <c r="J4" i="19"/>
  <c r="G5" i="19"/>
  <c r="G6" i="19"/>
  <c r="G4" i="19"/>
  <c r="D5" i="19"/>
  <c r="D6" i="19"/>
  <c r="D7" i="19"/>
  <c r="D8" i="19"/>
  <c r="D9" i="19"/>
  <c r="D10" i="19"/>
  <c r="D11" i="19"/>
  <c r="D12" i="19"/>
  <c r="D13" i="19"/>
  <c r="D14" i="19"/>
  <c r="D15" i="19"/>
  <c r="D4" i="19"/>
  <c r="J111" i="6"/>
  <c r="J108" i="6"/>
  <c r="J86" i="6"/>
  <c r="K67" i="6"/>
  <c r="O67" i="6" s="1"/>
  <c r="N67" i="6"/>
  <c r="K68" i="6"/>
  <c r="O68" i="6" s="1"/>
  <c r="N68" i="6"/>
  <c r="K69" i="6"/>
  <c r="O69" i="6" s="1"/>
  <c r="N69" i="6"/>
  <c r="K70" i="6"/>
  <c r="O70" i="6" s="1"/>
  <c r="N70" i="6"/>
  <c r="K71" i="6"/>
  <c r="N71" i="6"/>
  <c r="N72" i="6"/>
  <c r="X105" i="6"/>
  <c r="J120" i="6" s="1"/>
  <c r="V105" i="6"/>
  <c r="U105" i="6"/>
  <c r="T105" i="6"/>
  <c r="X104" i="6"/>
  <c r="J119" i="6" s="1"/>
  <c r="V104" i="6"/>
  <c r="U104" i="6"/>
  <c r="J124" i="6" s="1"/>
  <c r="T104" i="6"/>
  <c r="X103" i="6"/>
  <c r="J118" i="6" s="1"/>
  <c r="W103" i="6"/>
  <c r="V103" i="6"/>
  <c r="U103" i="6"/>
  <c r="T103" i="6"/>
  <c r="O78" i="6"/>
  <c r="O79" i="6"/>
  <c r="O80" i="6"/>
  <c r="O81" i="6"/>
  <c r="O82" i="6"/>
  <c r="O77" i="6"/>
  <c r="R82" i="6"/>
  <c r="J99" i="6" s="1"/>
  <c r="J116" i="6" s="1"/>
  <c r="N82" i="6"/>
  <c r="R81" i="6"/>
  <c r="N81" i="6"/>
  <c r="R80" i="6"/>
  <c r="N80" i="6"/>
  <c r="R79" i="6"/>
  <c r="J96" i="6" s="1"/>
  <c r="N79" i="6"/>
  <c r="R78" i="6"/>
  <c r="J95" i="6" s="1"/>
  <c r="N78" i="6"/>
  <c r="R77" i="6"/>
  <c r="J94" i="6" s="1"/>
  <c r="N77" i="6"/>
  <c r="O55" i="6"/>
  <c r="O54" i="6"/>
  <c r="N53" i="6"/>
  <c r="N54" i="6"/>
  <c r="N55" i="6"/>
  <c r="N52" i="6"/>
  <c r="N51" i="6"/>
  <c r="N49" i="6"/>
  <c r="O50" i="6"/>
  <c r="R49" i="6"/>
  <c r="R48" i="6"/>
  <c r="N48" i="6"/>
  <c r="N50" i="6"/>
  <c r="P35" i="6"/>
  <c r="J41" i="6" s="1"/>
  <c r="P36" i="6"/>
  <c r="J42" i="6" s="1"/>
  <c r="P37" i="6"/>
  <c r="J43" i="6" s="1"/>
  <c r="P38" i="6"/>
  <c r="J44" i="6" s="1"/>
  <c r="L38" i="6"/>
  <c r="L37" i="6"/>
  <c r="L36" i="6"/>
  <c r="L35" i="6"/>
  <c r="E103" i="6"/>
  <c r="E102" i="6"/>
  <c r="E101" i="6"/>
  <c r="E104" i="6"/>
  <c r="E100" i="6"/>
  <c r="E99" i="6"/>
  <c r="E98" i="6"/>
  <c r="E97" i="6"/>
  <c r="P34" i="6"/>
  <c r="L34" i="6"/>
  <c r="M41" i="6" s="1"/>
  <c r="S21" i="6"/>
  <c r="J30" i="6" s="1"/>
  <c r="N21" i="6"/>
  <c r="E91" i="6"/>
  <c r="E90" i="6"/>
  <c r="E86" i="6"/>
  <c r="E85" i="6"/>
  <c r="E81" i="6"/>
  <c r="E80" i="6"/>
  <c r="E76" i="6"/>
  <c r="E75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58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27" i="6"/>
  <c r="E50" i="6"/>
  <c r="E51" i="6"/>
  <c r="E52" i="6"/>
  <c r="E53" i="6"/>
  <c r="E54" i="6"/>
  <c r="E49" i="6"/>
  <c r="S20" i="6"/>
  <c r="J25" i="6" s="1"/>
  <c r="O20" i="6"/>
  <c r="N20" i="6"/>
  <c r="S19" i="6"/>
  <c r="J26" i="6" s="1"/>
  <c r="O19" i="6"/>
  <c r="N19" i="6"/>
  <c r="S18" i="6"/>
  <c r="J27" i="6" s="1"/>
  <c r="M62" i="6" s="1"/>
  <c r="N18" i="6"/>
  <c r="S17" i="6"/>
  <c r="J29" i="6" s="1"/>
  <c r="M64" i="6" s="1"/>
  <c r="J92" i="6" s="1"/>
  <c r="J123" i="6" s="1"/>
  <c r="N17" i="6"/>
  <c r="S16" i="6"/>
  <c r="J28" i="6" s="1"/>
  <c r="M63" i="6" s="1"/>
  <c r="N16" i="6"/>
  <c r="S15" i="6"/>
  <c r="N15" i="6"/>
  <c r="F20" i="18" l="1"/>
  <c r="D8" i="18" s="1"/>
  <c r="F24" i="18"/>
  <c r="F16" i="18"/>
  <c r="J109" i="6"/>
  <c r="M61" i="6"/>
  <c r="J24" i="6"/>
  <c r="M58" i="6" s="1"/>
  <c r="J117" i="6"/>
  <c r="J98" i="6"/>
  <c r="J93" i="6"/>
  <c r="J122" i="6" s="1"/>
  <c r="J97" i="6"/>
  <c r="M60" i="6"/>
  <c r="M59" i="6"/>
  <c r="J121" i="6" s="1"/>
  <c r="J91" i="6"/>
  <c r="J125" i="6" s="1"/>
  <c r="E105" i="6"/>
  <c r="C27" i="13"/>
  <c r="C28" i="13"/>
  <c r="H24" i="13"/>
  <c r="H22" i="13"/>
  <c r="L24" i="13"/>
  <c r="G24" i="13"/>
  <c r="L23" i="13"/>
  <c r="G23" i="13"/>
  <c r="L22" i="13"/>
  <c r="G22" i="13"/>
  <c r="D7" i="13"/>
  <c r="C7" i="13"/>
  <c r="E18" i="13"/>
  <c r="E17" i="13"/>
  <c r="E16" i="13"/>
  <c r="E12" i="13"/>
  <c r="E13" i="13" s="1"/>
  <c r="J65" i="16"/>
  <c r="J63" i="16"/>
  <c r="J62" i="16"/>
  <c r="M65" i="16"/>
  <c r="M63" i="16"/>
  <c r="M62" i="16"/>
  <c r="M61" i="16"/>
  <c r="J61" i="16"/>
  <c r="U58" i="16"/>
  <c r="T58" i="16"/>
  <c r="R58" i="16"/>
  <c r="Y58" i="16"/>
  <c r="S58" i="16"/>
  <c r="Y57" i="16"/>
  <c r="S57" i="16"/>
  <c r="R57" i="16"/>
  <c r="Y56" i="16"/>
  <c r="S56" i="16"/>
  <c r="R56" i="16"/>
  <c r="J51" i="16"/>
  <c r="J48" i="16"/>
  <c r="J47" i="16"/>
  <c r="M49" i="16"/>
  <c r="J52" i="16"/>
  <c r="J46" i="16"/>
  <c r="J45" i="16"/>
  <c r="Y41" i="16"/>
  <c r="M32" i="16"/>
  <c r="V22" i="16"/>
  <c r="V41" i="16"/>
  <c r="J64" i="16" s="1"/>
  <c r="R41" i="16"/>
  <c r="M47" i="16" s="1"/>
  <c r="P41" i="16"/>
  <c r="M50" i="16" s="1"/>
  <c r="Q41" i="16"/>
  <c r="M51" i="16" s="1"/>
  <c r="Q37" i="16"/>
  <c r="O20" i="16"/>
  <c r="O19" i="16"/>
  <c r="O8" i="16"/>
  <c r="O4" i="16"/>
  <c r="M15" i="16" s="1"/>
  <c r="V42" i="16"/>
  <c r="J50" i="16" s="1"/>
  <c r="M64" i="16" s="1"/>
  <c r="Q42" i="16"/>
  <c r="P42" i="16"/>
  <c r="M46" i="16" s="1"/>
  <c r="P40" i="16"/>
  <c r="V40" i="16"/>
  <c r="V39" i="16"/>
  <c r="Q39" i="16"/>
  <c r="P39" i="16"/>
  <c r="V38" i="16"/>
  <c r="Q38" i="16"/>
  <c r="P38" i="16"/>
  <c r="V37" i="16"/>
  <c r="P37" i="16"/>
  <c r="S23" i="16"/>
  <c r="J28" i="16" s="1"/>
  <c r="N23" i="16"/>
  <c r="O22" i="16"/>
  <c r="M29" i="16" s="1"/>
  <c r="S22" i="16"/>
  <c r="M28" i="16" s="1"/>
  <c r="N22" i="16"/>
  <c r="S21" i="16"/>
  <c r="N21" i="16"/>
  <c r="S20" i="16"/>
  <c r="J27" i="16" s="1"/>
  <c r="N20" i="16"/>
  <c r="S19" i="16"/>
  <c r="J26" i="16" s="1"/>
  <c r="N19" i="16"/>
  <c r="J11" i="16"/>
  <c r="M33" i="16" s="1"/>
  <c r="S8" i="16"/>
  <c r="J15" i="16" s="1"/>
  <c r="M31" i="16" s="1"/>
  <c r="N8" i="16"/>
  <c r="V7" i="16"/>
  <c r="S7" i="16"/>
  <c r="J14" i="16" s="1"/>
  <c r="N7" i="16"/>
  <c r="N6" i="16"/>
  <c r="V6" i="16"/>
  <c r="S6" i="16"/>
  <c r="J12" i="16" s="1"/>
  <c r="M26" i="16" s="1"/>
  <c r="V5" i="16"/>
  <c r="E29" i="16"/>
  <c r="E28" i="16"/>
  <c r="S5" i="16"/>
  <c r="N5" i="16"/>
  <c r="S4" i="16"/>
  <c r="N4" i="16"/>
  <c r="E21" i="16"/>
  <c r="E22" i="16"/>
  <c r="E24" i="16"/>
  <c r="E23" i="16"/>
  <c r="E16" i="16"/>
  <c r="E17" i="16"/>
  <c r="E15" i="16"/>
  <c r="E11" i="16"/>
  <c r="E12" i="16" s="1"/>
  <c r="C7" i="16" s="1"/>
  <c r="M11" i="16" s="1"/>
  <c r="D10" i="6"/>
  <c r="E10" i="6"/>
  <c r="F10" i="6"/>
  <c r="G10" i="6"/>
  <c r="I10" i="6"/>
  <c r="E29" i="17"/>
  <c r="F49" i="17"/>
  <c r="F48" i="17"/>
  <c r="F47" i="17"/>
  <c r="F56" i="17"/>
  <c r="F55" i="17"/>
  <c r="F53" i="17"/>
  <c r="F52" i="17"/>
  <c r="F51" i="17"/>
  <c r="P44" i="17"/>
  <c r="O44" i="17"/>
  <c r="Q44" i="17"/>
  <c r="C49" i="17" s="1"/>
  <c r="N44" i="17"/>
  <c r="M44" i="17"/>
  <c r="Q33" i="17"/>
  <c r="I38" i="17" s="1"/>
  <c r="F57" i="17" s="1"/>
  <c r="Q34" i="17"/>
  <c r="I39" i="17" s="1"/>
  <c r="F58" i="17" s="1"/>
  <c r="O33" i="17"/>
  <c r="O34" i="17"/>
  <c r="P33" i="17"/>
  <c r="P34" i="17"/>
  <c r="P32" i="17"/>
  <c r="Q32" i="17"/>
  <c r="O32" i="17"/>
  <c r="N22" i="17"/>
  <c r="I27" i="17" s="1"/>
  <c r="M22" i="17"/>
  <c r="N21" i="17"/>
  <c r="M21" i="17"/>
  <c r="N20" i="17"/>
  <c r="M20" i="17"/>
  <c r="N19" i="17"/>
  <c r="I25" i="17" s="1"/>
  <c r="L37" i="17" s="1"/>
  <c r="M19" i="17"/>
  <c r="Q5" i="17"/>
  <c r="Q6" i="17"/>
  <c r="I13" i="17" s="1"/>
  <c r="L26" i="17" s="1"/>
  <c r="Q7" i="17"/>
  <c r="I14" i="17" s="1"/>
  <c r="L28" i="17" s="1"/>
  <c r="L40" i="17" s="1"/>
  <c r="F54" i="17" s="1"/>
  <c r="Q8" i="17"/>
  <c r="I15" i="17" s="1"/>
  <c r="Q4" i="17"/>
  <c r="P8" i="17"/>
  <c r="P5" i="17"/>
  <c r="O5" i="17"/>
  <c r="O6" i="17"/>
  <c r="O7" i="17"/>
  <c r="O8" i="17"/>
  <c r="O4" i="17"/>
  <c r="E35" i="17"/>
  <c r="E34" i="17"/>
  <c r="E36" i="17"/>
  <c r="E33" i="17"/>
  <c r="E32" i="17"/>
  <c r="E27" i="17"/>
  <c r="E28" i="17"/>
  <c r="E26" i="17"/>
  <c r="E22" i="17"/>
  <c r="E21" i="17"/>
  <c r="E12" i="17"/>
  <c r="E13" i="17"/>
  <c r="E14" i="17"/>
  <c r="E15" i="17"/>
  <c r="E16" i="17"/>
  <c r="E17" i="17"/>
  <c r="E11" i="17"/>
  <c r="R51" i="6"/>
  <c r="J59" i="6" s="1"/>
  <c r="R50" i="6"/>
  <c r="R52" i="6"/>
  <c r="J60" i="6" s="1"/>
  <c r="J87" i="6" s="1"/>
  <c r="J114" i="6" s="1"/>
  <c r="R53" i="6"/>
  <c r="J61" i="6" s="1"/>
  <c r="R54" i="6"/>
  <c r="R55" i="6"/>
  <c r="J63" i="6" s="1"/>
  <c r="J89" i="6" s="1"/>
  <c r="J110" i="6" s="1"/>
  <c r="M85" i="6" l="1"/>
  <c r="J62" i="6"/>
  <c r="J88" i="6" s="1"/>
  <c r="J115" i="6" s="1"/>
  <c r="J90" i="6"/>
  <c r="J58" i="6"/>
  <c r="J85" i="6" s="1"/>
  <c r="J113" i="6" s="1"/>
  <c r="E20" i="6"/>
  <c r="E87" i="6"/>
  <c r="J9" i="6" s="1"/>
  <c r="M48" i="16"/>
  <c r="J49" i="16"/>
  <c r="M45" i="16"/>
  <c r="J13" i="16"/>
  <c r="M27" i="16" s="1"/>
  <c r="E18" i="16"/>
  <c r="E25" i="16"/>
  <c r="E7" i="16" s="1"/>
  <c r="M12" i="16" s="1"/>
  <c r="E30" i="16"/>
  <c r="F7" i="16" s="1"/>
  <c r="D7" i="16"/>
  <c r="M13" i="16" s="1"/>
  <c r="L39" i="17"/>
  <c r="F59" i="17" s="1"/>
  <c r="C48" i="17" s="1"/>
  <c r="L27" i="17"/>
  <c r="I37" i="17"/>
  <c r="F60" i="17" s="1"/>
  <c r="C47" i="17" s="1"/>
  <c r="I11" i="17"/>
  <c r="I12" i="17" s="1"/>
  <c r="L25" i="17" s="1"/>
  <c r="I26" i="17"/>
  <c r="E7" i="17"/>
  <c r="L14" i="17" s="1"/>
  <c r="F50" i="17" s="1"/>
  <c r="E37" i="17"/>
  <c r="F7" i="17" s="1"/>
  <c r="L13" i="17" s="1"/>
  <c r="E23" i="17"/>
  <c r="D7" i="17" s="1"/>
  <c r="L12" i="17" s="1"/>
  <c r="E18" i="17"/>
  <c r="C7" i="17" s="1"/>
  <c r="L11" i="17" s="1"/>
  <c r="E92" i="6"/>
  <c r="I9" i="6" s="1"/>
  <c r="D20" i="6" s="1"/>
  <c r="E82" i="6"/>
  <c r="E72" i="6"/>
  <c r="F9" i="6" s="1"/>
  <c r="E46" i="6"/>
  <c r="D9" i="6" s="1"/>
  <c r="M24" i="6" s="1"/>
  <c r="E77" i="6"/>
  <c r="G9" i="6" s="1"/>
  <c r="E55" i="6"/>
  <c r="E9" i="6" s="1"/>
  <c r="E17" i="6"/>
  <c r="E15" i="6"/>
  <c r="E16" i="6"/>
  <c r="D16" i="6" l="1"/>
  <c r="M25" i="6"/>
  <c r="D17" i="6"/>
  <c r="M26" i="6"/>
  <c r="D15" i="6"/>
  <c r="M27" i="6"/>
  <c r="H9" i="6"/>
  <c r="H10" i="6"/>
  <c r="M29" i="6" s="1"/>
  <c r="M14" i="16"/>
  <c r="M30" i="16"/>
  <c r="L38" i="17"/>
  <c r="E18" i="6"/>
  <c r="E19" i="6" s="1"/>
  <c r="D18" i="6"/>
  <c r="D19" i="6" s="1"/>
  <c r="E21" i="6" l="1"/>
  <c r="E22" i="6"/>
</calcChain>
</file>

<file path=xl/sharedStrings.xml><?xml version="1.0" encoding="utf-8"?>
<sst xmlns="http://schemas.openxmlformats.org/spreadsheetml/2006/main" count="1424" uniqueCount="462">
  <si>
    <t>Raw Materials</t>
  </si>
  <si>
    <t>Iron Ore</t>
  </si>
  <si>
    <t>--&gt;</t>
  </si>
  <si>
    <t>Steel Beams</t>
  </si>
  <si>
    <t>Copper Ore</t>
  </si>
  <si>
    <t>Caterium Ingots</t>
  </si>
  <si>
    <t>Steel Pipe</t>
  </si>
  <si>
    <t>Coal</t>
  </si>
  <si>
    <t>Limestone</t>
  </si>
  <si>
    <t>Crude Oil</t>
  </si>
  <si>
    <t>Water</t>
  </si>
  <si>
    <t>Plastic</t>
  </si>
  <si>
    <t>Motors</t>
  </si>
  <si>
    <t>Raw Quartz</t>
  </si>
  <si>
    <t>Rubber</t>
  </si>
  <si>
    <t>Caterium Ore</t>
  </si>
  <si>
    <t>Concrete</t>
  </si>
  <si>
    <t>Sulfur</t>
  </si>
  <si>
    <t>Silica</t>
  </si>
  <si>
    <t>Copper Sheets</t>
  </si>
  <si>
    <t>Stators</t>
  </si>
  <si>
    <t>Crystal Oscillators</t>
  </si>
  <si>
    <t>Alclad Aluminum Sheets</t>
  </si>
  <si>
    <t>Iron</t>
  </si>
  <si>
    <t>Copper</t>
  </si>
  <si>
    <t>Steel Ingots (Solid Steel Ingots)</t>
  </si>
  <si>
    <t>^^^^, 100% to Steel</t>
  </si>
  <si>
    <t>Copper Ingots (Copper Alloy)</t>
  </si>
  <si>
    <t>Wire (Fused w / Caterium)</t>
  </si>
  <si>
    <t>Reinforced Iron Plate (Stitched Iron plate</t>
  </si>
  <si>
    <t>Encased Industrial Beams (Encased Industrial Pipes)</t>
  </si>
  <si>
    <t>Heavy Modular Frame (Heavy Encased Frame)</t>
  </si>
  <si>
    <t>Screws (Iron Leftover)</t>
  </si>
  <si>
    <t>Rods (Iron Leftover)</t>
  </si>
  <si>
    <t>Iron Plate (Iron Leftover)</t>
  </si>
  <si>
    <t>Circuit Boards (Silicon Circuit Boards)</t>
  </si>
  <si>
    <t>Rotors (Steel Rotors)</t>
  </si>
  <si>
    <t>Modular Frame (Steeled Frame)</t>
  </si>
  <si>
    <t>Sulfuric Acid</t>
  </si>
  <si>
    <t>Battery</t>
  </si>
  <si>
    <t>Heavy Oil - &gt;Petroleum Coke</t>
  </si>
  <si>
    <t>Pure Aluminum Ingot</t>
  </si>
  <si>
    <t>Empty Fluid Tank</t>
  </si>
  <si>
    <t>Aluminum Casing</t>
  </si>
  <si>
    <t>Heat Sink(Heat Exchanger)</t>
  </si>
  <si>
    <t>Computer(Caterium Computer</t>
  </si>
  <si>
    <t>Super Computer(Super-State Computer)</t>
  </si>
  <si>
    <t>Radio Control Unit ( Radio Connection Unit)</t>
  </si>
  <si>
    <t>High-Speed Connector (Silicon High-Speed Connector)</t>
  </si>
  <si>
    <t>Turbo Motor(Turbo Pressure Motor)</t>
  </si>
  <si>
    <t>Multiplier</t>
  </si>
  <si>
    <t>Mk</t>
  </si>
  <si>
    <t>Miner Mk Multiplier</t>
  </si>
  <si>
    <t>Shards</t>
  </si>
  <si>
    <t>Shard Multiplier</t>
  </si>
  <si>
    <t>Pure</t>
  </si>
  <si>
    <t>Normal</t>
  </si>
  <si>
    <t>Impure</t>
  </si>
  <si>
    <t>Value</t>
  </si>
  <si>
    <t>Type</t>
  </si>
  <si>
    <t>Base Output</t>
  </si>
  <si>
    <t>Miner Output Values and Multipliers</t>
  </si>
  <si>
    <t>Steel Ingot</t>
  </si>
  <si>
    <t>Iron Ingot from Excess</t>
  </si>
  <si>
    <t>Remainder Iron Ore</t>
  </si>
  <si>
    <t>Copper Ingot</t>
  </si>
  <si>
    <t>Amount</t>
  </si>
  <si>
    <t>Current Output</t>
  </si>
  <si>
    <t>Stitched Plates</t>
  </si>
  <si>
    <t>Fused Wire</t>
  </si>
  <si>
    <t>Fused Quickwire</t>
  </si>
  <si>
    <t>Quickwire (Fused Quickwire)</t>
  </si>
  <si>
    <t>Steel Pipes</t>
  </si>
  <si>
    <t>A.I. Limiters(Storage Leftover)</t>
  </si>
  <si>
    <t xml:space="preserve">Fused Wire </t>
  </si>
  <si>
    <t>Steeled Frame</t>
  </si>
  <si>
    <t>Computers</t>
  </si>
  <si>
    <t>Motors (Stator + Rotor)</t>
  </si>
  <si>
    <t>Steel Rotors (Pipes, Wire)</t>
  </si>
  <si>
    <t>Stator (Pipes + Wire)</t>
  </si>
  <si>
    <t>Rotors</t>
  </si>
  <si>
    <t>Steel Frame</t>
  </si>
  <si>
    <t xml:space="preserve">Wire </t>
  </si>
  <si>
    <t>QuickWire</t>
  </si>
  <si>
    <t>Steel Beams (Excess Only)</t>
  </si>
  <si>
    <t>Encased Industrial Pipes</t>
  </si>
  <si>
    <t>Copper Sheet</t>
  </si>
  <si>
    <t>Dropoff Input</t>
  </si>
  <si>
    <t>H.Frames</t>
  </si>
  <si>
    <t>Steel (2 Sites)</t>
  </si>
  <si>
    <t>Iron (1 Site)</t>
  </si>
  <si>
    <t>Caterium</t>
  </si>
  <si>
    <t>Concrete 2 Int Sites</t>
  </si>
  <si>
    <t>Iron Rod Module</t>
  </si>
  <si>
    <t>Cable Module</t>
  </si>
  <si>
    <t>Iron Plate Module</t>
  </si>
  <si>
    <t>Screws Production</t>
  </si>
  <si>
    <t>Reinforced Plate Production</t>
  </si>
  <si>
    <t>Steel Pipe Production</t>
  </si>
  <si>
    <t>Steel Beam Production</t>
  </si>
  <si>
    <t>Copper Sheet Production</t>
  </si>
  <si>
    <t>Wire Production</t>
  </si>
  <si>
    <t>Quickwire Production</t>
  </si>
  <si>
    <t xml:space="preserve">Input </t>
  </si>
  <si>
    <t>Input 2</t>
  </si>
  <si>
    <t>Total Output</t>
  </si>
  <si>
    <t>OutputPer</t>
  </si>
  <si>
    <t>Grassland Regional Production</t>
  </si>
  <si>
    <t>Current Max</t>
  </si>
  <si>
    <t>Smelting Output Potential</t>
  </si>
  <si>
    <t>CurrentMax</t>
  </si>
  <si>
    <t>Current Miner Production</t>
  </si>
  <si>
    <t>Quality</t>
  </si>
  <si>
    <t>Shard Multiplyer</t>
  </si>
  <si>
    <t>Output Total</t>
  </si>
  <si>
    <t>IronIngot</t>
  </si>
  <si>
    <t>CopperIngot</t>
  </si>
  <si>
    <t>CateriumIngot</t>
  </si>
  <si>
    <t>SteelIngot</t>
  </si>
  <si>
    <t>Quartz</t>
  </si>
  <si>
    <t>Fabric</t>
  </si>
  <si>
    <t>CopperSheet</t>
  </si>
  <si>
    <t>Wire</t>
  </si>
  <si>
    <t>Quickwire</t>
  </si>
  <si>
    <t>SteelPipes</t>
  </si>
  <si>
    <t>SteelBeams</t>
  </si>
  <si>
    <t>EncasedBeams</t>
  </si>
  <si>
    <t>ModFrames</t>
  </si>
  <si>
    <t>CircuitBoards</t>
  </si>
  <si>
    <t>High-Speed Connectors</t>
  </si>
  <si>
    <t>Heat Exchanger</t>
  </si>
  <si>
    <t>Sulfiric Acid</t>
  </si>
  <si>
    <t>Aluminum Scrap</t>
  </si>
  <si>
    <t>Aluminum Ingot</t>
  </si>
  <si>
    <t>In</t>
  </si>
  <si>
    <t>Out</t>
  </si>
  <si>
    <t>----&gt;</t>
  </si>
  <si>
    <t>Station 2</t>
  </si>
  <si>
    <t>Station 3</t>
  </si>
  <si>
    <t>Station 4</t>
  </si>
  <si>
    <t>Boards</t>
  </si>
  <si>
    <t>Circuit Boards</t>
  </si>
  <si>
    <t>Modular Frames</t>
  </si>
  <si>
    <t>Encased Beam</t>
  </si>
  <si>
    <t>Pipes</t>
  </si>
  <si>
    <t xml:space="preserve">In </t>
  </si>
  <si>
    <t>Heavy Frames</t>
  </si>
  <si>
    <t xml:space="preserve">Computers </t>
  </si>
  <si>
    <t>Input Type</t>
  </si>
  <si>
    <t>Iron Ingot</t>
  </si>
  <si>
    <t>Input 2 Type</t>
  </si>
  <si>
    <t>Caterium Ingot</t>
  </si>
  <si>
    <t>All Iron Remainder = R.Plates</t>
  </si>
  <si>
    <t>Quartz Crystals</t>
  </si>
  <si>
    <t>Beams Steel %</t>
  </si>
  <si>
    <t>Pipes Steel %</t>
  </si>
  <si>
    <t>Fused QuickWire Caterium %</t>
  </si>
  <si>
    <t>Fused Wire Caterium %</t>
  </si>
  <si>
    <t>Copper Sheet Copper %</t>
  </si>
  <si>
    <t xml:space="preserve">Silica Quarts % </t>
  </si>
  <si>
    <t>Crystal Quarts %</t>
  </si>
  <si>
    <t>Processing T1 Output</t>
  </si>
  <si>
    <t>Raw Ore Input Potential</t>
  </si>
  <si>
    <t>Rotors Wire %</t>
  </si>
  <si>
    <t xml:space="preserve">Stators Wire % </t>
  </si>
  <si>
    <t>Stators Steel Pipe %</t>
  </si>
  <si>
    <t>Rotors Steel Pipe %</t>
  </si>
  <si>
    <t>Modular Frames Steel Pipe %</t>
  </si>
  <si>
    <t xml:space="preserve">Encased Beam Steel Pipe % </t>
  </si>
  <si>
    <t>Modular Frames R. Plate %</t>
  </si>
  <si>
    <t>Encased Beams Concrete %</t>
  </si>
  <si>
    <t>Circuit Boards % Silica</t>
  </si>
  <si>
    <t>Circuit Board Copper Sheets %</t>
  </si>
  <si>
    <t>Machines Supported By Input A</t>
  </si>
  <si>
    <t>Most Machines Supported by Both</t>
  </si>
  <si>
    <t xml:space="preserve">Percent </t>
  </si>
  <si>
    <t>Input A</t>
  </si>
  <si>
    <t>Input B</t>
  </si>
  <si>
    <t>Motors Rotor %</t>
  </si>
  <si>
    <t>Motors Stator %</t>
  </si>
  <si>
    <t>Machines Supported By Input B</t>
  </si>
  <si>
    <t>Rotor</t>
  </si>
  <si>
    <t>Stator</t>
  </si>
  <si>
    <t>Lines Out</t>
  </si>
  <si>
    <t>1 @600/M</t>
  </si>
  <si>
    <t>3@600/M</t>
  </si>
  <si>
    <t>3@780/M</t>
  </si>
  <si>
    <t>2@240/M</t>
  </si>
  <si>
    <t>1@160/M</t>
  </si>
  <si>
    <t>Smelting Hub Train Stations</t>
  </si>
  <si>
    <t>Stations 1</t>
  </si>
  <si>
    <t>Empty Platform</t>
  </si>
  <si>
    <t>Quartz Crystal</t>
  </si>
  <si>
    <t>Encased Beams</t>
  </si>
  <si>
    <t>Overall Build Diagram</t>
  </si>
  <si>
    <t>Steel Site Diagram</t>
  </si>
  <si>
    <t>High Speed Connectors</t>
  </si>
  <si>
    <t>T1 Processing Sites</t>
  </si>
  <si>
    <t>T1 Pickup</t>
  </si>
  <si>
    <t>T2 Pickup</t>
  </si>
  <si>
    <t>T2 Processing Sites</t>
  </si>
  <si>
    <t>T3 Site Dropoff Items</t>
  </si>
  <si>
    <t>Crystal Oscillators(For Storage)</t>
  </si>
  <si>
    <t>Computers Out</t>
  </si>
  <si>
    <t>Heavy Frames Out</t>
  </si>
  <si>
    <t>High Speed Connector Out</t>
  </si>
  <si>
    <t>Intermediate Materials Processing Tiers 1 &amp; 2</t>
  </si>
  <si>
    <t>Basic Materials (Tier 0)</t>
  </si>
  <si>
    <t>Transport (Train) to Tier 1&amp; 2 processing centers</t>
  </si>
  <si>
    <t>Transport (Train) to Central Tier 3 Center</t>
  </si>
  <si>
    <t>Advanced Materials Processing (Tier 3)</t>
  </si>
  <si>
    <t>Off-Shore Rig Diagram</t>
  </si>
  <si>
    <t>Grass Smelt Hub In A</t>
  </si>
  <si>
    <t>Grass Smelt Hub In B</t>
  </si>
  <si>
    <t>Grass Smelt Hub Out A</t>
  </si>
  <si>
    <t>Oil Site In</t>
  </si>
  <si>
    <t>Oil Site Out</t>
  </si>
  <si>
    <t>Batteries</t>
  </si>
  <si>
    <t>Grass T1 In</t>
  </si>
  <si>
    <t>Grass T1 Out</t>
  </si>
  <si>
    <t>Grass T2 In</t>
  </si>
  <si>
    <t>Grass T2 Out</t>
  </si>
  <si>
    <t>Super-State Computers</t>
  </si>
  <si>
    <t>Electromagnetic Control Rods</t>
  </si>
  <si>
    <t>Radio Connection Units</t>
  </si>
  <si>
    <t>Grass Smelter Special Out</t>
  </si>
  <si>
    <t xml:space="preserve">Grass Smelter Special In </t>
  </si>
  <si>
    <t>Grass T3 In A</t>
  </si>
  <si>
    <t>Grass T3 Out A</t>
  </si>
  <si>
    <t>AI-Limiters (Storage Only)</t>
  </si>
  <si>
    <t>Crystal Osclliators (Storage Only)</t>
  </si>
  <si>
    <t>Reinforced Plates</t>
  </si>
  <si>
    <t>Grass T2.5 Out</t>
  </si>
  <si>
    <t>Grass T2.5 In</t>
  </si>
  <si>
    <t>Cooling Systems</t>
  </si>
  <si>
    <t>Fused Frames</t>
  </si>
  <si>
    <t>****</t>
  </si>
  <si>
    <t>**** = Need Add</t>
  </si>
  <si>
    <t xml:space="preserve">Rework These </t>
  </si>
  <si>
    <t>Need Add 4 Stations</t>
  </si>
  <si>
    <t>Rework 2</t>
  </si>
  <si>
    <t>Heat Exchangers</t>
  </si>
  <si>
    <t>Alclad Aluminum Sheet</t>
  </si>
  <si>
    <t>Resource Allocation</t>
  </si>
  <si>
    <t>Iron Plate Iron %</t>
  </si>
  <si>
    <t>Rubber Oil %</t>
  </si>
  <si>
    <t>Plastic Oil %</t>
  </si>
  <si>
    <t>Fabric Oil %</t>
  </si>
  <si>
    <t>Classic Batteries</t>
  </si>
  <si>
    <t>AI Limiter</t>
  </si>
  <si>
    <t>Casing Aluminum %</t>
  </si>
  <si>
    <t>(Except 4 Constructors for Empty Cases)</t>
  </si>
  <si>
    <t>AI Limiter Sheet %</t>
  </si>
  <si>
    <t>AI Limiter Quickwire %</t>
  </si>
  <si>
    <t>(Make at Quickwire / Wire Site for Storage Quantities)</t>
  </si>
  <si>
    <t>Heat Sink Casing %</t>
  </si>
  <si>
    <t>Heat Sink Rubber %</t>
  </si>
  <si>
    <t>Alclad Sheets Alum Ingot</t>
  </si>
  <si>
    <t>Alclade Sheets Copper Ingot</t>
  </si>
  <si>
    <t>Spare for Belt Materials</t>
  </si>
  <si>
    <t>Crystal Oscilator Quartz %</t>
  </si>
  <si>
    <t>Crystal Oscilator R.Plate %</t>
  </si>
  <si>
    <t>Crystal Oscilator Cable %</t>
  </si>
  <si>
    <t>Storage Amount Only</t>
  </si>
  <si>
    <t>Cable (Iron Leftover)</t>
  </si>
  <si>
    <t>Cables</t>
  </si>
  <si>
    <t>Batteries Sulfur %</t>
  </si>
  <si>
    <t>Batteries Casing / Ingot %</t>
  </si>
  <si>
    <t>Computer C. Board %</t>
  </si>
  <si>
    <t>Computer C. Quickwire %</t>
  </si>
  <si>
    <t>High-Speed C.Board %</t>
  </si>
  <si>
    <t>High-Speed Quickwire %</t>
  </si>
  <si>
    <t>High-Speed Silica %</t>
  </si>
  <si>
    <t>Computer Rubber %</t>
  </si>
  <si>
    <t>Heavy Frames M. Frame %</t>
  </si>
  <si>
    <t>Heavy Frames Encased %</t>
  </si>
  <si>
    <t>Heavy Frames Steel Pipes %</t>
  </si>
  <si>
    <t>Heavy Frames Concrete %</t>
  </si>
  <si>
    <t>Sheets, Silica, Quickwire only go to Computers, H.Speed, Boards</t>
  </si>
  <si>
    <t>Add Rubber, and make a mega Computer Site?!</t>
  </si>
  <si>
    <t>Electromagnetic Rod</t>
  </si>
  <si>
    <t>Electromagnetic Rod  Stator %</t>
  </si>
  <si>
    <t>Electromagnetic Rod  H.Speed %</t>
  </si>
  <si>
    <t>Tier 4 Dropoff</t>
  </si>
  <si>
    <t>Supercomputer Elctro Rod %</t>
  </si>
  <si>
    <t>Supercomputer , Computer %</t>
  </si>
  <si>
    <t>Supercomputer , Battery %</t>
  </si>
  <si>
    <t>Supercomputer, Wire %</t>
  </si>
  <si>
    <t>(Send .2 Batteries for Drones)</t>
  </si>
  <si>
    <t xml:space="preserve">(Parallel to Super Computer Site, Send Over) </t>
  </si>
  <si>
    <t>Radio Connection Crystal %</t>
  </si>
  <si>
    <t>Radio Connection High Speed %</t>
  </si>
  <si>
    <t>Radio Connection Heat Sink %</t>
  </si>
  <si>
    <t>Nitrogen Gas</t>
  </si>
  <si>
    <t>Cooling System , Motors %</t>
  </si>
  <si>
    <t>Cooling System , Heat Exchangers %</t>
  </si>
  <si>
    <t>Cooling System , Nitrogen %</t>
  </si>
  <si>
    <t>Fused Frames, Casing %</t>
  </si>
  <si>
    <t>Fused Frames, Nitrogen %</t>
  </si>
  <si>
    <t>Fused Frames, H.Frame %</t>
  </si>
  <si>
    <t>Empty Cases</t>
  </si>
  <si>
    <t>Packaged Nitrogen Gas</t>
  </si>
  <si>
    <t>Packaged Gas , Nitrogen %</t>
  </si>
  <si>
    <t>Packaged Gas, Empty Container %</t>
  </si>
  <si>
    <t>Turbo Motor</t>
  </si>
  <si>
    <t>Turbo Motor Dropoff</t>
  </si>
  <si>
    <t>Turbo Motor, Radio %</t>
  </si>
  <si>
    <t>Turbo Motor, Fused Frame %</t>
  </si>
  <si>
    <t>Turbo Motor, Motor %</t>
  </si>
  <si>
    <t>Turbo Motor, Packaged Nitrogen %</t>
  </si>
  <si>
    <t>Turbo Motor, Stator %</t>
  </si>
  <si>
    <t>Miner Multiplier</t>
  </si>
  <si>
    <t>T0 Processing</t>
  </si>
  <si>
    <t>Iron Refinery</t>
  </si>
  <si>
    <t>Iron Alloy</t>
  </si>
  <si>
    <t>Copper Refinery</t>
  </si>
  <si>
    <t>Wet Concrete</t>
  </si>
  <si>
    <t>Solid Steel</t>
  </si>
  <si>
    <t xml:space="preserve">Water </t>
  </si>
  <si>
    <t xml:space="preserve">Coal </t>
  </si>
  <si>
    <t>Output</t>
  </si>
  <si>
    <t>OutputBuildings</t>
  </si>
  <si>
    <t>Input 1 Usage</t>
  </si>
  <si>
    <t>Input 2 Usage</t>
  </si>
  <si>
    <t xml:space="preserve">Iron Ingot Available </t>
  </si>
  <si>
    <t>T0 Available Post Processing</t>
  </si>
  <si>
    <t>Iron Ingot Post Steel</t>
  </si>
  <si>
    <t>Copper Ingot Available</t>
  </si>
  <si>
    <t>Concrete Available</t>
  </si>
  <si>
    <t>Steel Ingot Available</t>
  </si>
  <si>
    <t>Raw Materials Left</t>
  </si>
  <si>
    <t>T1 Processing</t>
  </si>
  <si>
    <t>Iron Plate</t>
  </si>
  <si>
    <t>Iron Wire</t>
  </si>
  <si>
    <t>T1 Available Post Processing</t>
  </si>
  <si>
    <t>T0 Materials Left</t>
  </si>
  <si>
    <t>T2 Processing</t>
  </si>
  <si>
    <t>Steeled Frames</t>
  </si>
  <si>
    <t>Iron Plates</t>
  </si>
  <si>
    <t>R. Plates</t>
  </si>
  <si>
    <t>T2 Available Post Processing</t>
  </si>
  <si>
    <t>T1 Materials Left</t>
  </si>
  <si>
    <t>Encased Pipes</t>
  </si>
  <si>
    <t>R.Plates</t>
  </si>
  <si>
    <t>T3 Processing</t>
  </si>
  <si>
    <t>H. Frames</t>
  </si>
  <si>
    <t>Input 3</t>
  </si>
  <si>
    <t>Input Type 3</t>
  </si>
  <si>
    <t>Input 4</t>
  </si>
  <si>
    <t>Input 4 Type</t>
  </si>
  <si>
    <t>Input 3 Usage</t>
  </si>
  <si>
    <t>Input 4 Usage</t>
  </si>
  <si>
    <t>Final Output Parts</t>
  </si>
  <si>
    <t>Materials Left</t>
  </si>
  <si>
    <t>Processing T2 Output</t>
  </si>
  <si>
    <t># Stations</t>
  </si>
  <si>
    <t>1 @ 180/M</t>
  </si>
  <si>
    <t>2  @750</t>
  </si>
  <si>
    <t>Bauxite</t>
  </si>
  <si>
    <t>Oil</t>
  </si>
  <si>
    <t>Pure Copper Refinery</t>
  </si>
  <si>
    <t>Polymer Resin Refinery</t>
  </si>
  <si>
    <t>Output 1</t>
  </si>
  <si>
    <t>OutputPer 1</t>
  </si>
  <si>
    <t>OutputPer 2</t>
  </si>
  <si>
    <t>Output 2</t>
  </si>
  <si>
    <t>Output 1 Type</t>
  </si>
  <si>
    <t>Output 2 Type</t>
  </si>
  <si>
    <t>Polymer Resin</t>
  </si>
  <si>
    <t>Heavy Oil Residue</t>
  </si>
  <si>
    <t>Heavy Oil Refinery</t>
  </si>
  <si>
    <t>Plastic Refinery</t>
  </si>
  <si>
    <t>Sloppy Alumina Refinery</t>
  </si>
  <si>
    <t>Bauxite Ore</t>
  </si>
  <si>
    <t>Aluminia</t>
  </si>
  <si>
    <t>Polymer Resin Available</t>
  </si>
  <si>
    <t>Heavy Oil Available</t>
  </si>
  <si>
    <t>Plastic Available</t>
  </si>
  <si>
    <t>Aluminia Available</t>
  </si>
  <si>
    <t>Polyester Fabric</t>
  </si>
  <si>
    <t>Residual Plastic</t>
  </si>
  <si>
    <t>Petroleum Coke</t>
  </si>
  <si>
    <t>Eelctrode Aluminium Scrap</t>
  </si>
  <si>
    <t>Pure Aluminium Ingot</t>
  </si>
  <si>
    <t>Heavy Oil</t>
  </si>
  <si>
    <t xml:space="preserve">Scrap </t>
  </si>
  <si>
    <t>Alclad Sheet</t>
  </si>
  <si>
    <t>Diluted Fuel</t>
  </si>
  <si>
    <t>Aluminium Ingot</t>
  </si>
  <si>
    <t>Alclad Sheets</t>
  </si>
  <si>
    <t>Fuel</t>
  </si>
  <si>
    <t>Input 3 Type</t>
  </si>
  <si>
    <t>Aluminium Casing</t>
  </si>
  <si>
    <t>Aluminia Solution</t>
  </si>
  <si>
    <t>Output Per 2</t>
  </si>
  <si>
    <t>Send to 3.26 Residual Fuel Refineries | 130.4 Fuel Out | Feeds 10.8 Fuel Generators | 1620 mw Power</t>
  </si>
  <si>
    <t>Recycled Rubber</t>
  </si>
  <si>
    <t>Recycled Plastic</t>
  </si>
  <si>
    <t>Plastic to 10 Rec Rubber =&gt; 20 Rec Plastic =&gt; 20.48 Rubber = &gt; 15.51 Rec Plastic | 1538.6 Plastic &amp; 768 Rubber Remain</t>
  </si>
  <si>
    <t>T3 &amp; T4 Processing</t>
  </si>
  <si>
    <t>Total Available Post Processing =&gt; To Train</t>
  </si>
  <si>
    <t>1. Adjust Outputs</t>
  </si>
  <si>
    <t>3. Quickwire Coast Site</t>
  </si>
  <si>
    <t>4. Computers / High Speed Connectors Site on Ocean Coast</t>
  </si>
  <si>
    <t>5. Radio Controllers Site</t>
  </si>
  <si>
    <t>6. Get to and Make Nitrogen Gas Site</t>
  </si>
  <si>
    <t>7. Work Towards Turbo Motors</t>
  </si>
  <si>
    <t>8. Wasteless Nuclear Power</t>
  </si>
  <si>
    <t>rubber</t>
  </si>
  <si>
    <t>a ingot in</t>
  </si>
  <si>
    <t>motor</t>
  </si>
  <si>
    <t>heavy frame</t>
  </si>
  <si>
    <t>nitrogen gas on site</t>
  </si>
  <si>
    <t>heat sinks</t>
  </si>
  <si>
    <t>aluminum casing</t>
  </si>
  <si>
    <t>fused modular frame</t>
  </si>
  <si>
    <t>cooling system</t>
  </si>
  <si>
    <t>packaged nitrogen (just some)</t>
  </si>
  <si>
    <t>Quarts</t>
  </si>
  <si>
    <t>Cheap Silica</t>
  </si>
  <si>
    <t>Pure Quartz Crystal</t>
  </si>
  <si>
    <t>Raw Quarts</t>
  </si>
  <si>
    <t>Station 5</t>
  </si>
  <si>
    <t xml:space="preserve">Sulfur </t>
  </si>
  <si>
    <t>Crystal Quartz</t>
  </si>
  <si>
    <t>Copper Alloy Ingot</t>
  </si>
  <si>
    <t>Solid Steel Ingot</t>
  </si>
  <si>
    <t>Miner Mult</t>
  </si>
  <si>
    <t>Sum</t>
  </si>
  <si>
    <t>Average</t>
  </si>
  <si>
    <t>Running Total</t>
  </si>
  <si>
    <t>Count</t>
  </si>
  <si>
    <t>Silica Available</t>
  </si>
  <si>
    <t>Crystal Quartz Available</t>
  </si>
  <si>
    <t>T0 Iron Subsite</t>
  </si>
  <si>
    <t>Iron Subsite Output</t>
  </si>
  <si>
    <t>Subsite Iron Available</t>
  </si>
  <si>
    <t>Iron Rod</t>
  </si>
  <si>
    <t>Cable</t>
  </si>
  <si>
    <t>Screws</t>
  </si>
  <si>
    <t>T0 Subsite Available Post Processing</t>
  </si>
  <si>
    <t>Iron Rod Available</t>
  </si>
  <si>
    <t>Cable Available</t>
  </si>
  <si>
    <t>Iron Plate Available</t>
  </si>
  <si>
    <t>Screws Available</t>
  </si>
  <si>
    <t>Ship to Oil Site</t>
  </si>
  <si>
    <t>Output Buildings</t>
  </si>
  <si>
    <t>Reinforced Iron Plates</t>
  </si>
  <si>
    <t>Steel Beam</t>
  </si>
  <si>
    <t>Steel Rotor</t>
  </si>
  <si>
    <t>Highspeed Connectors</t>
  </si>
  <si>
    <t>T3 Post Processing Materials</t>
  </si>
  <si>
    <t>GrasslandRegionalProduction</t>
  </si>
  <si>
    <t>SteelLakeSite</t>
  </si>
  <si>
    <t>OffshoreMegaRefinery</t>
  </si>
  <si>
    <t>SilicaCaveSite</t>
  </si>
  <si>
    <t>Available Resources</t>
  </si>
  <si>
    <t>To QW Site</t>
  </si>
  <si>
    <t>Send to QW Site</t>
  </si>
  <si>
    <t>Grassland Import</t>
  </si>
  <si>
    <t xml:space="preserve">Type 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</si>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</sst>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i/>
      <sz val="11"/>
      <color rgb="FF1A1A1B"/>
      <name val="Inherit"/>
    </font>
    <font>
      <sz val="11"/>
      <color rgb="FF1A1A1B"/>
      <name val="Noto Sans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1A1A1B"/>
      <name val="Inherit"/>
    </font>
    <font>
      <b/>
      <sz val="14"/>
      <color rgb="FF1A1A1B"/>
      <name val="Noto Sans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thick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thick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thick">
        <color rgb="FFEEEEEE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rgb="FFEEEEEE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4" fillId="0" borderId="7" applyNumberFormat="0" applyFill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</cellStyleXfs>
  <cellXfs count="77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2" fontId="3" fillId="5" borderId="0" xfId="4" applyNumberFormat="1" applyAlignment="1">
      <alignment horizontal="left"/>
    </xf>
    <xf numFmtId="0" fontId="3" fillId="5" borderId="0" xfId="4" applyAlignment="1">
      <alignment horizontal="left"/>
    </xf>
    <xf numFmtId="0" fontId="0" fillId="5" borderId="0" xfId="4" applyFont="1" applyAlignment="1">
      <alignment horizontal="left"/>
    </xf>
    <xf numFmtId="0" fontId="0" fillId="5" borderId="0" xfId="4" applyFont="1"/>
    <xf numFmtId="0" fontId="5" fillId="4" borderId="8" xfId="3" applyBorder="1"/>
    <xf numFmtId="0" fontId="3" fillId="5" borderId="8" xfId="4" applyBorder="1"/>
    <xf numFmtId="0" fontId="5" fillId="4" borderId="8" xfId="3" applyBorder="1" applyAlignment="1">
      <alignment horizontal="center"/>
    </xf>
    <xf numFmtId="0" fontId="0" fillId="5" borderId="8" xfId="4" applyFont="1" applyBorder="1"/>
    <xf numFmtId="2" fontId="0" fillId="0" borderId="0" xfId="0" applyNumberFormat="1"/>
    <xf numFmtId="0" fontId="0" fillId="0" borderId="0" xfId="0" quotePrefix="1"/>
    <xf numFmtId="0" fontId="7" fillId="0" borderId="0" xfId="0" applyFont="1"/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left" vertical="center" wrapText="1"/>
    </xf>
    <xf numFmtId="0" fontId="7" fillId="10" borderId="0" xfId="0" applyFont="1" applyFill="1"/>
    <xf numFmtId="0" fontId="7" fillId="8" borderId="0" xfId="0" applyFont="1" applyFill="1"/>
    <xf numFmtId="0" fontId="7" fillId="7" borderId="0" xfId="0" applyFont="1" applyFill="1"/>
    <xf numFmtId="0" fontId="10" fillId="12" borderId="0" xfId="0" applyFont="1" applyFill="1"/>
    <xf numFmtId="0" fontId="7" fillId="9" borderId="0" xfId="0" applyFont="1" applyFill="1"/>
    <xf numFmtId="0" fontId="9" fillId="2" borderId="0" xfId="0" applyFont="1" applyFill="1" applyBorder="1" applyAlignment="1">
      <alignment horizontal="left" vertical="center" wrapText="1"/>
    </xf>
    <xf numFmtId="0" fontId="5" fillId="4" borderId="0" xfId="3" applyBorder="1"/>
    <xf numFmtId="0" fontId="5" fillId="3" borderId="8" xfId="2" applyBorder="1" applyAlignment="1">
      <alignment horizontal="center"/>
    </xf>
    <xf numFmtId="0" fontId="5" fillId="4" borderId="12" xfId="3" applyBorder="1" applyAlignment="1">
      <alignment horizontal="center"/>
    </xf>
    <xf numFmtId="0" fontId="5" fillId="3" borderId="0" xfId="2" applyBorder="1" applyAlignment="1">
      <alignment horizontal="center"/>
    </xf>
    <xf numFmtId="0" fontId="5" fillId="3" borderId="12" xfId="2" applyBorder="1" applyAlignment="1">
      <alignment horizontal="center"/>
    </xf>
    <xf numFmtId="0" fontId="0" fillId="0" borderId="0" xfId="0" applyAlignment="1">
      <alignment horizontal="center"/>
    </xf>
    <xf numFmtId="0" fontId="5" fillId="4" borderId="16" xfId="3" applyBorder="1" applyAlignment="1">
      <alignment horizontal="center"/>
    </xf>
    <xf numFmtId="0" fontId="3" fillId="5" borderId="8" xfId="4" applyBorder="1" applyAlignment="1">
      <alignment horizontal="right"/>
    </xf>
    <xf numFmtId="0" fontId="11" fillId="5" borderId="8" xfId="4" applyFont="1" applyBorder="1"/>
    <xf numFmtId="0" fontId="7" fillId="10" borderId="0" xfId="0" applyFont="1" applyFill="1" applyBorder="1"/>
    <xf numFmtId="0" fontId="7" fillId="13" borderId="0" xfId="0" applyFont="1" applyFill="1"/>
    <xf numFmtId="0" fontId="14" fillId="14" borderId="0" xfId="0" applyFont="1" applyFill="1"/>
    <xf numFmtId="0" fontId="7" fillId="11" borderId="0" xfId="0" applyFont="1" applyFill="1"/>
    <xf numFmtId="0" fontId="7" fillId="10" borderId="0" xfId="0" applyFont="1" applyFill="1" applyAlignment="1">
      <alignment horizontal="center"/>
    </xf>
    <xf numFmtId="0" fontId="10" fillId="15" borderId="0" xfId="0" applyFont="1" applyFill="1"/>
    <xf numFmtId="0" fontId="10" fillId="16" borderId="0" xfId="0" applyFont="1" applyFill="1"/>
    <xf numFmtId="0" fontId="3" fillId="5" borderId="12" xfId="4" applyBorder="1"/>
    <xf numFmtId="0" fontId="5" fillId="3" borderId="0" xfId="2" applyBorder="1" applyAlignment="1">
      <alignment horizontal="center"/>
    </xf>
    <xf numFmtId="0" fontId="5" fillId="4" borderId="12" xfId="3" applyBorder="1"/>
    <xf numFmtId="0" fontId="3" fillId="5" borderId="9" xfId="4" applyBorder="1"/>
    <xf numFmtId="0" fontId="1" fillId="2" borderId="17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6" fillId="6" borderId="0" xfId="1" applyFont="1" applyFill="1" applyBorder="1" applyAlignment="1">
      <alignment horizontal="center"/>
    </xf>
    <xf numFmtId="0" fontId="5" fillId="3" borderId="9" xfId="2" applyBorder="1" applyAlignment="1">
      <alignment horizontal="center"/>
    </xf>
    <xf numFmtId="0" fontId="5" fillId="3" borderId="10" xfId="2" applyBorder="1" applyAlignment="1">
      <alignment horizontal="center"/>
    </xf>
    <xf numFmtId="0" fontId="5" fillId="4" borderId="9" xfId="3" applyBorder="1" applyAlignment="1">
      <alignment horizontal="center"/>
    </xf>
    <xf numFmtId="0" fontId="5" fillId="4" borderId="10" xfId="3" applyBorder="1" applyAlignment="1">
      <alignment horizontal="center"/>
    </xf>
    <xf numFmtId="0" fontId="5" fillId="4" borderId="11" xfId="3" applyBorder="1" applyAlignment="1">
      <alignment horizontal="center"/>
    </xf>
    <xf numFmtId="0" fontId="5" fillId="3" borderId="14" xfId="2" applyBorder="1" applyAlignment="1">
      <alignment horizontal="center"/>
    </xf>
    <xf numFmtId="0" fontId="5" fillId="3" borderId="15" xfId="2" applyBorder="1" applyAlignment="1">
      <alignment horizontal="center"/>
    </xf>
    <xf numFmtId="0" fontId="5" fillId="3" borderId="13" xfId="2" applyBorder="1" applyAlignment="1">
      <alignment horizontal="center"/>
    </xf>
    <xf numFmtId="0" fontId="5" fillId="3" borderId="0" xfId="2" applyBorder="1" applyAlignment="1">
      <alignment horizontal="center"/>
    </xf>
    <xf numFmtId="0" fontId="16" fillId="5" borderId="18" xfId="4" applyFont="1" applyBorder="1" applyAlignment="1">
      <alignment horizontal="center"/>
    </xf>
    <xf numFmtId="0" fontId="16" fillId="5" borderId="19" xfId="4" applyFont="1" applyBorder="1" applyAlignment="1">
      <alignment horizontal="center"/>
    </xf>
    <xf numFmtId="0" fontId="16" fillId="5" borderId="20" xfId="4" applyFont="1" applyBorder="1" applyAlignment="1">
      <alignment horizontal="center"/>
    </xf>
    <xf numFmtId="0" fontId="15" fillId="3" borderId="9" xfId="2" applyFont="1" applyBorder="1" applyAlignment="1">
      <alignment horizontal="center"/>
    </xf>
    <xf numFmtId="0" fontId="15" fillId="3" borderId="10" xfId="2" applyFont="1" applyBorder="1" applyAlignment="1">
      <alignment horizontal="center"/>
    </xf>
    <xf numFmtId="0" fontId="13" fillId="0" borderId="7" xfId="1" applyFont="1" applyAlignment="1">
      <alignment horizontal="center" vertical="center"/>
    </xf>
    <xf numFmtId="0" fontId="13" fillId="0" borderId="0" xfId="1" applyFont="1" applyBorder="1" applyAlignment="1">
      <alignment horizontal="center" vertical="center"/>
    </xf>
    <xf numFmtId="0" fontId="10" fillId="12" borderId="0" xfId="0" applyFont="1" applyFill="1" applyAlignment="1">
      <alignment horizontal="center"/>
    </xf>
    <xf numFmtId="0" fontId="4" fillId="0" borderId="7" xfId="1" applyAlignment="1">
      <alignment horizontal="center"/>
    </xf>
    <xf numFmtId="0" fontId="5" fillId="4" borderId="0" xfId="3" applyAlignment="1">
      <alignment horizontal="center"/>
    </xf>
    <xf numFmtId="0" fontId="17" fillId="5" borderId="8" xfId="4" applyFont="1" applyBorder="1"/>
    <xf numFmtId="0" fontId="16" fillId="0" borderId="0" xfId="0" applyFont="1"/>
    <xf numFmtId="0" fontId="15" fillId="4" borderId="8" xfId="3" applyFont="1" applyBorder="1" applyAlignment="1">
      <alignment horizontal="center"/>
    </xf>
    <xf numFmtId="0" fontId="3" fillId="17" borderId="8" xfId="4" applyFill="1" applyBorder="1"/>
    <xf numFmtId="0" fontId="3" fillId="6" borderId="8" xfId="4" applyFill="1" applyBorder="1"/>
    <xf numFmtId="0" fontId="16" fillId="6" borderId="8" xfId="4" applyFont="1" applyFill="1" applyBorder="1"/>
  </cellXfs>
  <cellStyles count="5">
    <cellStyle name="40% - Accent3" xfId="4" builtinId="39"/>
    <cellStyle name="Accent1" xfId="2" builtinId="29"/>
    <cellStyle name="Accent2" xfId="3" builtinId="33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10</xdr:col>
      <xdr:colOff>39609</xdr:colOff>
      <xdr:row>21</xdr:row>
      <xdr:rowOff>130629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C0E8A8-CF39-4595-B8CD-0C33F411E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16893" y="190500"/>
          <a:ext cx="6162823" cy="3314701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41672</xdr:colOff>
      <xdr:row>4</xdr:row>
      <xdr:rowOff>5953</xdr:rowOff>
    </xdr:from>
    <xdr:to>
      <xdr:col>18</xdr:col>
      <xdr:colOff>206659</xdr:colOff>
      <xdr:row>21</xdr:row>
      <xdr:rowOff>159021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EAA087E-250C-49D5-B313-3790D7059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3860" y="5953"/>
          <a:ext cx="4522674" cy="3337140"/>
        </a:xfrm>
        <a:prstGeom prst="rect">
          <a:avLst/>
        </a:prstGeom>
      </xdr:spPr>
    </xdr:pic>
    <xdr:clientData/>
  </xdr:twoCellAnchor>
  <xdr:twoCellAnchor editAs="oneCell">
    <xdr:from>
      <xdr:col>0</xdr:col>
      <xdr:colOff>41673</xdr:colOff>
      <xdr:row>21</xdr:row>
      <xdr:rowOff>65485</xdr:rowOff>
    </xdr:from>
    <xdr:to>
      <xdr:col>10</xdr:col>
      <xdr:colOff>44499</xdr:colOff>
      <xdr:row>40</xdr:row>
      <xdr:rowOff>185398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2023671-3175-4599-A9AD-548B10C70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673" y="4060972"/>
          <a:ext cx="6118879" cy="3699308"/>
        </a:xfrm>
        <a:prstGeom prst="rect">
          <a:avLst/>
        </a:prstGeom>
      </xdr:spPr>
    </xdr:pic>
    <xdr:clientData/>
  </xdr:twoCellAnchor>
  <xdr:twoCellAnchor editAs="oneCell">
    <xdr:from>
      <xdr:col>10</xdr:col>
      <xdr:colOff>23812</xdr:colOff>
      <xdr:row>21</xdr:row>
      <xdr:rowOff>71437</xdr:rowOff>
    </xdr:from>
    <xdr:to>
      <xdr:col>22</xdr:col>
      <xdr:colOff>295838</xdr:colOff>
      <xdr:row>40</xdr:row>
      <xdr:rowOff>177742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FAEF69-4102-4B1F-A173-221E7896A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3309937"/>
          <a:ext cx="7058588" cy="36875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17860</xdr:rowOff>
    </xdr:from>
    <xdr:to>
      <xdr:col>10</xdr:col>
      <xdr:colOff>40820</xdr:colOff>
      <xdr:row>49</xdr:row>
      <xdr:rowOff>78278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84C3C92-FB09-4412-AD29-CD8F5CF22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000876"/>
          <a:ext cx="6113008" cy="1589520"/>
        </a:xfrm>
        <a:prstGeom prst="rect">
          <a:avLst/>
        </a:prstGeom>
      </xdr:spPr>
    </xdr:pic>
    <xdr:clientData/>
  </xdr:twoCellAnchor>
  <xdr:twoCellAnchor editAs="oneCell">
    <xdr:from>
      <xdr:col>10</xdr:col>
      <xdr:colOff>35718</xdr:colOff>
      <xdr:row>41</xdr:row>
      <xdr:rowOff>5953</xdr:rowOff>
    </xdr:from>
    <xdr:to>
      <xdr:col>15</xdr:col>
      <xdr:colOff>472847</xdr:colOff>
      <xdr:row>49</xdr:row>
      <xdr:rowOff>72502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8AC772-A39C-41B7-9B83-48930C976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07906" y="6988969"/>
          <a:ext cx="2973160" cy="1595651"/>
        </a:xfrm>
        <a:prstGeom prst="rect">
          <a:avLst/>
        </a:prstGeom>
      </xdr:spPr>
    </xdr:pic>
    <xdr:clientData/>
  </xdr:twoCellAnchor>
  <xdr:twoCellAnchor editAs="oneCell">
    <xdr:from>
      <xdr:col>23</xdr:col>
      <xdr:colOff>571500</xdr:colOff>
      <xdr:row>0</xdr:row>
      <xdr:rowOff>8283</xdr:rowOff>
    </xdr:from>
    <xdr:to>
      <xdr:col>49</xdr:col>
      <xdr:colOff>407622</xdr:colOff>
      <xdr:row>36</xdr:row>
      <xdr:rowOff>128991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D09EB7-C9F6-4E06-9C71-1CE35494A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163261" y="8283"/>
          <a:ext cx="15771861" cy="6962143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44</xdr:row>
      <xdr:rowOff>0</xdr:rowOff>
    </xdr:from>
    <xdr:to>
      <xdr:col>57</xdr:col>
      <xdr:colOff>402917</xdr:colOff>
      <xdr:row>85</xdr:row>
      <xdr:rowOff>56167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13A08F-24A9-4F9F-BC94-5A099D8BE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192250" y="8327571"/>
          <a:ext cx="20609524" cy="78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2@240/M" TargetMode="External"/><Relationship Id="rId2" Type="http://schemas.openxmlformats.org/officeDocument/2006/relationships/hyperlink" Target="mailto:3@780/M" TargetMode="External"/><Relationship Id="rId1" Type="http://schemas.openxmlformats.org/officeDocument/2006/relationships/hyperlink" Target="mailto:3@600/M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mailto:1@160/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AA758-A5B7-4FA8-94DC-BA3EAA457D3D}">
  <sheetPr>
    <pageSetUpPr fitToPage="1"/>
  </sheetPr>
  <dimension ref="C1:U44"/>
  <sheetViews>
    <sheetView workbookViewId="0">
      <selection activeCell="C21" sqref="C21"/>
    </sheetView>
  </sheetViews>
  <sheetFormatPr defaultRowHeight="18.75"/>
  <cols>
    <col min="1" max="2" width="9.140625" style="20"/>
    <col min="3" max="3" width="70.140625" style="20" bestFit="1" customWidth="1"/>
    <col min="4" max="4" width="20.7109375" style="20" customWidth="1"/>
    <col min="5" max="5" width="37.85546875" style="20" bestFit="1" customWidth="1"/>
    <col min="6" max="6" width="31.5703125" style="20" bestFit="1" customWidth="1"/>
    <col min="7" max="7" width="21.5703125" style="20" bestFit="1" customWidth="1"/>
    <col min="8" max="8" width="11.5703125" style="20" bestFit="1" customWidth="1"/>
    <col min="9" max="9" width="22.7109375" style="20" bestFit="1" customWidth="1"/>
    <col min="10" max="10" width="11.5703125" style="20" bestFit="1" customWidth="1"/>
    <col min="11" max="11" width="30.140625" style="20" bestFit="1" customWidth="1"/>
    <col min="12" max="12" width="7.85546875" style="20" bestFit="1" customWidth="1"/>
    <col min="13" max="13" width="26" style="20" bestFit="1" customWidth="1"/>
    <col min="14" max="14" width="9.42578125" style="20" customWidth="1"/>
    <col min="15" max="15" width="24" style="20" bestFit="1" customWidth="1"/>
    <col min="16" max="16384" width="9.140625" style="20"/>
  </cols>
  <sheetData>
    <row r="1" spans="3:20" ht="19.5" thickBot="1">
      <c r="E1"/>
      <c r="F1"/>
      <c r="G1"/>
      <c r="H1"/>
      <c r="I1"/>
      <c r="J1"/>
      <c r="K1"/>
      <c r="L1"/>
      <c r="M1"/>
    </row>
    <row r="2" spans="3:20" ht="20.25" thickTop="1" thickBot="1">
      <c r="C2" s="23" t="s">
        <v>401</v>
      </c>
      <c r="D2" s="21"/>
      <c r="E2"/>
      <c r="F2"/>
      <c r="G2"/>
      <c r="H2"/>
      <c r="I2"/>
      <c r="J2"/>
      <c r="K2"/>
      <c r="L2"/>
      <c r="M2"/>
      <c r="N2"/>
      <c r="O2"/>
      <c r="P2"/>
    </row>
    <row r="3" spans="3:20" ht="19.5" thickTop="1">
      <c r="C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3:20">
      <c r="C4" s="23" t="s">
        <v>402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3:20">
      <c r="C5" s="23" t="s">
        <v>403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3:20">
      <c r="C6" s="23" t="s">
        <v>404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3:20">
      <c r="C7" s="38" t="s">
        <v>405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3:20">
      <c r="C8" s="38" t="s">
        <v>406</v>
      </c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3:20">
      <c r="C9" s="38" t="s">
        <v>407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3:20"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3:20">
      <c r="E11"/>
      <c r="F11"/>
      <c r="G11"/>
      <c r="H11"/>
      <c r="I11"/>
      <c r="J11"/>
      <c r="K11"/>
      <c r="L11"/>
      <c r="M11"/>
      <c r="N11"/>
      <c r="O11"/>
      <c r="P11"/>
    </row>
    <row r="12" spans="3:20">
      <c r="E12"/>
      <c r="F12"/>
      <c r="G12"/>
      <c r="H12"/>
      <c r="I12"/>
      <c r="J12"/>
      <c r="K12"/>
      <c r="L12"/>
      <c r="M12"/>
      <c r="N12"/>
      <c r="O12"/>
      <c r="P12"/>
    </row>
    <row r="13" spans="3:20">
      <c r="C13"/>
      <c r="E13"/>
      <c r="F13"/>
      <c r="G13"/>
      <c r="H13"/>
      <c r="I13"/>
      <c r="J13"/>
      <c r="K13"/>
      <c r="L13"/>
      <c r="M13"/>
      <c r="N13"/>
      <c r="O13"/>
      <c r="P13"/>
    </row>
    <row r="14" spans="3:20">
      <c r="C14"/>
      <c r="E14"/>
      <c r="F14"/>
      <c r="G14"/>
      <c r="H14"/>
      <c r="I14"/>
      <c r="J14"/>
      <c r="K14"/>
      <c r="L14"/>
      <c r="M14"/>
      <c r="N14"/>
      <c r="O14"/>
      <c r="P14"/>
    </row>
    <row r="15" spans="3:20"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3:20"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3:19"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3:19"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3:19"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3:19"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3:19"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3:19"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3:19"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3:19"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3:19"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3:19"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3:19"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3:19"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3:19"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3:19"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3:19">
      <c r="C31"/>
    </row>
    <row r="32" spans="3:19">
      <c r="C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3:21">
      <c r="C33"/>
      <c r="E33"/>
      <c r="F33"/>
      <c r="G33"/>
    </row>
    <row r="36" spans="3:21">
      <c r="T36"/>
      <c r="U36"/>
    </row>
    <row r="43" spans="3:21">
      <c r="T43"/>
      <c r="U43"/>
    </row>
    <row r="44" spans="3:21">
      <c r="T44"/>
      <c r="U44"/>
    </row>
  </sheetData>
  <pageMargins left="0.7" right="0.7" top="0.75" bottom="0.75" header="0.3" footer="0.3"/>
  <pageSetup scale="37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99F3-40C0-4069-9E55-C2D3A52CF011}">
  <dimension ref="A2:AZ44"/>
  <sheetViews>
    <sheetView topLeftCell="AB45" zoomScale="115" zoomScaleNormal="115" workbookViewId="0">
      <selection activeCell="AR89" sqref="AR89"/>
    </sheetView>
  </sheetViews>
  <sheetFormatPr defaultRowHeight="15"/>
  <cols>
    <col min="11" max="11" width="9.140625" customWidth="1"/>
    <col min="12" max="12" width="1.5703125" customWidth="1"/>
  </cols>
  <sheetData>
    <row r="2" spans="1:52" ht="15.75" customHeight="1" thickBot="1">
      <c r="A2" s="66" t="s">
        <v>194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Y2" s="67" t="s">
        <v>195</v>
      </c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</row>
    <row r="3" spans="1:52" ht="16.5" customHeight="1" thickTop="1" thickBo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</row>
    <row r="4" spans="1:52" ht="16.5" customHeight="1" thickTop="1" thickBot="1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</row>
    <row r="5" spans="1:52" ht="15.75" thickTop="1"/>
    <row r="19" ht="9.75" customHeight="1"/>
    <row r="39" spans="25:52" ht="12" customHeight="1"/>
    <row r="42" spans="25:52">
      <c r="Y42" s="67" t="s">
        <v>211</v>
      </c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</row>
    <row r="43" spans="25:52"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</row>
    <row r="44" spans="25:52"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</row>
  </sheetData>
  <mergeCells count="3">
    <mergeCell ref="A2:R4"/>
    <mergeCell ref="Y2:AZ4"/>
    <mergeCell ref="Y42:AZ44"/>
  </mergeCells>
  <pageMargins left="0.7" right="0.7" top="0.75" bottom="0.75" header="0.3" footer="0.3"/>
  <pageSetup orientation="portrait" horizontalDpi="90" verticalDpi="9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FA3DA-A5F3-411F-AB6B-7EB05B935F88}">
  <dimension ref="A1:L34"/>
  <sheetViews>
    <sheetView topLeftCell="F1" workbookViewId="0">
      <selection activeCell="F3" sqref="F3"/>
    </sheetView>
  </sheetViews>
  <sheetFormatPr defaultRowHeight="15"/>
  <cols>
    <col min="1" max="1" width="20.42578125" bestFit="1" customWidth="1"/>
    <col min="2" max="2" width="53.42578125" customWidth="1"/>
    <col min="3" max="3" width="6.42578125" bestFit="1" customWidth="1"/>
    <col min="4" max="4" width="39.7109375" bestFit="1" customWidth="1"/>
    <col min="5" max="5" width="6.42578125" bestFit="1" customWidth="1"/>
    <col min="6" max="6" width="34.85546875" bestFit="1" customWidth="1"/>
    <col min="7" max="7" width="6.42578125" bestFit="1" customWidth="1"/>
    <col min="8" max="8" width="33.7109375" bestFit="1" customWidth="1"/>
    <col min="9" max="9" width="1.7109375" customWidth="1"/>
    <col min="10" max="10" width="35.7109375" bestFit="1" customWidth="1"/>
    <col min="11" max="11" width="4.28515625" customWidth="1"/>
    <col min="12" max="12" width="35.7109375" bestFit="1" customWidth="1"/>
    <col min="13" max="13" width="2.5703125" customWidth="1"/>
    <col min="14" max="14" width="25.42578125" customWidth="1"/>
    <col min="16" max="16" width="14.140625" bestFit="1" customWidth="1"/>
  </cols>
  <sheetData>
    <row r="1" spans="1:12" ht="18.75">
      <c r="A1" s="26" t="s">
        <v>237</v>
      </c>
      <c r="J1" s="68" t="s">
        <v>238</v>
      </c>
      <c r="K1" s="68"/>
      <c r="L1" s="68"/>
    </row>
    <row r="2" spans="1:12" ht="21">
      <c r="B2" s="40" t="s">
        <v>212</v>
      </c>
      <c r="D2" s="40" t="s">
        <v>214</v>
      </c>
      <c r="F2" s="40" t="s">
        <v>213</v>
      </c>
      <c r="H2" s="40" t="s">
        <v>214</v>
      </c>
      <c r="J2" s="40" t="s">
        <v>215</v>
      </c>
      <c r="L2" s="40" t="s">
        <v>216</v>
      </c>
    </row>
    <row r="3" spans="1:12" ht="18.75">
      <c r="B3" s="39" t="s">
        <v>134</v>
      </c>
      <c r="D3" s="41" t="s">
        <v>135</v>
      </c>
      <c r="F3" s="39" t="s">
        <v>134</v>
      </c>
      <c r="H3" s="41" t="s">
        <v>135</v>
      </c>
      <c r="J3" s="39" t="s">
        <v>134</v>
      </c>
      <c r="L3" s="41" t="s">
        <v>135</v>
      </c>
    </row>
    <row r="4" spans="1:12" ht="18.75">
      <c r="B4" s="23" t="s">
        <v>115</v>
      </c>
      <c r="C4" s="19" t="s">
        <v>136</v>
      </c>
      <c r="D4" s="23" t="s">
        <v>115</v>
      </c>
      <c r="F4" s="23" t="s">
        <v>115</v>
      </c>
      <c r="G4" s="19" t="s">
        <v>136</v>
      </c>
      <c r="H4" s="23" t="s">
        <v>115</v>
      </c>
      <c r="J4" s="23" t="s">
        <v>14</v>
      </c>
      <c r="K4" s="19" t="s">
        <v>136</v>
      </c>
      <c r="L4" s="23" t="s">
        <v>14</v>
      </c>
    </row>
    <row r="5" spans="1:12" ht="18.75">
      <c r="B5" s="23" t="s">
        <v>116</v>
      </c>
      <c r="C5" s="19" t="s">
        <v>136</v>
      </c>
      <c r="D5" s="23" t="s">
        <v>116</v>
      </c>
      <c r="F5" s="23" t="s">
        <v>116</v>
      </c>
      <c r="G5" s="19" t="s">
        <v>136</v>
      </c>
      <c r="H5" s="23" t="s">
        <v>116</v>
      </c>
      <c r="J5" s="23" t="s">
        <v>11</v>
      </c>
      <c r="K5" s="19" t="s">
        <v>136</v>
      </c>
      <c r="L5" s="23" t="s">
        <v>11</v>
      </c>
    </row>
    <row r="6" spans="1:12" ht="18.75">
      <c r="B6" s="23" t="s">
        <v>117</v>
      </c>
      <c r="C6" s="19" t="s">
        <v>136</v>
      </c>
      <c r="D6" s="23" t="s">
        <v>117</v>
      </c>
      <c r="F6" s="23" t="s">
        <v>117</v>
      </c>
      <c r="G6" s="19" t="s">
        <v>136</v>
      </c>
      <c r="H6" s="23" t="s">
        <v>117</v>
      </c>
      <c r="J6" s="23" t="s">
        <v>133</v>
      </c>
      <c r="K6" s="19" t="s">
        <v>136</v>
      </c>
      <c r="L6" s="23" t="s">
        <v>133</v>
      </c>
    </row>
    <row r="7" spans="1:12" ht="18.75">
      <c r="B7" s="23" t="s">
        <v>118</v>
      </c>
      <c r="C7" s="19" t="s">
        <v>136</v>
      </c>
      <c r="D7" s="23" t="s">
        <v>118</v>
      </c>
      <c r="F7" s="23" t="s">
        <v>118</v>
      </c>
      <c r="G7" s="19" t="s">
        <v>136</v>
      </c>
      <c r="H7" s="23" t="s">
        <v>118</v>
      </c>
      <c r="J7" s="24" t="s">
        <v>389</v>
      </c>
      <c r="K7" s="19" t="s">
        <v>136</v>
      </c>
      <c r="L7" s="24" t="s">
        <v>389</v>
      </c>
    </row>
    <row r="8" spans="1:12" ht="18.75">
      <c r="B8" s="23" t="s">
        <v>16</v>
      </c>
      <c r="C8" s="19" t="s">
        <v>136</v>
      </c>
      <c r="D8" s="23" t="s">
        <v>16</v>
      </c>
      <c r="F8" s="23" t="s">
        <v>16</v>
      </c>
      <c r="G8" s="19" t="s">
        <v>136</v>
      </c>
      <c r="H8" s="23" t="s">
        <v>16</v>
      </c>
      <c r="J8" s="26" t="s">
        <v>217</v>
      </c>
      <c r="L8" s="26" t="s">
        <v>217</v>
      </c>
    </row>
    <row r="9" spans="1:12" ht="18.75">
      <c r="B9" s="23" t="s">
        <v>18</v>
      </c>
      <c r="C9" s="19" t="s">
        <v>136</v>
      </c>
      <c r="D9" s="23" t="s">
        <v>18</v>
      </c>
      <c r="F9" s="23" t="s">
        <v>18</v>
      </c>
      <c r="G9" s="19" t="s">
        <v>136</v>
      </c>
      <c r="H9" s="23" t="s">
        <v>18</v>
      </c>
      <c r="J9" s="23" t="s">
        <v>120</v>
      </c>
      <c r="K9" s="19" t="s">
        <v>136</v>
      </c>
      <c r="L9" s="23" t="s">
        <v>120</v>
      </c>
    </row>
    <row r="11" spans="1:12" ht="21">
      <c r="B11" s="40" t="s">
        <v>218</v>
      </c>
      <c r="D11" s="40" t="s">
        <v>219</v>
      </c>
      <c r="F11" s="40" t="s">
        <v>220</v>
      </c>
      <c r="H11" s="40" t="s">
        <v>221</v>
      </c>
      <c r="J11" s="40" t="s">
        <v>227</v>
      </c>
      <c r="L11" s="40" t="s">
        <v>228</v>
      </c>
    </row>
    <row r="12" spans="1:12" ht="18.75">
      <c r="B12" s="39" t="s">
        <v>134</v>
      </c>
      <c r="D12" s="41" t="s">
        <v>135</v>
      </c>
      <c r="F12" s="39" t="s">
        <v>134</v>
      </c>
      <c r="H12" s="41" t="s">
        <v>135</v>
      </c>
      <c r="J12" s="39" t="s">
        <v>145</v>
      </c>
      <c r="L12" s="41" t="s">
        <v>135</v>
      </c>
    </row>
    <row r="13" spans="1:12" ht="18.75">
      <c r="B13" s="24" t="s">
        <v>231</v>
      </c>
      <c r="C13" s="19" t="s">
        <v>136</v>
      </c>
      <c r="D13" s="24" t="s">
        <v>231</v>
      </c>
      <c r="F13" s="25" t="s">
        <v>128</v>
      </c>
      <c r="G13" s="19" t="s">
        <v>136</v>
      </c>
      <c r="H13" s="25" t="s">
        <v>128</v>
      </c>
      <c r="J13" s="26" t="s">
        <v>88</v>
      </c>
      <c r="K13" s="19" t="s">
        <v>136</v>
      </c>
      <c r="L13" s="26" t="s">
        <v>88</v>
      </c>
    </row>
    <row r="14" spans="1:12" ht="18.75">
      <c r="B14" s="24" t="s">
        <v>124</v>
      </c>
      <c r="C14" s="19" t="s">
        <v>136</v>
      </c>
      <c r="D14" s="24" t="s">
        <v>124</v>
      </c>
      <c r="F14" s="25" t="s">
        <v>127</v>
      </c>
      <c r="G14" s="19" t="s">
        <v>136</v>
      </c>
      <c r="H14" s="25" t="s">
        <v>127</v>
      </c>
      <c r="J14" s="26" t="s">
        <v>76</v>
      </c>
      <c r="K14" s="19" t="s">
        <v>136</v>
      </c>
      <c r="L14" s="26" t="s">
        <v>76</v>
      </c>
    </row>
    <row r="15" spans="1:12" ht="18.75">
      <c r="B15" s="24" t="s">
        <v>125</v>
      </c>
      <c r="C15" s="19" t="s">
        <v>136</v>
      </c>
      <c r="D15" s="24" t="s">
        <v>125</v>
      </c>
      <c r="F15" s="25" t="s">
        <v>126</v>
      </c>
      <c r="G15" s="19" t="s">
        <v>136</v>
      </c>
      <c r="H15" s="25" t="s">
        <v>126</v>
      </c>
      <c r="J15" s="26" t="s">
        <v>129</v>
      </c>
      <c r="K15" s="19" t="s">
        <v>136</v>
      </c>
      <c r="L15" s="26" t="s">
        <v>129</v>
      </c>
    </row>
    <row r="16" spans="1:12" ht="18.75">
      <c r="B16" s="24" t="s">
        <v>122</v>
      </c>
      <c r="C16" s="19" t="s">
        <v>136</v>
      </c>
      <c r="D16" s="24" t="s">
        <v>122</v>
      </c>
      <c r="F16" s="27" t="s">
        <v>12</v>
      </c>
      <c r="G16" s="19" t="s">
        <v>136</v>
      </c>
      <c r="H16" s="27" t="s">
        <v>12</v>
      </c>
      <c r="J16" s="26" t="s">
        <v>222</v>
      </c>
      <c r="K16" s="19" t="s">
        <v>136</v>
      </c>
      <c r="L16" s="26" t="s">
        <v>222</v>
      </c>
    </row>
    <row r="17" spans="1:12" ht="18.75">
      <c r="B17" s="24" t="s">
        <v>123</v>
      </c>
      <c r="C17" s="19" t="s">
        <v>136</v>
      </c>
      <c r="D17" s="24" t="s">
        <v>123</v>
      </c>
      <c r="F17" s="25" t="s">
        <v>80</v>
      </c>
      <c r="G17" s="19" t="s">
        <v>136</v>
      </c>
      <c r="H17" s="25" t="s">
        <v>80</v>
      </c>
      <c r="J17" s="26" t="s">
        <v>223</v>
      </c>
      <c r="K17" s="19" t="s">
        <v>136</v>
      </c>
      <c r="L17" s="26" t="s">
        <v>223</v>
      </c>
    </row>
    <row r="18" spans="1:12" ht="18.75">
      <c r="B18" s="24" t="s">
        <v>121</v>
      </c>
      <c r="C18" s="19" t="s">
        <v>136</v>
      </c>
      <c r="D18" s="24" t="s">
        <v>121</v>
      </c>
      <c r="F18" s="25" t="s">
        <v>20</v>
      </c>
      <c r="G18" s="19" t="s">
        <v>136</v>
      </c>
      <c r="H18" s="25" t="s">
        <v>20</v>
      </c>
      <c r="J18" s="26" t="s">
        <v>224</v>
      </c>
      <c r="K18" s="19" t="s">
        <v>136</v>
      </c>
      <c r="L18" s="26" t="s">
        <v>224</v>
      </c>
    </row>
    <row r="20" spans="1:12" ht="21">
      <c r="A20" s="26" t="s">
        <v>236</v>
      </c>
      <c r="B20" s="40" t="s">
        <v>233</v>
      </c>
      <c r="C20" s="26" t="s">
        <v>236</v>
      </c>
      <c r="D20" s="40" t="s">
        <v>232</v>
      </c>
      <c r="E20" s="26" t="s">
        <v>236</v>
      </c>
      <c r="F20" s="40" t="s">
        <v>226</v>
      </c>
      <c r="G20" s="26" t="s">
        <v>236</v>
      </c>
      <c r="H20" s="40" t="s">
        <v>225</v>
      </c>
    </row>
    <row r="21" spans="1:12" ht="18.75">
      <c r="B21" s="39" t="s">
        <v>134</v>
      </c>
      <c r="D21" s="41" t="s">
        <v>135</v>
      </c>
      <c r="F21" s="39" t="s">
        <v>134</v>
      </c>
      <c r="H21" s="41" t="s">
        <v>135</v>
      </c>
    </row>
    <row r="22" spans="1:12" ht="18.75">
      <c r="B22" s="24" t="s">
        <v>43</v>
      </c>
      <c r="C22" s="19" t="s">
        <v>136</v>
      </c>
      <c r="D22" s="24" t="s">
        <v>43</v>
      </c>
      <c r="F22" s="23" t="s">
        <v>17</v>
      </c>
      <c r="G22" s="19" t="s">
        <v>136</v>
      </c>
      <c r="H22" s="23" t="s">
        <v>17</v>
      </c>
    </row>
    <row r="23" spans="1:12" ht="18.75">
      <c r="B23" s="24" t="s">
        <v>22</v>
      </c>
      <c r="C23" s="19" t="s">
        <v>136</v>
      </c>
      <c r="D23" s="24" t="s">
        <v>22</v>
      </c>
      <c r="F23" s="23" t="s">
        <v>119</v>
      </c>
      <c r="G23" s="19" t="s">
        <v>136</v>
      </c>
      <c r="H23" s="23" t="s">
        <v>119</v>
      </c>
    </row>
    <row r="24" spans="1:12" ht="18.75">
      <c r="B24" s="25" t="s">
        <v>130</v>
      </c>
      <c r="C24" s="19" t="s">
        <v>136</v>
      </c>
      <c r="D24" s="25" t="s">
        <v>130</v>
      </c>
    </row>
    <row r="25" spans="1:12" ht="18.75">
      <c r="B25" s="23" t="s">
        <v>131</v>
      </c>
      <c r="C25" s="19" t="s">
        <v>136</v>
      </c>
      <c r="D25" s="23" t="s">
        <v>131</v>
      </c>
      <c r="J25" s="26" t="s">
        <v>239</v>
      </c>
    </row>
    <row r="26" spans="1:12" ht="18.75">
      <c r="B26" s="25" t="s">
        <v>229</v>
      </c>
      <c r="C26" s="19" t="s">
        <v>136</v>
      </c>
      <c r="D26" s="25" t="s">
        <v>229</v>
      </c>
      <c r="J26" s="26" t="s">
        <v>240</v>
      </c>
    </row>
    <row r="27" spans="1:12" ht="18.75">
      <c r="B27" s="27" t="s">
        <v>230</v>
      </c>
      <c r="C27" s="19" t="s">
        <v>136</v>
      </c>
      <c r="D27" s="27" t="s">
        <v>230</v>
      </c>
    </row>
    <row r="29" spans="1:12" ht="21">
      <c r="B29" s="40" t="s">
        <v>203</v>
      </c>
      <c r="D29" s="40" t="s">
        <v>204</v>
      </c>
      <c r="F29" s="40" t="s">
        <v>205</v>
      </c>
    </row>
    <row r="30" spans="1:12" ht="18.75">
      <c r="B30" s="41" t="s">
        <v>135</v>
      </c>
      <c r="D30" s="41" t="s">
        <v>135</v>
      </c>
      <c r="F30" s="41" t="s">
        <v>135</v>
      </c>
    </row>
    <row r="31" spans="1:12" ht="18.75">
      <c r="B31" s="25" t="s">
        <v>128</v>
      </c>
      <c r="C31" s="19" t="s">
        <v>136</v>
      </c>
      <c r="D31" s="25" t="s">
        <v>142</v>
      </c>
      <c r="E31" s="19" t="s">
        <v>136</v>
      </c>
      <c r="F31" s="23" t="s">
        <v>18</v>
      </c>
    </row>
    <row r="32" spans="1:12" ht="18.75">
      <c r="B32" s="23" t="s">
        <v>14</v>
      </c>
      <c r="C32" s="19" t="s">
        <v>136</v>
      </c>
      <c r="D32" s="25" t="s">
        <v>143</v>
      </c>
      <c r="E32" s="19" t="s">
        <v>136</v>
      </c>
      <c r="F32" s="24" t="s">
        <v>123</v>
      </c>
    </row>
    <row r="33" spans="2:6" ht="18.75">
      <c r="B33" s="24" t="s">
        <v>123</v>
      </c>
      <c r="C33" s="19" t="s">
        <v>136</v>
      </c>
      <c r="D33" s="24" t="s">
        <v>144</v>
      </c>
      <c r="E33" s="19" t="s">
        <v>136</v>
      </c>
      <c r="F33" s="25" t="s">
        <v>140</v>
      </c>
    </row>
    <row r="34" spans="2:6" ht="18.75">
      <c r="D34" s="23" t="s">
        <v>16</v>
      </c>
    </row>
  </sheetData>
  <mergeCells count="1">
    <mergeCell ref="J1:L1"/>
  </mergeCells>
  <pageMargins left="0.7" right="0.7" top="0.75" bottom="0.75" header="0.3" footer="0.3"/>
  <pageSetup orientation="portrait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4D7D-2B40-4F26-A6BD-214006A713CE}">
  <dimension ref="C3:D21"/>
  <sheetViews>
    <sheetView workbookViewId="0">
      <selection activeCell="D8" sqref="D8"/>
    </sheetView>
  </sheetViews>
  <sheetFormatPr defaultRowHeight="15"/>
  <cols>
    <col min="3" max="3" width="7.5703125" bestFit="1" customWidth="1"/>
    <col min="4" max="4" width="22.85546875" customWidth="1"/>
  </cols>
  <sheetData>
    <row r="3" spans="3:4" ht="20.25" thickBot="1">
      <c r="C3" s="69" t="s">
        <v>61</v>
      </c>
      <c r="D3" s="69"/>
    </row>
    <row r="4" spans="3:4" ht="15.75" thickTop="1">
      <c r="C4" s="70" t="s">
        <v>60</v>
      </c>
      <c r="D4" s="70"/>
    </row>
    <row r="5" spans="3:4">
      <c r="C5" s="12" t="s">
        <v>59</v>
      </c>
      <c r="D5" s="13" t="s">
        <v>58</v>
      </c>
    </row>
    <row r="6" spans="3:4">
      <c r="C6" s="12" t="s">
        <v>57</v>
      </c>
      <c r="D6" s="11">
        <v>30</v>
      </c>
    </row>
    <row r="7" spans="3:4">
      <c r="C7" s="12" t="s">
        <v>56</v>
      </c>
      <c r="D7" s="11">
        <v>60</v>
      </c>
    </row>
    <row r="8" spans="3:4">
      <c r="C8" s="12" t="s">
        <v>55</v>
      </c>
      <c r="D8" s="11">
        <v>120</v>
      </c>
    </row>
    <row r="10" spans="3:4">
      <c r="C10" s="70" t="s">
        <v>54</v>
      </c>
      <c r="D10" s="70"/>
    </row>
    <row r="11" spans="3:4">
      <c r="C11" s="11" t="s">
        <v>53</v>
      </c>
      <c r="D11" s="11" t="s">
        <v>50</v>
      </c>
    </row>
    <row r="12" spans="3:4">
      <c r="C12" s="11">
        <v>0</v>
      </c>
      <c r="D12" s="10">
        <v>1</v>
      </c>
    </row>
    <row r="13" spans="3:4">
      <c r="C13" s="11">
        <v>1</v>
      </c>
      <c r="D13" s="10">
        <v>1.5</v>
      </c>
    </row>
    <row r="14" spans="3:4">
      <c r="C14" s="11">
        <v>2</v>
      </c>
      <c r="D14" s="10">
        <v>2</v>
      </c>
    </row>
    <row r="15" spans="3:4">
      <c r="C15" s="11">
        <v>3</v>
      </c>
      <c r="D15" s="10">
        <v>2.5</v>
      </c>
    </row>
    <row r="17" spans="3:4">
      <c r="C17" s="70" t="s">
        <v>52</v>
      </c>
      <c r="D17" s="70"/>
    </row>
    <row r="18" spans="3:4">
      <c r="C18" s="11" t="s">
        <v>51</v>
      </c>
      <c r="D18" s="11" t="s">
        <v>50</v>
      </c>
    </row>
    <row r="19" spans="3:4">
      <c r="C19" s="11">
        <v>1</v>
      </c>
      <c r="D19" s="10">
        <v>1</v>
      </c>
    </row>
    <row r="20" spans="3:4">
      <c r="C20" s="11">
        <v>2</v>
      </c>
      <c r="D20" s="10">
        <v>2</v>
      </c>
    </row>
    <row r="21" spans="3:4">
      <c r="C21" s="11">
        <v>3</v>
      </c>
      <c r="D21" s="10">
        <v>4</v>
      </c>
    </row>
  </sheetData>
  <mergeCells count="4">
    <mergeCell ref="C3:D3"/>
    <mergeCell ref="C10:D10"/>
    <mergeCell ref="C17:D17"/>
    <mergeCell ref="C4:D4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4F229-2900-48AE-9016-AA1D42325A52}">
  <dimension ref="C1:Q22"/>
  <sheetViews>
    <sheetView workbookViewId="0">
      <selection activeCell="I39" sqref="I39"/>
    </sheetView>
  </sheetViews>
  <sheetFormatPr defaultRowHeight="15"/>
  <cols>
    <col min="1" max="2" width="2" customWidth="1"/>
    <col min="3" max="3" width="21.140625" bestFit="1" customWidth="1"/>
    <col min="4" max="4" width="16" customWidth="1"/>
    <col min="6" max="6" width="21.140625" bestFit="1" customWidth="1"/>
    <col min="9" max="9" width="15.42578125" bestFit="1" customWidth="1"/>
    <col min="10" max="10" width="6" bestFit="1" customWidth="1"/>
    <col min="12" max="12" width="13.42578125" bestFit="1" customWidth="1"/>
    <col min="15" max="15" width="19" bestFit="1" customWidth="1"/>
    <col min="16" max="16" width="10" bestFit="1" customWidth="1"/>
    <col min="17" max="17" width="10.7109375" bestFit="1" customWidth="1"/>
  </cols>
  <sheetData>
    <row r="1" spans="3:16" ht="10.5" customHeight="1"/>
    <row r="2" spans="3:16" ht="10.5" customHeight="1"/>
    <row r="3" spans="3:16">
      <c r="C3" s="52" t="s">
        <v>452</v>
      </c>
      <c r="D3" s="53"/>
      <c r="F3" s="52" t="s">
        <v>453</v>
      </c>
      <c r="G3" s="53"/>
      <c r="I3" s="52" t="s">
        <v>454</v>
      </c>
      <c r="J3" s="53"/>
      <c r="L3" s="52" t="s">
        <v>455</v>
      </c>
      <c r="M3" s="53"/>
      <c r="O3" s="52" t="s">
        <v>456</v>
      </c>
      <c r="P3" s="53"/>
    </row>
    <row r="4" spans="3:16">
      <c r="C4" s="14" t="s">
        <v>3</v>
      </c>
      <c r="D4" s="15">
        <f>GrasslandRegionalProduction!J114</f>
        <v>90</v>
      </c>
      <c r="F4" s="14" t="s">
        <v>343</v>
      </c>
      <c r="G4" s="15">
        <f>SteelLakeSite!C47</f>
        <v>169.99124999999998</v>
      </c>
      <c r="I4" s="14" t="s">
        <v>120</v>
      </c>
      <c r="J4" s="15">
        <f>OffshoreMegaRefinery!J61</f>
        <v>100</v>
      </c>
      <c r="L4" s="14" t="s">
        <v>18</v>
      </c>
      <c r="M4" s="15">
        <f>SilicaCaveSite!C27</f>
        <v>1405.875</v>
      </c>
      <c r="O4" s="73" t="s">
        <v>59</v>
      </c>
      <c r="P4" s="73" t="s">
        <v>66</v>
      </c>
    </row>
    <row r="5" spans="3:16">
      <c r="C5" s="14" t="s">
        <v>122</v>
      </c>
      <c r="D5" s="15">
        <f>GrasslandRegionalProduction!J115</f>
        <v>320</v>
      </c>
      <c r="F5" s="14" t="s">
        <v>72</v>
      </c>
      <c r="G5" s="15">
        <f>SteelLakeSite!C48</f>
        <v>600.0775000000001</v>
      </c>
      <c r="I5" s="14" t="s">
        <v>14</v>
      </c>
      <c r="J5" s="15">
        <f>OffshoreMegaRefinery!J62</f>
        <v>763.5</v>
      </c>
      <c r="L5" s="14" t="s">
        <v>192</v>
      </c>
      <c r="M5" s="15">
        <f>SilicaCaveSite!C28</f>
        <v>702.97500000000002</v>
      </c>
      <c r="O5" s="14" t="s">
        <v>16</v>
      </c>
      <c r="P5" s="76">
        <f>D12</f>
        <v>145</v>
      </c>
    </row>
    <row r="6" spans="3:16">
      <c r="C6" s="14" t="s">
        <v>12</v>
      </c>
      <c r="D6" s="15">
        <f>GrasslandRegionalProduction!J116</f>
        <v>40</v>
      </c>
      <c r="F6" s="14" t="s">
        <v>88</v>
      </c>
      <c r="G6" s="15">
        <f>SteelLakeSite!C49</f>
        <v>56.671874999999993</v>
      </c>
      <c r="I6" s="14" t="s">
        <v>133</v>
      </c>
      <c r="J6" s="15">
        <f>OffshoreMegaRefinery!J63</f>
        <v>763.2</v>
      </c>
      <c r="O6" s="14" t="s">
        <v>424</v>
      </c>
      <c r="P6" s="76">
        <f>D13+M5</f>
        <v>882.97500000000002</v>
      </c>
    </row>
    <row r="7" spans="3:16">
      <c r="C7" s="14" t="s">
        <v>141</v>
      </c>
      <c r="D7" s="15">
        <f>GrasslandRegionalProduction!J117</f>
        <v>139.76</v>
      </c>
      <c r="I7" s="14" t="s">
        <v>217</v>
      </c>
      <c r="J7" s="15">
        <f>OffshoreMegaRefinery!J64</f>
        <v>763.2</v>
      </c>
      <c r="O7" s="14" t="s">
        <v>14</v>
      </c>
      <c r="P7" s="76">
        <f>D14</f>
        <v>583.5</v>
      </c>
    </row>
    <row r="8" spans="3:16">
      <c r="C8" s="14" t="s">
        <v>146</v>
      </c>
      <c r="D8" s="15">
        <f>GrasslandRegionalProduction!J118</f>
        <v>11.25</v>
      </c>
      <c r="I8" s="14" t="s">
        <v>11</v>
      </c>
      <c r="J8" s="15">
        <f>OffshoreMegaRefinery!J65</f>
        <v>99.599999999999909</v>
      </c>
      <c r="O8" s="14" t="s">
        <v>18</v>
      </c>
      <c r="P8" s="76">
        <f>D15+M4</f>
        <v>1955.95</v>
      </c>
    </row>
    <row r="9" spans="3:16">
      <c r="C9" s="14" t="s">
        <v>76</v>
      </c>
      <c r="D9" s="15">
        <f>GrasslandRegionalProduction!J119</f>
        <v>15</v>
      </c>
      <c r="O9" s="14" t="s">
        <v>72</v>
      </c>
      <c r="P9" s="76">
        <f>G5</f>
        <v>600.0775000000001</v>
      </c>
    </row>
    <row r="10" spans="3:16">
      <c r="C10" s="14" t="s">
        <v>450</v>
      </c>
      <c r="D10" s="15">
        <f>GrasslandRegionalProduction!J120</f>
        <v>27.990000000000002</v>
      </c>
      <c r="O10" s="14" t="s">
        <v>133</v>
      </c>
      <c r="P10" s="76">
        <f>J6</f>
        <v>763.2</v>
      </c>
    </row>
    <row r="11" spans="3:16">
      <c r="C11" s="14" t="s">
        <v>65</v>
      </c>
      <c r="D11" s="15">
        <f>GrasslandRegionalProduction!J121</f>
        <v>483</v>
      </c>
      <c r="O11" s="14" t="s">
        <v>120</v>
      </c>
      <c r="P11" s="76">
        <f>J4</f>
        <v>100</v>
      </c>
    </row>
    <row r="12" spans="3:16">
      <c r="C12" s="14" t="s">
        <v>16</v>
      </c>
      <c r="D12" s="15">
        <f>GrasslandRegionalProduction!J122</f>
        <v>145</v>
      </c>
      <c r="O12" s="14" t="s">
        <v>11</v>
      </c>
      <c r="P12" s="76">
        <f>J8</f>
        <v>99.599999999999909</v>
      </c>
    </row>
    <row r="13" spans="3:16">
      <c r="C13" s="14" t="s">
        <v>424</v>
      </c>
      <c r="D13" s="15">
        <f>GrasslandRegionalProduction!J123</f>
        <v>180</v>
      </c>
      <c r="O13" s="14" t="s">
        <v>122</v>
      </c>
      <c r="P13" s="76">
        <f>D5</f>
        <v>320</v>
      </c>
    </row>
    <row r="14" spans="3:16">
      <c r="C14" s="14" t="s">
        <v>14</v>
      </c>
      <c r="D14" s="15">
        <f>GrasslandRegionalProduction!J124</f>
        <v>583.5</v>
      </c>
      <c r="O14" s="14" t="s">
        <v>339</v>
      </c>
      <c r="P14" s="76">
        <f>D16+G4</f>
        <v>195.49124999999998</v>
      </c>
    </row>
    <row r="15" spans="3:16">
      <c r="C15" s="14" t="s">
        <v>18</v>
      </c>
      <c r="D15" s="15">
        <f>GrasslandRegionalProduction!J125</f>
        <v>550.07500000000005</v>
      </c>
      <c r="O15" s="14" t="s">
        <v>141</v>
      </c>
      <c r="P15" s="76">
        <f>D7</f>
        <v>139.76</v>
      </c>
    </row>
    <row r="16" spans="3:16">
      <c r="C16" s="14" t="s">
        <v>343</v>
      </c>
      <c r="D16" s="15">
        <f>GrasslandRegionalProduction!J113</f>
        <v>25.5</v>
      </c>
      <c r="O16" s="14" t="s">
        <v>12</v>
      </c>
      <c r="P16" s="76">
        <f>D6</f>
        <v>40</v>
      </c>
    </row>
    <row r="17" spans="15:17">
      <c r="O17" s="14" t="s">
        <v>146</v>
      </c>
      <c r="P17" s="76">
        <f>D8+G6</f>
        <v>67.921875</v>
      </c>
    </row>
    <row r="18" spans="15:17">
      <c r="O18" s="14" t="s">
        <v>76</v>
      </c>
      <c r="P18" s="76">
        <f>D9</f>
        <v>15</v>
      </c>
    </row>
    <row r="19" spans="15:17">
      <c r="O19" s="14" t="s">
        <v>217</v>
      </c>
      <c r="P19" s="76">
        <f>J7</f>
        <v>763.2</v>
      </c>
    </row>
    <row r="20" spans="15:17">
      <c r="O20" s="14" t="s">
        <v>450</v>
      </c>
      <c r="P20" s="76">
        <f>D10</f>
        <v>27.990000000000002</v>
      </c>
    </row>
    <row r="22" spans="15:17">
      <c r="O22" s="14" t="s">
        <v>65</v>
      </c>
      <c r="P22" s="15">
        <f>D11</f>
        <v>483</v>
      </c>
      <c r="Q22" s="15" t="s">
        <v>457</v>
      </c>
    </row>
  </sheetData>
  <mergeCells count="5">
    <mergeCell ref="C3:D3"/>
    <mergeCell ref="F3:G3"/>
    <mergeCell ref="I3:J3"/>
    <mergeCell ref="L3:M3"/>
    <mergeCell ref="O3:P3"/>
  </mergeCells>
  <conditionalFormatting sqref="P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F9CB-C54B-4DF7-BCB6-6C966AE969A7}">
  <sheetPr>
    <pageSetUpPr fitToPage="1"/>
  </sheetPr>
  <dimension ref="C1:V96"/>
  <sheetViews>
    <sheetView topLeftCell="J7" workbookViewId="0">
      <selection activeCell="N25" sqref="N25"/>
    </sheetView>
  </sheetViews>
  <sheetFormatPr defaultRowHeight="15"/>
  <cols>
    <col min="1" max="2" width="1.7109375" customWidth="1"/>
    <col min="3" max="3" width="35" bestFit="1" customWidth="1"/>
    <col min="4" max="4" width="38" bestFit="1" customWidth="1"/>
    <col min="5" max="5" width="47.5703125" bestFit="1" customWidth="1"/>
    <col min="6" max="6" width="61.28515625" bestFit="1" customWidth="1"/>
    <col min="7" max="7" width="13" customWidth="1"/>
    <col min="8" max="8" width="64" bestFit="1" customWidth="1"/>
    <col min="10" max="10" width="23.85546875" bestFit="1" customWidth="1"/>
    <col min="11" max="11" width="31.5703125" bestFit="1" customWidth="1"/>
    <col min="12" max="12" width="4.85546875" bestFit="1" customWidth="1"/>
    <col min="13" max="13" width="18.5703125" bestFit="1" customWidth="1"/>
    <col min="14" max="14" width="29.140625" bestFit="1" customWidth="1"/>
    <col min="15" max="15" width="18.5703125" bestFit="1" customWidth="1"/>
    <col min="16" max="16" width="29.140625" bestFit="1" customWidth="1"/>
    <col min="17" max="17" width="9" customWidth="1"/>
    <col min="18" max="18" width="59.7109375" bestFit="1" customWidth="1"/>
    <col min="19" max="19" width="4.85546875" bestFit="1" customWidth="1"/>
    <col min="20" max="20" width="51.7109375" bestFit="1" customWidth="1"/>
    <col min="21" max="21" width="4.85546875" bestFit="1" customWidth="1"/>
    <col min="22" max="22" width="53.5703125" bestFit="1" customWidth="1"/>
  </cols>
  <sheetData>
    <row r="1" spans="3:22" ht="9" customHeight="1"/>
    <row r="2" spans="3:22" ht="9" customHeight="1" thickBot="1"/>
    <row r="3" spans="3:22" ht="58.5" thickTop="1" thickBot="1">
      <c r="C3" s="1" t="s">
        <v>0</v>
      </c>
      <c r="D3" s="2" t="s">
        <v>207</v>
      </c>
      <c r="E3" s="2" t="s">
        <v>208</v>
      </c>
      <c r="F3" s="2" t="s">
        <v>206</v>
      </c>
      <c r="G3" s="2" t="s">
        <v>209</v>
      </c>
      <c r="H3" s="3" t="s">
        <v>210</v>
      </c>
      <c r="J3" s="21" t="s">
        <v>87</v>
      </c>
      <c r="K3" s="21" t="s">
        <v>197</v>
      </c>
      <c r="L3" s="22" t="s">
        <v>2</v>
      </c>
      <c r="M3" s="22" t="s">
        <v>2</v>
      </c>
      <c r="N3" s="21" t="s">
        <v>200</v>
      </c>
      <c r="O3" s="21" t="s">
        <v>198</v>
      </c>
      <c r="P3" s="21" t="s">
        <v>199</v>
      </c>
      <c r="Q3" s="22" t="s">
        <v>2</v>
      </c>
      <c r="R3" s="21" t="s">
        <v>201</v>
      </c>
      <c r="S3" s="22" t="s">
        <v>2</v>
      </c>
      <c r="T3" s="21" t="s">
        <v>283</v>
      </c>
      <c r="U3" s="22" t="s">
        <v>2</v>
      </c>
      <c r="V3" s="28" t="s">
        <v>305</v>
      </c>
    </row>
    <row r="4" spans="3:22" ht="20.25" thickTop="1" thickBot="1">
      <c r="C4" s="39" t="s">
        <v>1</v>
      </c>
      <c r="D4" s="23" t="s">
        <v>25</v>
      </c>
      <c r="E4" s="5" t="s">
        <v>2</v>
      </c>
      <c r="F4" s="24" t="s">
        <v>3</v>
      </c>
      <c r="G4" s="5" t="s">
        <v>2</v>
      </c>
      <c r="H4" s="26" t="s">
        <v>45</v>
      </c>
      <c r="J4" s="23" t="s">
        <v>90</v>
      </c>
      <c r="K4" s="24" t="s">
        <v>68</v>
      </c>
      <c r="M4" s="24" t="s">
        <v>82</v>
      </c>
      <c r="N4" s="25" t="s">
        <v>20</v>
      </c>
      <c r="O4" s="24" t="s">
        <v>68</v>
      </c>
      <c r="P4" s="25" t="s">
        <v>141</v>
      </c>
      <c r="Q4" s="20"/>
      <c r="R4" s="26" t="s">
        <v>147</v>
      </c>
      <c r="T4" s="43" t="s">
        <v>280</v>
      </c>
      <c r="V4" s="44" t="s">
        <v>304</v>
      </c>
    </row>
    <row r="5" spans="3:22" ht="20.25" thickTop="1" thickBot="1">
      <c r="C5" s="39" t="s">
        <v>7</v>
      </c>
      <c r="D5" s="23" t="s">
        <v>26</v>
      </c>
      <c r="E5" s="6" t="s">
        <v>2</v>
      </c>
      <c r="F5" s="24" t="s">
        <v>6</v>
      </c>
      <c r="G5" s="5" t="s">
        <v>2</v>
      </c>
      <c r="H5" s="26" t="s">
        <v>48</v>
      </c>
      <c r="J5" s="20"/>
      <c r="K5" s="20"/>
      <c r="M5" s="24" t="s">
        <v>72</v>
      </c>
      <c r="N5" s="25" t="s">
        <v>80</v>
      </c>
      <c r="O5" s="24" t="s">
        <v>72</v>
      </c>
      <c r="P5" s="25" t="s">
        <v>81</v>
      </c>
      <c r="Q5" s="20"/>
      <c r="R5" s="25" t="s">
        <v>141</v>
      </c>
      <c r="S5" s="20"/>
      <c r="T5" s="26" t="s">
        <v>196</v>
      </c>
      <c r="U5" s="20"/>
      <c r="V5" s="43" t="s">
        <v>235</v>
      </c>
    </row>
    <row r="6" spans="3:22" ht="20.25" thickTop="1" thickBot="1">
      <c r="F6" s="24" t="s">
        <v>29</v>
      </c>
      <c r="G6" s="5" t="s">
        <v>2</v>
      </c>
      <c r="H6" s="26" t="s">
        <v>31</v>
      </c>
      <c r="J6" s="23" t="s">
        <v>24</v>
      </c>
      <c r="K6" s="24" t="s">
        <v>19</v>
      </c>
      <c r="M6" s="20"/>
      <c r="N6" s="20"/>
      <c r="O6" s="24" t="s">
        <v>3</v>
      </c>
      <c r="P6" s="25" t="s">
        <v>85</v>
      </c>
      <c r="Q6" s="20"/>
      <c r="R6" s="24" t="s">
        <v>83</v>
      </c>
      <c r="S6" s="20"/>
      <c r="T6" s="25" t="s">
        <v>20</v>
      </c>
      <c r="U6" s="20"/>
      <c r="V6" s="43" t="s">
        <v>47</v>
      </c>
    </row>
    <row r="7" spans="3:22" ht="20.25" thickTop="1" thickBot="1">
      <c r="F7" s="24" t="s">
        <v>32</v>
      </c>
      <c r="G7" s="5" t="s">
        <v>2</v>
      </c>
      <c r="H7" s="26" t="s">
        <v>39</v>
      </c>
      <c r="J7" s="23" t="s">
        <v>91</v>
      </c>
      <c r="K7" s="24" t="s">
        <v>69</v>
      </c>
      <c r="M7" s="24" t="s">
        <v>72</v>
      </c>
      <c r="N7" s="25" t="s">
        <v>81</v>
      </c>
      <c r="O7" s="24" t="s">
        <v>83</v>
      </c>
      <c r="P7" s="27" t="s">
        <v>12</v>
      </c>
      <c r="Q7" s="20"/>
      <c r="R7" s="23" t="s">
        <v>14</v>
      </c>
      <c r="T7" s="39" t="s">
        <v>289</v>
      </c>
      <c r="V7" s="27" t="s">
        <v>12</v>
      </c>
    </row>
    <row r="8" spans="3:22" ht="20.25" thickTop="1" thickBot="1">
      <c r="F8" s="24" t="s">
        <v>33</v>
      </c>
      <c r="G8" s="5" t="s">
        <v>2</v>
      </c>
      <c r="H8" s="26" t="s">
        <v>202</v>
      </c>
      <c r="J8" s="20"/>
      <c r="K8" s="24" t="s">
        <v>70</v>
      </c>
      <c r="M8" s="24" t="s">
        <v>68</v>
      </c>
      <c r="N8" s="20"/>
      <c r="O8" s="24" t="s">
        <v>82</v>
      </c>
      <c r="P8" s="25" t="s">
        <v>80</v>
      </c>
      <c r="Q8" s="20"/>
      <c r="S8" s="20"/>
      <c r="U8" s="20"/>
      <c r="V8" s="25" t="s">
        <v>301</v>
      </c>
    </row>
    <row r="9" spans="3:22" ht="20.25" thickTop="1" thickBot="1">
      <c r="F9" s="24" t="s">
        <v>34</v>
      </c>
      <c r="G9" s="5" t="s">
        <v>2</v>
      </c>
      <c r="H9" s="26" t="s">
        <v>280</v>
      </c>
      <c r="J9" s="20"/>
      <c r="K9" s="20"/>
      <c r="M9" s="20"/>
      <c r="N9" s="20"/>
      <c r="O9" s="24" t="s">
        <v>86</v>
      </c>
      <c r="P9" s="25" t="s">
        <v>20</v>
      </c>
      <c r="Q9" s="20"/>
      <c r="R9" s="26" t="s">
        <v>146</v>
      </c>
      <c r="S9" s="20"/>
      <c r="T9" s="43" t="s">
        <v>46</v>
      </c>
      <c r="U9" s="20"/>
      <c r="V9" s="25" t="s">
        <v>20</v>
      </c>
    </row>
    <row r="10" spans="3:22" ht="20.25" thickTop="1" thickBot="1">
      <c r="F10" s="25" t="s">
        <v>20</v>
      </c>
      <c r="G10" s="5" t="s">
        <v>2</v>
      </c>
      <c r="H10" s="26" t="s">
        <v>47</v>
      </c>
      <c r="J10" s="23" t="s">
        <v>89</v>
      </c>
      <c r="K10" s="24" t="s">
        <v>72</v>
      </c>
      <c r="M10" s="24" t="s">
        <v>72</v>
      </c>
      <c r="N10" s="25" t="s">
        <v>85</v>
      </c>
      <c r="P10" s="20"/>
      <c r="Q10" s="20"/>
      <c r="R10" s="25" t="s">
        <v>142</v>
      </c>
      <c r="S10" s="20"/>
      <c r="T10" s="26" t="s">
        <v>248</v>
      </c>
      <c r="U10" s="20"/>
    </row>
    <row r="11" spans="3:22" ht="20.25" thickTop="1" thickBot="1">
      <c r="F11" s="25" t="s">
        <v>36</v>
      </c>
      <c r="G11" s="5" t="s">
        <v>2</v>
      </c>
      <c r="H11" s="26" t="s">
        <v>46</v>
      </c>
      <c r="J11" s="20"/>
      <c r="K11" s="24" t="s">
        <v>84</v>
      </c>
      <c r="M11" s="23" t="s">
        <v>16</v>
      </c>
      <c r="N11" s="20"/>
      <c r="P11" s="21"/>
      <c r="Q11" s="20"/>
      <c r="R11" s="25" t="s">
        <v>143</v>
      </c>
      <c r="S11" s="20"/>
      <c r="T11" s="26" t="s">
        <v>147</v>
      </c>
      <c r="U11" s="20"/>
    </row>
    <row r="12" spans="3:22" ht="20.25" thickTop="1" thickBot="1">
      <c r="F12" s="27" t="s">
        <v>12</v>
      </c>
      <c r="G12" s="5" t="s">
        <v>2</v>
      </c>
      <c r="H12" s="26" t="s">
        <v>235</v>
      </c>
      <c r="J12" s="20"/>
      <c r="K12" s="20"/>
      <c r="M12" s="20"/>
      <c r="N12" s="20"/>
      <c r="O12" s="20"/>
      <c r="P12" s="20"/>
      <c r="Q12" s="20"/>
      <c r="R12" s="24" t="s">
        <v>72</v>
      </c>
      <c r="T12" s="43" t="s">
        <v>280</v>
      </c>
    </row>
    <row r="13" spans="3:22" ht="21.75" thickBot="1">
      <c r="F13" s="25" t="s">
        <v>37</v>
      </c>
      <c r="H13" s="26" t="s">
        <v>234</v>
      </c>
      <c r="J13" s="23" t="s">
        <v>92</v>
      </c>
      <c r="K13" s="25" t="s">
        <v>79</v>
      </c>
      <c r="M13" s="25" t="s">
        <v>19</v>
      </c>
      <c r="N13" s="25" t="s">
        <v>141</v>
      </c>
      <c r="Q13" s="22"/>
      <c r="R13" s="23" t="s">
        <v>16</v>
      </c>
      <c r="S13" s="20"/>
      <c r="T13" s="24" t="s">
        <v>82</v>
      </c>
      <c r="U13" s="20"/>
    </row>
    <row r="14" spans="3:22" ht="20.25" thickTop="1" thickBot="1">
      <c r="C14" s="39" t="s">
        <v>4</v>
      </c>
      <c r="D14" s="23" t="s">
        <v>27</v>
      </c>
      <c r="E14" s="8" t="s">
        <v>2</v>
      </c>
      <c r="F14" s="24" t="s">
        <v>28</v>
      </c>
      <c r="G14" s="5" t="s">
        <v>2</v>
      </c>
      <c r="H14" s="26" t="s">
        <v>49</v>
      </c>
      <c r="J14" s="20"/>
      <c r="K14" s="25" t="s">
        <v>78</v>
      </c>
      <c r="M14" s="23" t="s">
        <v>18</v>
      </c>
      <c r="N14" s="20"/>
      <c r="Q14" s="20"/>
      <c r="S14" s="20"/>
      <c r="U14" s="20"/>
    </row>
    <row r="15" spans="3:22" ht="19.5" thickTop="1">
      <c r="F15" s="24" t="s">
        <v>19</v>
      </c>
      <c r="J15" s="20"/>
      <c r="K15" s="20"/>
      <c r="M15" s="20"/>
      <c r="N15" s="20"/>
      <c r="Q15" s="20"/>
      <c r="R15" s="26" t="s">
        <v>196</v>
      </c>
      <c r="S15" s="20"/>
      <c r="T15" s="43" t="s">
        <v>47</v>
      </c>
      <c r="U15" s="20"/>
    </row>
    <row r="16" spans="3:22" ht="19.5" thickBot="1">
      <c r="F16" s="24" t="s">
        <v>264</v>
      </c>
      <c r="J16" s="20"/>
      <c r="K16" s="25" t="s">
        <v>75</v>
      </c>
      <c r="M16" s="25" t="s">
        <v>20</v>
      </c>
      <c r="N16" s="27" t="s">
        <v>12</v>
      </c>
      <c r="Q16" s="20"/>
      <c r="R16" s="25" t="s">
        <v>141</v>
      </c>
      <c r="T16" s="23" t="s">
        <v>153</v>
      </c>
    </row>
    <row r="17" spans="3:21" ht="20.25" thickTop="1" thickBot="1">
      <c r="C17" s="39" t="s">
        <v>8</v>
      </c>
      <c r="D17" s="23" t="s">
        <v>16</v>
      </c>
      <c r="E17" s="5" t="s">
        <v>2</v>
      </c>
      <c r="F17" s="25" t="s">
        <v>30</v>
      </c>
      <c r="J17" s="20"/>
      <c r="K17" s="25" t="s">
        <v>85</v>
      </c>
      <c r="M17" s="25" t="s">
        <v>80</v>
      </c>
      <c r="N17" s="20"/>
      <c r="Q17" s="20"/>
      <c r="R17" s="24" t="s">
        <v>123</v>
      </c>
      <c r="T17" s="25" t="s">
        <v>241</v>
      </c>
    </row>
    <row r="18" spans="3:21" ht="19.5" thickBot="1">
      <c r="J18" s="20"/>
      <c r="K18" s="20"/>
      <c r="M18" s="20"/>
      <c r="Q18" s="20"/>
      <c r="R18" s="23" t="s">
        <v>18</v>
      </c>
      <c r="S18" s="20"/>
      <c r="T18" s="26" t="s">
        <v>196</v>
      </c>
      <c r="U18" s="20"/>
    </row>
    <row r="19" spans="3:21" ht="20.25" thickTop="1" thickBot="1">
      <c r="C19" s="39" t="s">
        <v>15</v>
      </c>
      <c r="D19" s="23" t="s">
        <v>5</v>
      </c>
      <c r="E19" s="6" t="s">
        <v>2</v>
      </c>
      <c r="F19" s="24" t="s">
        <v>71</v>
      </c>
      <c r="G19" s="9" t="s">
        <v>2</v>
      </c>
      <c r="J19" s="20"/>
      <c r="K19" s="27" t="s">
        <v>77</v>
      </c>
      <c r="M19" s="20"/>
      <c r="Q19" s="20"/>
      <c r="R19" s="20"/>
      <c r="S19" s="20"/>
      <c r="T19" s="20"/>
      <c r="U19" s="20"/>
    </row>
    <row r="20" spans="3:21" ht="20.25" thickTop="1" thickBot="1">
      <c r="F20" s="24" t="s">
        <v>74</v>
      </c>
      <c r="G20" s="6" t="s">
        <v>2</v>
      </c>
      <c r="J20" s="20"/>
      <c r="K20" s="20"/>
      <c r="M20" s="20"/>
      <c r="Q20" s="20"/>
      <c r="R20" s="26" t="s">
        <v>248</v>
      </c>
      <c r="S20" s="20"/>
      <c r="T20" s="43" t="s">
        <v>235</v>
      </c>
      <c r="U20" s="20"/>
    </row>
    <row r="21" spans="3:21" ht="19.5" thickTop="1">
      <c r="F21" s="25" t="s">
        <v>73</v>
      </c>
      <c r="J21" s="23" t="s">
        <v>18</v>
      </c>
      <c r="K21" s="25" t="s">
        <v>141</v>
      </c>
      <c r="M21" s="20"/>
      <c r="Q21" s="20"/>
      <c r="R21" s="23" t="s">
        <v>11</v>
      </c>
      <c r="S21" s="20"/>
      <c r="T21" s="24" t="s">
        <v>43</v>
      </c>
      <c r="U21" s="20"/>
    </row>
    <row r="22" spans="3:21" ht="19.5" thickBot="1">
      <c r="J22" s="20"/>
      <c r="K22" s="20"/>
      <c r="M22" s="20"/>
      <c r="Q22" s="20"/>
      <c r="R22" s="24" t="s">
        <v>69</v>
      </c>
      <c r="S22" s="20"/>
      <c r="T22" s="26" t="s">
        <v>146</v>
      </c>
      <c r="U22" s="20"/>
    </row>
    <row r="23" spans="3:21" ht="19.5" thickBot="1">
      <c r="C23" s="39" t="s">
        <v>13</v>
      </c>
      <c r="D23" s="23" t="s">
        <v>153</v>
      </c>
      <c r="E23" s="6" t="s">
        <v>2</v>
      </c>
      <c r="F23" s="23" t="s">
        <v>18</v>
      </c>
      <c r="G23" s="4" t="s">
        <v>2</v>
      </c>
      <c r="J23" s="23" t="s">
        <v>133</v>
      </c>
      <c r="K23" s="24" t="s">
        <v>43</v>
      </c>
      <c r="M23" s="24" t="s">
        <v>43</v>
      </c>
      <c r="N23" s="25" t="s">
        <v>241</v>
      </c>
      <c r="Q23" s="20"/>
      <c r="R23" s="24" t="s">
        <v>242</v>
      </c>
      <c r="S23" s="20"/>
      <c r="T23" s="39" t="s">
        <v>293</v>
      </c>
      <c r="U23" s="20"/>
    </row>
    <row r="24" spans="3:21" ht="20.25" thickTop="1" thickBot="1">
      <c r="D24" s="23" t="s">
        <v>18</v>
      </c>
      <c r="E24" s="4" t="s">
        <v>2</v>
      </c>
      <c r="F24" s="23" t="s">
        <v>11</v>
      </c>
      <c r="G24" s="4" t="s">
        <v>2</v>
      </c>
      <c r="J24" s="20"/>
      <c r="K24" s="20"/>
      <c r="M24" s="23" t="s">
        <v>14</v>
      </c>
      <c r="Q24" s="20"/>
      <c r="R24" s="39" t="s">
        <v>17</v>
      </c>
      <c r="S24" s="20"/>
      <c r="U24" s="20"/>
    </row>
    <row r="25" spans="3:21" ht="18.75">
      <c r="J25" s="23" t="s">
        <v>133</v>
      </c>
      <c r="K25" s="24" t="s">
        <v>300</v>
      </c>
      <c r="M25" s="20"/>
      <c r="Q25" s="20"/>
      <c r="R25" s="20"/>
      <c r="S25" s="20"/>
      <c r="U25" s="20"/>
    </row>
    <row r="26" spans="3:21" ht="19.5" thickBot="1">
      <c r="F26" s="25" t="s">
        <v>35</v>
      </c>
      <c r="M26" s="23" t="s">
        <v>133</v>
      </c>
      <c r="N26" s="24" t="s">
        <v>242</v>
      </c>
      <c r="Q26" s="20"/>
      <c r="R26" s="26" t="s">
        <v>21</v>
      </c>
      <c r="S26" s="20"/>
      <c r="U26" s="20"/>
    </row>
    <row r="27" spans="3:21" ht="19.5" thickBot="1">
      <c r="C27" s="39" t="s">
        <v>9</v>
      </c>
      <c r="D27" s="23" t="s">
        <v>11</v>
      </c>
      <c r="E27" s="4" t="s">
        <v>2</v>
      </c>
      <c r="F27" s="23" t="s">
        <v>14</v>
      </c>
      <c r="G27" s="4" t="s">
        <v>2</v>
      </c>
      <c r="M27" s="23" t="s">
        <v>24</v>
      </c>
      <c r="N27" s="20"/>
      <c r="R27" s="23" t="s">
        <v>153</v>
      </c>
    </row>
    <row r="28" spans="3:21" ht="20.25" thickTop="1" thickBot="1">
      <c r="D28" s="23" t="s">
        <v>14</v>
      </c>
      <c r="E28" s="4" t="s">
        <v>2</v>
      </c>
      <c r="F28" s="5"/>
      <c r="G28" s="4" t="s">
        <v>2</v>
      </c>
      <c r="R28" s="24" t="s">
        <v>68</v>
      </c>
    </row>
    <row r="29" spans="3:21" ht="19.5" thickBot="1">
      <c r="D29" s="23" t="s">
        <v>40</v>
      </c>
      <c r="E29" s="4" t="s">
        <v>2</v>
      </c>
      <c r="G29" s="6" t="s">
        <v>2</v>
      </c>
      <c r="M29" s="24" t="s">
        <v>19</v>
      </c>
      <c r="N29" s="25" t="s">
        <v>249</v>
      </c>
      <c r="R29" s="24" t="s">
        <v>265</v>
      </c>
    </row>
    <row r="30" spans="3:21" ht="18.75">
      <c r="M30" s="24" t="s">
        <v>70</v>
      </c>
    </row>
    <row r="31" spans="3:21" ht="18.75">
      <c r="C31" s="39" t="s">
        <v>17</v>
      </c>
      <c r="F31" s="23" t="s">
        <v>41</v>
      </c>
      <c r="R31" s="26" t="s">
        <v>234</v>
      </c>
    </row>
    <row r="32" spans="3:21" ht="18.75">
      <c r="C32" s="39" t="s">
        <v>10</v>
      </c>
      <c r="F32" s="24" t="s">
        <v>42</v>
      </c>
      <c r="M32" s="24" t="s">
        <v>300</v>
      </c>
      <c r="N32" s="25" t="s">
        <v>301</v>
      </c>
      <c r="R32" s="25" t="s">
        <v>241</v>
      </c>
    </row>
    <row r="33" spans="3:18" ht="18.75">
      <c r="C33" s="39" t="s">
        <v>132</v>
      </c>
      <c r="F33" s="24" t="s">
        <v>43</v>
      </c>
      <c r="M33" s="39" t="s">
        <v>293</v>
      </c>
      <c r="R33" s="27" t="s">
        <v>12</v>
      </c>
    </row>
    <row r="34" spans="3:18" ht="18.75">
      <c r="C34" s="39" t="s">
        <v>293</v>
      </c>
      <c r="F34" s="25" t="s">
        <v>44</v>
      </c>
      <c r="R34" s="39" t="s">
        <v>293</v>
      </c>
    </row>
    <row r="35" spans="3:18" ht="18.75">
      <c r="F35" s="24" t="s">
        <v>22</v>
      </c>
    </row>
    <row r="36" spans="3:18" ht="18.75">
      <c r="F36" s="24" t="s">
        <v>38</v>
      </c>
    </row>
    <row r="39" spans="3:18" ht="30" customHeight="1">
      <c r="C39" s="49" t="s">
        <v>243</v>
      </c>
      <c r="D39" s="50"/>
    </row>
    <row r="40" spans="3:18" ht="18.75">
      <c r="C40" s="23" t="s">
        <v>244</v>
      </c>
      <c r="D40" s="42">
        <v>1</v>
      </c>
    </row>
    <row r="41" spans="3:18" ht="18.75">
      <c r="C41" s="23" t="s">
        <v>158</v>
      </c>
      <c r="D41" s="42">
        <v>0.5</v>
      </c>
    </row>
    <row r="42" spans="3:18" ht="18.75">
      <c r="C42" s="23" t="s">
        <v>157</v>
      </c>
      <c r="D42" s="42">
        <v>0.35</v>
      </c>
    </row>
    <row r="43" spans="3:18" ht="18.75">
      <c r="C43" s="23" t="s">
        <v>156</v>
      </c>
      <c r="D43" s="42">
        <v>0.65</v>
      </c>
    </row>
    <row r="44" spans="3:18" ht="18.75">
      <c r="C44" s="23" t="s">
        <v>155</v>
      </c>
      <c r="D44" s="42">
        <v>0.8</v>
      </c>
    </row>
    <row r="45" spans="3:18" ht="18.75">
      <c r="C45" s="23" t="s">
        <v>154</v>
      </c>
      <c r="D45" s="42">
        <v>0.2</v>
      </c>
    </row>
    <row r="46" spans="3:18" ht="18.75">
      <c r="C46" s="23" t="s">
        <v>159</v>
      </c>
      <c r="D46" s="42">
        <v>0.85</v>
      </c>
    </row>
    <row r="47" spans="3:18" ht="18.75">
      <c r="C47" s="23" t="s">
        <v>160</v>
      </c>
      <c r="D47" s="42">
        <v>0.15</v>
      </c>
    </row>
    <row r="48" spans="3:18" ht="18.75">
      <c r="C48" s="23" t="s">
        <v>245</v>
      </c>
      <c r="D48" s="42">
        <v>0.9</v>
      </c>
    </row>
    <row r="49" spans="3:8" ht="18.75">
      <c r="C49" s="23" t="s">
        <v>246</v>
      </c>
      <c r="D49" s="42">
        <v>0.05</v>
      </c>
    </row>
    <row r="50" spans="3:8" ht="18.75">
      <c r="C50" s="23" t="s">
        <v>247</v>
      </c>
      <c r="D50" s="42">
        <v>0.05</v>
      </c>
    </row>
    <row r="51" spans="3:8" ht="18.75">
      <c r="C51" s="23" t="s">
        <v>250</v>
      </c>
      <c r="D51" s="42">
        <v>1</v>
      </c>
      <c r="E51" s="39" t="s">
        <v>251</v>
      </c>
    </row>
    <row r="55" spans="3:8" ht="18.75">
      <c r="C55" s="25" t="s">
        <v>171</v>
      </c>
      <c r="D55" s="25">
        <v>0.5</v>
      </c>
      <c r="E55" s="25" t="s">
        <v>172</v>
      </c>
      <c r="F55" s="25">
        <v>1</v>
      </c>
    </row>
    <row r="56" spans="3:8" ht="18.75">
      <c r="C56" s="25" t="s">
        <v>170</v>
      </c>
      <c r="D56" s="25">
        <v>0.7</v>
      </c>
      <c r="E56" s="25" t="s">
        <v>168</v>
      </c>
      <c r="F56" s="25">
        <v>0.25</v>
      </c>
    </row>
    <row r="57" spans="3:8" ht="18.75">
      <c r="C57" s="25" t="s">
        <v>169</v>
      </c>
      <c r="D57" s="25">
        <v>1</v>
      </c>
      <c r="E57" s="25" t="s">
        <v>167</v>
      </c>
      <c r="F57" s="25">
        <v>0.15</v>
      </c>
    </row>
    <row r="58" spans="3:8" ht="18.75">
      <c r="C58" s="25" t="s">
        <v>164</v>
      </c>
      <c r="D58" s="25">
        <v>0.8</v>
      </c>
      <c r="E58" s="25" t="s">
        <v>165</v>
      </c>
      <c r="F58" s="25">
        <v>0.25</v>
      </c>
    </row>
    <row r="59" spans="3:8" ht="18.75">
      <c r="C59" s="25" t="s">
        <v>163</v>
      </c>
      <c r="D59" s="25">
        <v>0.2</v>
      </c>
      <c r="E59" s="25" t="s">
        <v>166</v>
      </c>
      <c r="F59" s="25">
        <v>0.17</v>
      </c>
    </row>
    <row r="60" spans="3:8" ht="18.75">
      <c r="C60" s="25" t="s">
        <v>178</v>
      </c>
      <c r="D60" s="25">
        <v>1</v>
      </c>
      <c r="E60" s="25" t="s">
        <v>179</v>
      </c>
      <c r="F60" s="25">
        <v>0.5</v>
      </c>
    </row>
    <row r="61" spans="3:8" ht="18.75">
      <c r="C61" s="25" t="s">
        <v>252</v>
      </c>
      <c r="D61" s="25">
        <v>0.05</v>
      </c>
      <c r="E61" s="25" t="s">
        <v>253</v>
      </c>
      <c r="F61" s="25">
        <v>0.05</v>
      </c>
      <c r="H61" s="39" t="s">
        <v>254</v>
      </c>
    </row>
    <row r="62" spans="3:8" ht="18.75">
      <c r="C62" s="25" t="s">
        <v>255</v>
      </c>
      <c r="D62" s="25">
        <v>0.25</v>
      </c>
      <c r="E62" s="25" t="s">
        <v>256</v>
      </c>
      <c r="F62" s="25">
        <v>0.3</v>
      </c>
    </row>
    <row r="63" spans="3:8" ht="18.75">
      <c r="C63" s="25" t="s">
        <v>257</v>
      </c>
      <c r="D63" s="25">
        <v>0.01</v>
      </c>
      <c r="E63" s="25" t="s">
        <v>258</v>
      </c>
      <c r="F63" s="25">
        <v>0.01</v>
      </c>
      <c r="H63" s="39" t="s">
        <v>259</v>
      </c>
    </row>
    <row r="64" spans="3:8" ht="18.75">
      <c r="C64" s="25" t="s">
        <v>302</v>
      </c>
      <c r="D64" s="25">
        <v>0.3</v>
      </c>
      <c r="E64" s="25" t="s">
        <v>303</v>
      </c>
      <c r="F64" s="25">
        <v>1</v>
      </c>
    </row>
    <row r="65" spans="3:8" ht="18.75">
      <c r="H65" s="39" t="s">
        <v>263</v>
      </c>
    </row>
    <row r="66" spans="3:8" ht="18.75">
      <c r="C66" s="26" t="s">
        <v>260</v>
      </c>
      <c r="D66" s="26">
        <v>0.01</v>
      </c>
      <c r="E66" s="26" t="s">
        <v>261</v>
      </c>
      <c r="F66" s="26">
        <v>0.01</v>
      </c>
    </row>
    <row r="67" spans="3:8" ht="18.75">
      <c r="C67" s="26" t="s">
        <v>262</v>
      </c>
      <c r="D67" s="26">
        <v>0.05</v>
      </c>
    </row>
    <row r="68" spans="3:8" ht="15.75" thickBot="1"/>
    <row r="69" spans="3:8" ht="20.25" thickTop="1" thickBot="1">
      <c r="C69" s="26" t="s">
        <v>266</v>
      </c>
      <c r="D69" s="26">
        <v>1</v>
      </c>
      <c r="E69" s="26" t="s">
        <v>267</v>
      </c>
      <c r="F69" s="26">
        <v>0.25</v>
      </c>
      <c r="G69" s="9"/>
    </row>
    <row r="70" spans="3:8" ht="18" thickTop="1" thickBot="1">
      <c r="G70" s="9"/>
    </row>
    <row r="71" spans="3:8" ht="20.25" thickTop="1" thickBot="1">
      <c r="C71" s="26" t="s">
        <v>268</v>
      </c>
      <c r="D71" s="26">
        <v>0.7</v>
      </c>
      <c r="E71" s="26" t="s">
        <v>273</v>
      </c>
      <c r="F71" s="26">
        <v>0.25</v>
      </c>
      <c r="G71" s="9"/>
      <c r="H71" s="39" t="s">
        <v>278</v>
      </c>
    </row>
    <row r="72" spans="3:8" ht="20.25" thickTop="1" thickBot="1">
      <c r="C72" s="26" t="s">
        <v>269</v>
      </c>
      <c r="D72" s="26">
        <v>0.35</v>
      </c>
      <c r="E72" s="7"/>
      <c r="G72" s="9"/>
      <c r="H72" s="39" t="s">
        <v>279</v>
      </c>
    </row>
    <row r="73" spans="3:8" ht="18" thickTop="1" thickBot="1">
      <c r="E73" s="7"/>
      <c r="G73" s="9"/>
    </row>
    <row r="74" spans="3:8" ht="20.25" thickTop="1" thickBot="1">
      <c r="C74" s="26" t="s">
        <v>270</v>
      </c>
      <c r="D74" s="26">
        <v>0.3</v>
      </c>
      <c r="E74" s="26" t="s">
        <v>271</v>
      </c>
      <c r="F74" s="26">
        <v>0.65</v>
      </c>
      <c r="G74" s="9"/>
    </row>
    <row r="75" spans="3:8" ht="20.25" thickTop="1" thickBot="1">
      <c r="C75" s="26" t="s">
        <v>272</v>
      </c>
      <c r="D75" s="26">
        <v>0.5</v>
      </c>
      <c r="E75" s="7"/>
      <c r="G75" s="9"/>
    </row>
    <row r="76" spans="3:8" ht="18" thickTop="1" thickBot="1">
      <c r="E76" s="7"/>
      <c r="G76" s="9"/>
    </row>
    <row r="77" spans="3:8" ht="20.25" thickTop="1" thickBot="1">
      <c r="C77" s="26" t="s">
        <v>274</v>
      </c>
      <c r="D77" s="26">
        <v>1</v>
      </c>
      <c r="E77" s="26" t="s">
        <v>276</v>
      </c>
      <c r="F77" s="26">
        <v>0.18</v>
      </c>
      <c r="G77" s="9"/>
    </row>
    <row r="78" spans="3:8" ht="20.25" thickTop="1" thickBot="1">
      <c r="C78" s="26" t="s">
        <v>275</v>
      </c>
      <c r="D78" s="26">
        <v>1</v>
      </c>
      <c r="E78" s="26" t="s">
        <v>277</v>
      </c>
      <c r="F78" s="26">
        <v>0.3</v>
      </c>
    </row>
    <row r="79" spans="3:8" ht="18" thickTop="1" thickBot="1">
      <c r="E79" s="7"/>
    </row>
    <row r="80" spans="3:8" ht="19.5" thickTop="1">
      <c r="C80" s="26" t="s">
        <v>294</v>
      </c>
      <c r="D80" s="26">
        <v>0.5</v>
      </c>
      <c r="E80" s="26" t="s">
        <v>295</v>
      </c>
      <c r="F80" s="26">
        <v>0.4</v>
      </c>
    </row>
    <row r="81" spans="3:8" ht="18.75">
      <c r="C81" s="26" t="s">
        <v>296</v>
      </c>
      <c r="D81" s="26">
        <v>0.3</v>
      </c>
    </row>
    <row r="83" spans="3:8" ht="18.75">
      <c r="C83" s="43" t="s">
        <v>290</v>
      </c>
      <c r="D83" s="43">
        <v>0.99</v>
      </c>
      <c r="E83" s="43" t="s">
        <v>291</v>
      </c>
      <c r="F83" s="43">
        <v>0.55000000000000004</v>
      </c>
    </row>
    <row r="84" spans="3:8" ht="18.75">
      <c r="C84" s="43" t="s">
        <v>292</v>
      </c>
      <c r="D84" s="43">
        <v>0.6</v>
      </c>
    </row>
    <row r="86" spans="3:8" ht="18.75">
      <c r="C86" s="43" t="s">
        <v>281</v>
      </c>
      <c r="D86" s="43">
        <v>0.25</v>
      </c>
      <c r="E86" s="43" t="s">
        <v>282</v>
      </c>
      <c r="F86" s="43">
        <v>0.45</v>
      </c>
    </row>
    <row r="88" spans="3:8" ht="18.75">
      <c r="C88" s="43" t="s">
        <v>284</v>
      </c>
      <c r="D88" s="43">
        <v>1</v>
      </c>
      <c r="E88" s="43" t="s">
        <v>286</v>
      </c>
      <c r="F88" s="43">
        <v>0.8</v>
      </c>
      <c r="H88" s="43" t="s">
        <v>288</v>
      </c>
    </row>
    <row r="89" spans="3:8" ht="18.75">
      <c r="C89" s="43" t="s">
        <v>285</v>
      </c>
      <c r="D89" s="43">
        <v>1</v>
      </c>
      <c r="E89" s="43" t="s">
        <v>287</v>
      </c>
      <c r="F89" s="43">
        <v>0.15</v>
      </c>
    </row>
    <row r="91" spans="3:8" ht="18.75">
      <c r="C91" s="43" t="s">
        <v>297</v>
      </c>
      <c r="D91" s="43">
        <v>0.5</v>
      </c>
      <c r="E91" s="43" t="s">
        <v>299</v>
      </c>
      <c r="F91" s="43">
        <v>1</v>
      </c>
    </row>
    <row r="92" spans="3:8" ht="18.75">
      <c r="C92" s="43" t="s">
        <v>298</v>
      </c>
      <c r="D92" s="43">
        <v>0.4</v>
      </c>
    </row>
    <row r="94" spans="3:8" ht="18.75">
      <c r="C94" s="44" t="s">
        <v>306</v>
      </c>
      <c r="D94" s="44">
        <v>1</v>
      </c>
      <c r="E94" s="44" t="s">
        <v>307</v>
      </c>
      <c r="F94" s="44">
        <v>1</v>
      </c>
    </row>
    <row r="95" spans="3:8" ht="18.75">
      <c r="C95" s="44" t="s">
        <v>308</v>
      </c>
      <c r="D95" s="44">
        <v>0.5</v>
      </c>
      <c r="E95" s="44" t="s">
        <v>309</v>
      </c>
      <c r="F95" s="44">
        <v>1</v>
      </c>
    </row>
    <row r="96" spans="3:8" ht="18.75">
      <c r="C96" s="44" t="s">
        <v>310</v>
      </c>
      <c r="D96" s="44">
        <v>0.25</v>
      </c>
    </row>
  </sheetData>
  <mergeCells count="1">
    <mergeCell ref="C39:D39"/>
  </mergeCells>
  <pageMargins left="0.7" right="0.7" top="0.75" bottom="0.75" header="0.3" footer="0.3"/>
  <pageSetup scale="65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A81C-BDE0-4633-9B14-45484F776F72}">
  <dimension ref="C1:X125"/>
  <sheetViews>
    <sheetView topLeftCell="A70" zoomScale="85" zoomScaleNormal="85" workbookViewId="0">
      <selection activeCell="O40" sqref="O40"/>
    </sheetView>
  </sheetViews>
  <sheetFormatPr defaultRowHeight="15"/>
  <cols>
    <col min="1" max="2" width="2.5703125" customWidth="1"/>
    <col min="3" max="3" width="20.7109375" bestFit="1" customWidth="1"/>
    <col min="4" max="4" width="15.85546875" bestFit="1" customWidth="1"/>
    <col min="5" max="5" width="12.140625" bestFit="1" customWidth="1"/>
    <col min="6" max="6" width="10.85546875" bestFit="1" customWidth="1"/>
    <col min="7" max="7" width="9.85546875" bestFit="1" customWidth="1"/>
    <col min="8" max="8" width="6.85546875" bestFit="1" customWidth="1"/>
    <col min="9" max="9" width="27.140625" bestFit="1" customWidth="1"/>
    <col min="10" max="10" width="19.85546875" bestFit="1" customWidth="1"/>
    <col min="11" max="11" width="29.140625" bestFit="1" customWidth="1"/>
    <col min="12" max="12" width="28.140625" bestFit="1" customWidth="1"/>
    <col min="13" max="13" width="14.85546875" bestFit="1" customWidth="1"/>
    <col min="14" max="14" width="29" bestFit="1" customWidth="1"/>
    <col min="15" max="15" width="31.85546875" bestFit="1" customWidth="1"/>
    <col min="16" max="17" width="16.28515625" bestFit="1" customWidth="1"/>
    <col min="18" max="18" width="27.140625" bestFit="1" customWidth="1"/>
    <col min="19" max="19" width="17.42578125" bestFit="1" customWidth="1"/>
    <col min="20" max="20" width="15.140625" bestFit="1" customWidth="1"/>
    <col min="21" max="21" width="16" bestFit="1" customWidth="1"/>
    <col min="22" max="22" width="14" bestFit="1" customWidth="1"/>
    <col min="23" max="23" width="16.140625" bestFit="1" customWidth="1"/>
  </cols>
  <sheetData>
    <row r="1" spans="3:22" ht="8.25" customHeight="1"/>
    <row r="2" spans="3:22" ht="8.25" customHeight="1"/>
    <row r="3" spans="3:22" ht="23.25">
      <c r="C3" s="51" t="s">
        <v>107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</row>
    <row r="4" spans="3:22">
      <c r="C4" s="52" t="s">
        <v>162</v>
      </c>
      <c r="D4" s="53"/>
      <c r="E4" s="53"/>
      <c r="F4" s="53"/>
      <c r="G4" s="53"/>
      <c r="H4" s="53"/>
      <c r="I4" s="53"/>
      <c r="J4" s="53"/>
      <c r="L4" s="57" t="s">
        <v>189</v>
      </c>
      <c r="M4" s="58"/>
      <c r="N4" s="58"/>
      <c r="O4" s="58"/>
      <c r="P4" s="58"/>
    </row>
    <row r="5" spans="3:22">
      <c r="C5" s="14" t="s">
        <v>59</v>
      </c>
      <c r="D5" s="14" t="s">
        <v>23</v>
      </c>
      <c r="E5" s="14" t="s">
        <v>24</v>
      </c>
      <c r="F5" s="14" t="s">
        <v>8</v>
      </c>
      <c r="G5" s="14" t="s">
        <v>7</v>
      </c>
      <c r="H5" s="29" t="s">
        <v>119</v>
      </c>
      <c r="I5" s="29" t="s">
        <v>91</v>
      </c>
      <c r="J5" s="29" t="s">
        <v>17</v>
      </c>
      <c r="L5" s="16" t="s">
        <v>190</v>
      </c>
      <c r="M5" s="16" t="s">
        <v>137</v>
      </c>
      <c r="N5" s="16" t="s">
        <v>138</v>
      </c>
      <c r="O5" s="16" t="s">
        <v>139</v>
      </c>
      <c r="P5" s="16" t="s">
        <v>422</v>
      </c>
    </row>
    <row r="6" spans="3:22">
      <c r="C6" s="15" t="s">
        <v>57</v>
      </c>
      <c r="D6" s="15">
        <v>10</v>
      </c>
      <c r="E6" s="15">
        <v>2</v>
      </c>
      <c r="F6" s="15">
        <v>6</v>
      </c>
      <c r="G6" s="15">
        <v>0</v>
      </c>
      <c r="H6" s="15">
        <v>0</v>
      </c>
      <c r="I6" s="15">
        <v>0</v>
      </c>
      <c r="J6" s="15">
        <v>0</v>
      </c>
      <c r="L6" s="15" t="s">
        <v>149</v>
      </c>
      <c r="M6" s="15" t="s">
        <v>149</v>
      </c>
      <c r="N6" s="15" t="s">
        <v>192</v>
      </c>
      <c r="O6" s="15" t="s">
        <v>149</v>
      </c>
      <c r="P6" s="15" t="s">
        <v>149</v>
      </c>
    </row>
    <row r="7" spans="3:22">
      <c r="C7" s="15" t="s">
        <v>56</v>
      </c>
      <c r="D7" s="15">
        <v>9</v>
      </c>
      <c r="E7" s="15">
        <v>4</v>
      </c>
      <c r="F7" s="15">
        <v>7</v>
      </c>
      <c r="G7" s="15">
        <v>0</v>
      </c>
      <c r="H7" s="15">
        <v>2</v>
      </c>
      <c r="I7" s="15">
        <v>0</v>
      </c>
      <c r="J7" s="15">
        <v>2</v>
      </c>
      <c r="L7" s="15" t="s">
        <v>65</v>
      </c>
      <c r="M7" s="15" t="s">
        <v>65</v>
      </c>
      <c r="N7" s="15" t="s">
        <v>423</v>
      </c>
      <c r="O7" s="15" t="s">
        <v>65</v>
      </c>
      <c r="P7" s="15" t="s">
        <v>65</v>
      </c>
    </row>
    <row r="8" spans="3:22">
      <c r="C8" s="15" t="s">
        <v>55</v>
      </c>
      <c r="D8" s="15">
        <v>0</v>
      </c>
      <c r="E8" s="15">
        <v>0</v>
      </c>
      <c r="F8" s="15">
        <v>1</v>
      </c>
      <c r="G8" s="15">
        <v>2</v>
      </c>
      <c r="H8" s="15">
        <v>0</v>
      </c>
      <c r="I8" s="15">
        <v>2</v>
      </c>
      <c r="J8" s="15">
        <v>0</v>
      </c>
      <c r="L8" s="15" t="s">
        <v>62</v>
      </c>
      <c r="M8" s="15" t="s">
        <v>62</v>
      </c>
      <c r="N8" s="15"/>
      <c r="O8" s="15"/>
      <c r="P8" s="15"/>
    </row>
    <row r="9" spans="3:22">
      <c r="C9" s="15" t="s">
        <v>67</v>
      </c>
      <c r="D9" s="15">
        <f>E46</f>
        <v>2400</v>
      </c>
      <c r="E9" s="15">
        <f>E55</f>
        <v>1200</v>
      </c>
      <c r="F9" s="15">
        <f>E72</f>
        <v>1440</v>
      </c>
      <c r="G9" s="15">
        <f>E77</f>
        <v>1200</v>
      </c>
      <c r="H9" s="15">
        <f>E82</f>
        <v>1200</v>
      </c>
      <c r="I9" s="15">
        <f>E92</f>
        <v>1564.8</v>
      </c>
      <c r="J9" s="15">
        <f>E87</f>
        <v>1200</v>
      </c>
      <c r="K9" s="72" t="s">
        <v>445</v>
      </c>
      <c r="L9" s="15" t="s">
        <v>191</v>
      </c>
      <c r="M9" s="15" t="s">
        <v>191</v>
      </c>
      <c r="N9" s="15"/>
      <c r="O9" s="15"/>
      <c r="P9" s="15"/>
    </row>
    <row r="10" spans="3:22">
      <c r="C10" s="15" t="s">
        <v>108</v>
      </c>
      <c r="D10" s="15">
        <f>SUM((D6*MinerOutputValues!D6*MinerOutputValues!D15*MinerOutputValues!D20) + (D7*MinerOutputValues!D7*MinerOutputValues!D15*MinerOutputValues!D20) + (D8*MinerOutputValues!D8*MinerOutputValues!D15*MinerOutputValues!D20) )</f>
        <v>4200</v>
      </c>
      <c r="E10" s="15">
        <f>SUM((E6*MinerOutputValues!D6*MinerOutputValues!D15*MinerOutputValues!D20) + (E7*MinerOutputValues!D7*MinerOutputValues!D15*MinerOutputValues!D20) + (E8*MinerOutputValues!D8*MinerOutputValues!D15*MinerOutputValues!D20) )</f>
        <v>1500</v>
      </c>
      <c r="F10" s="15">
        <f>SUM((F6*MinerOutputValues!D6*MinerOutputValues!D15*MinerOutputValues!D20) + (F7*MinerOutputValues!D7*MinerOutputValues!D15*MinerOutputValues!D20) + (F8*MinerOutputValues!D8*MinerOutputValues!D15*MinerOutputValues!D20) )</f>
        <v>3600</v>
      </c>
      <c r="G10" s="15">
        <f>SUM((G6*MinerOutputValues!D6*MinerOutputValues!D15*MinerOutputValues!D20) + (G7*MinerOutputValues!D7*MinerOutputValues!D15*MinerOutputValues!D20) + (G8*MinerOutputValues!D8*MinerOutputValues!D15*MinerOutputValues!D20) )</f>
        <v>1200</v>
      </c>
      <c r="H10" s="15">
        <f>E82</f>
        <v>1200</v>
      </c>
      <c r="I10" s="15">
        <f>SUM((I6*MinerOutputValues!D6*MinerOutputValues!D15*MinerOutputValues!D20) + (I7*MinerOutputValues!D7*MinerOutputValues!D15*MinerOutputValues!D20) + (I8*MinerOutputValues!D8*MinerOutputValues!D15*MinerOutputValues!D20) )</f>
        <v>1200</v>
      </c>
      <c r="J10" s="15">
        <v>1200</v>
      </c>
      <c r="L10" s="15" t="s">
        <v>16</v>
      </c>
      <c r="M10" s="15" t="s">
        <v>16</v>
      </c>
      <c r="N10" s="15"/>
      <c r="O10" s="15"/>
      <c r="P10" s="15"/>
    </row>
    <row r="11" spans="3:22">
      <c r="L11" s="15" t="s">
        <v>18</v>
      </c>
      <c r="M11" s="15" t="s">
        <v>18</v>
      </c>
      <c r="N11" s="15"/>
      <c r="O11" s="15"/>
      <c r="P11" s="15"/>
    </row>
    <row r="12" spans="3:22">
      <c r="F12" s="34"/>
    </row>
    <row r="13" spans="3:22">
      <c r="C13" s="59" t="s">
        <v>109</v>
      </c>
      <c r="D13" s="60"/>
      <c r="E13" s="60"/>
      <c r="F13" s="60"/>
      <c r="G13" s="60"/>
      <c r="I13" s="59" t="s">
        <v>312</v>
      </c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</row>
    <row r="14" spans="3:22">
      <c r="C14" s="16" t="s">
        <v>59</v>
      </c>
      <c r="D14" s="16" t="s">
        <v>66</v>
      </c>
      <c r="E14" s="16" t="s">
        <v>110</v>
      </c>
      <c r="F14" s="35" t="s">
        <v>183</v>
      </c>
      <c r="G14" s="35" t="s">
        <v>355</v>
      </c>
      <c r="I14" s="14" t="s">
        <v>59</v>
      </c>
      <c r="J14" s="16" t="s">
        <v>103</v>
      </c>
      <c r="K14" s="16" t="s">
        <v>148</v>
      </c>
      <c r="L14" s="16" t="s">
        <v>104</v>
      </c>
      <c r="M14" s="16" t="s">
        <v>150</v>
      </c>
      <c r="N14" s="16" t="s">
        <v>322</v>
      </c>
      <c r="O14" s="31" t="s">
        <v>323</v>
      </c>
      <c r="P14" s="16" t="s">
        <v>321</v>
      </c>
      <c r="Q14" s="16" t="s">
        <v>366</v>
      </c>
      <c r="R14" s="16" t="s">
        <v>363</v>
      </c>
      <c r="S14" s="31" t="s">
        <v>362</v>
      </c>
      <c r="T14" s="16" t="s">
        <v>367</v>
      </c>
      <c r="U14" s="16" t="s">
        <v>364</v>
      </c>
      <c r="V14" s="31" t="s">
        <v>365</v>
      </c>
    </row>
    <row r="15" spans="3:22">
      <c r="C15" s="15" t="s">
        <v>16</v>
      </c>
      <c r="D15" s="15">
        <f>SUM((F9/45)*15)</f>
        <v>480</v>
      </c>
      <c r="E15" s="15">
        <f>SUM((F10/45)*15)</f>
        <v>1200</v>
      </c>
      <c r="F15" s="36" t="s">
        <v>187</v>
      </c>
      <c r="G15" s="36">
        <v>2</v>
      </c>
      <c r="I15" s="15" t="s">
        <v>149</v>
      </c>
      <c r="J15" s="15">
        <v>30</v>
      </c>
      <c r="K15" s="15" t="s">
        <v>1</v>
      </c>
      <c r="L15" s="15"/>
      <c r="M15" s="15"/>
      <c r="N15" s="15">
        <f>SUM(J15*P15)</f>
        <v>1800</v>
      </c>
      <c r="O15" s="15"/>
      <c r="P15" s="15">
        <v>60</v>
      </c>
      <c r="Q15" s="15" t="s">
        <v>149</v>
      </c>
      <c r="R15" s="15">
        <v>30</v>
      </c>
      <c r="S15" s="15">
        <f>R15*P15</f>
        <v>1800</v>
      </c>
      <c r="T15" s="15"/>
      <c r="U15" s="15"/>
      <c r="V15" s="15"/>
    </row>
    <row r="16" spans="3:22">
      <c r="C16" s="15" t="s">
        <v>65</v>
      </c>
      <c r="D16" s="15">
        <f>SUM((E9/50)*100)</f>
        <v>2400</v>
      </c>
      <c r="E16" s="15">
        <f>SUM((E10/50)*100)</f>
        <v>3000</v>
      </c>
      <c r="F16" s="36" t="s">
        <v>186</v>
      </c>
      <c r="G16" s="36">
        <v>4</v>
      </c>
      <c r="I16" s="15" t="s">
        <v>18</v>
      </c>
      <c r="J16" s="15">
        <v>22.5</v>
      </c>
      <c r="K16" s="15" t="s">
        <v>13</v>
      </c>
      <c r="L16" s="15"/>
      <c r="M16" s="15"/>
      <c r="N16" s="15">
        <f>SUM(J16*P16)</f>
        <v>900</v>
      </c>
      <c r="O16" s="15"/>
      <c r="P16" s="15">
        <v>40</v>
      </c>
      <c r="Q16" s="15" t="s">
        <v>18</v>
      </c>
      <c r="R16" s="15">
        <v>37.5</v>
      </c>
      <c r="S16" s="15">
        <f>R16*P16</f>
        <v>1500</v>
      </c>
      <c r="T16" s="15"/>
      <c r="U16" s="15"/>
      <c r="V16" s="15"/>
    </row>
    <row r="17" spans="3:22">
      <c r="C17" s="15" t="s">
        <v>62</v>
      </c>
      <c r="D17" s="15">
        <f>SUM((G9/40)*60)</f>
        <v>1800</v>
      </c>
      <c r="E17" s="15">
        <f>SUM((G10/40)*60)</f>
        <v>1800</v>
      </c>
      <c r="F17" s="36" t="s">
        <v>185</v>
      </c>
      <c r="G17" s="36">
        <v>2</v>
      </c>
      <c r="I17" s="15" t="s">
        <v>424</v>
      </c>
      <c r="J17" s="15">
        <v>37.5</v>
      </c>
      <c r="K17" s="15" t="s">
        <v>13</v>
      </c>
      <c r="L17" s="15"/>
      <c r="M17" s="15"/>
      <c r="N17" s="15">
        <f>SUM(J17*P17)</f>
        <v>300</v>
      </c>
      <c r="O17" s="15"/>
      <c r="P17" s="15">
        <v>8</v>
      </c>
      <c r="Q17" s="15" t="s">
        <v>192</v>
      </c>
      <c r="R17" s="15">
        <v>22.5</v>
      </c>
      <c r="S17" s="15">
        <f>R17*P17</f>
        <v>180</v>
      </c>
      <c r="T17" s="15"/>
      <c r="U17" s="15"/>
      <c r="V17" s="15"/>
    </row>
    <row r="18" spans="3:22">
      <c r="C18" s="17" t="s">
        <v>64</v>
      </c>
      <c r="D18" s="15">
        <f>SUM(D9-(E9/2)-G9)</f>
        <v>600</v>
      </c>
      <c r="E18" s="15">
        <f>SUM(D10-(E10/2)-G10)</f>
        <v>2250</v>
      </c>
      <c r="F18" s="36">
        <v>0</v>
      </c>
      <c r="G18" s="36">
        <v>0</v>
      </c>
      <c r="I18" s="15" t="s">
        <v>16</v>
      </c>
      <c r="J18" s="15">
        <v>45</v>
      </c>
      <c r="K18" s="15" t="s">
        <v>8</v>
      </c>
      <c r="L18" s="15"/>
      <c r="M18" s="15"/>
      <c r="N18" s="15">
        <f>SUM(J18*P18)</f>
        <v>1440</v>
      </c>
      <c r="O18" s="15"/>
      <c r="P18" s="15">
        <v>32</v>
      </c>
      <c r="Q18" s="15" t="s">
        <v>16</v>
      </c>
      <c r="R18" s="15">
        <v>15</v>
      </c>
      <c r="S18" s="15">
        <f>R18*P18</f>
        <v>480</v>
      </c>
      <c r="T18" s="15"/>
      <c r="U18" s="15"/>
      <c r="V18" s="15"/>
    </row>
    <row r="19" spans="3:22">
      <c r="C19" s="15" t="s">
        <v>63</v>
      </c>
      <c r="D19" s="15">
        <f>SUM((D18/30)*30)</f>
        <v>600</v>
      </c>
      <c r="E19" s="15">
        <f>SUM((E18/30)*30)</f>
        <v>2250</v>
      </c>
      <c r="F19" s="36" t="s">
        <v>184</v>
      </c>
      <c r="G19" s="36">
        <v>4</v>
      </c>
      <c r="I19" s="15" t="s">
        <v>425</v>
      </c>
      <c r="J19" s="15">
        <v>50</v>
      </c>
      <c r="K19" s="15" t="s">
        <v>4</v>
      </c>
      <c r="L19" s="15">
        <v>25</v>
      </c>
      <c r="M19" s="15" t="s">
        <v>1</v>
      </c>
      <c r="N19" s="15">
        <f>SUM(J19*P19)</f>
        <v>1200</v>
      </c>
      <c r="O19" s="15">
        <f>L19*P19</f>
        <v>600</v>
      </c>
      <c r="P19" s="15">
        <v>24</v>
      </c>
      <c r="Q19" s="15" t="s">
        <v>65</v>
      </c>
      <c r="R19" s="15">
        <v>100</v>
      </c>
      <c r="S19" s="15">
        <f>R19*P19</f>
        <v>2400</v>
      </c>
      <c r="T19" s="15"/>
      <c r="U19" s="15"/>
      <c r="V19" s="15"/>
    </row>
    <row r="20" spans="3:22">
      <c r="C20" s="17" t="s">
        <v>151</v>
      </c>
      <c r="D20" s="17">
        <f>SUM((I9/45)*15)</f>
        <v>521.6</v>
      </c>
      <c r="E20" s="15">
        <f>SUM((I10/45)*15)</f>
        <v>400</v>
      </c>
      <c r="F20" s="36" t="s">
        <v>188</v>
      </c>
      <c r="G20" s="36">
        <v>0</v>
      </c>
      <c r="I20" s="15" t="s">
        <v>426</v>
      </c>
      <c r="J20" s="15">
        <v>40</v>
      </c>
      <c r="K20" s="15" t="s">
        <v>7</v>
      </c>
      <c r="L20" s="15">
        <v>40</v>
      </c>
      <c r="M20" s="15" t="s">
        <v>149</v>
      </c>
      <c r="N20" s="15">
        <f>SUM(J20*P20)</f>
        <v>1200</v>
      </c>
      <c r="O20" s="15">
        <f>L20*P20</f>
        <v>1200</v>
      </c>
      <c r="P20" s="15">
        <v>30</v>
      </c>
      <c r="Q20" s="15" t="s">
        <v>62</v>
      </c>
      <c r="R20" s="15">
        <v>60</v>
      </c>
      <c r="S20" s="15">
        <f>R20*P20</f>
        <v>1800</v>
      </c>
      <c r="T20" s="15"/>
      <c r="U20" s="15"/>
      <c r="V20" s="15"/>
    </row>
    <row r="21" spans="3:22">
      <c r="C21" s="17" t="s">
        <v>18</v>
      </c>
      <c r="D21" s="17">
        <v>1500</v>
      </c>
      <c r="E21" s="17">
        <f>SUM(((H10*0.85)/22.5)*37.5)</f>
        <v>1700</v>
      </c>
      <c r="F21" s="36" t="s">
        <v>357</v>
      </c>
      <c r="G21" s="36">
        <v>2</v>
      </c>
      <c r="I21" s="15" t="s">
        <v>151</v>
      </c>
      <c r="J21" s="15">
        <v>45</v>
      </c>
      <c r="K21" s="15" t="s">
        <v>15</v>
      </c>
      <c r="L21" s="15"/>
      <c r="M21" s="15"/>
      <c r="N21" s="15">
        <f>SUM(J21*P21)</f>
        <v>450</v>
      </c>
      <c r="O21" s="15"/>
      <c r="P21" s="15">
        <v>10</v>
      </c>
      <c r="Q21" s="15" t="s">
        <v>151</v>
      </c>
      <c r="R21" s="15">
        <v>15</v>
      </c>
      <c r="S21" s="15">
        <f>R21*P21</f>
        <v>150</v>
      </c>
      <c r="T21" s="15"/>
      <c r="U21" s="15"/>
      <c r="V21" s="15"/>
    </row>
    <row r="22" spans="3:22">
      <c r="C22" s="17" t="s">
        <v>153</v>
      </c>
      <c r="D22" s="17">
        <v>180</v>
      </c>
      <c r="E22" s="17">
        <f>SUM(((H10*0.15)/37.5)*22.5)</f>
        <v>108</v>
      </c>
      <c r="F22" s="36" t="s">
        <v>356</v>
      </c>
      <c r="G22" s="36">
        <v>1</v>
      </c>
      <c r="T22" s="18"/>
      <c r="U22" s="18"/>
      <c r="V22" s="18"/>
    </row>
    <row r="23" spans="3:22">
      <c r="I23" s="52" t="s">
        <v>325</v>
      </c>
      <c r="J23" s="53"/>
      <c r="L23" s="52" t="s">
        <v>330</v>
      </c>
      <c r="M23" s="53"/>
      <c r="O23" s="57" t="s">
        <v>152</v>
      </c>
      <c r="P23" s="58"/>
      <c r="T23" s="18"/>
      <c r="U23" s="18"/>
      <c r="V23" s="18"/>
    </row>
    <row r="24" spans="3:22">
      <c r="C24" s="52" t="s">
        <v>111</v>
      </c>
      <c r="D24" s="53"/>
      <c r="E24" s="53"/>
      <c r="F24" s="53"/>
      <c r="I24" s="14" t="s">
        <v>324</v>
      </c>
      <c r="J24" s="15">
        <f>S15-N20</f>
        <v>600</v>
      </c>
      <c r="L24" s="14" t="s">
        <v>1</v>
      </c>
      <c r="M24" s="15">
        <f>SUM(D9-(N15+O19))</f>
        <v>0</v>
      </c>
      <c r="O24" s="30" t="s">
        <v>158</v>
      </c>
      <c r="P24" s="30">
        <v>0.5</v>
      </c>
      <c r="T24" s="18"/>
      <c r="U24" s="18"/>
      <c r="V24" s="18"/>
    </row>
    <row r="25" spans="3:22">
      <c r="C25" s="54" t="s">
        <v>23</v>
      </c>
      <c r="D25" s="55"/>
      <c r="E25" s="55"/>
      <c r="F25" s="56"/>
      <c r="I25" s="14" t="s">
        <v>329</v>
      </c>
      <c r="J25" s="15">
        <f>S20</f>
        <v>1800</v>
      </c>
      <c r="L25" s="14" t="s">
        <v>4</v>
      </c>
      <c r="M25" s="15">
        <f>E9-N19</f>
        <v>0</v>
      </c>
      <c r="O25" s="30" t="s">
        <v>157</v>
      </c>
      <c r="P25" s="30">
        <v>0.35</v>
      </c>
      <c r="T25" s="18"/>
      <c r="U25" s="18"/>
      <c r="V25" s="18"/>
    </row>
    <row r="26" spans="3:22">
      <c r="C26" s="15" t="s">
        <v>112</v>
      </c>
      <c r="D26" s="15" t="s">
        <v>113</v>
      </c>
      <c r="E26" s="15" t="s">
        <v>114</v>
      </c>
      <c r="F26" s="15" t="s">
        <v>427</v>
      </c>
      <c r="I26" s="14" t="s">
        <v>327</v>
      </c>
      <c r="J26" s="15">
        <f>S19</f>
        <v>2400</v>
      </c>
      <c r="L26" s="14" t="s">
        <v>7</v>
      </c>
      <c r="M26" s="15">
        <f>G9-N20</f>
        <v>0</v>
      </c>
      <c r="O26" s="30" t="s">
        <v>156</v>
      </c>
      <c r="P26" s="30">
        <v>0.65</v>
      </c>
    </row>
    <row r="27" spans="3:22">
      <c r="C27" s="15">
        <v>30</v>
      </c>
      <c r="D27" s="15">
        <v>1</v>
      </c>
      <c r="E27" s="15">
        <f>C27*D27*F27</f>
        <v>60</v>
      </c>
      <c r="F27" s="15">
        <v>2</v>
      </c>
      <c r="I27" s="14" t="s">
        <v>328</v>
      </c>
      <c r="J27" s="15">
        <f>S18</f>
        <v>480</v>
      </c>
      <c r="L27" s="14" t="s">
        <v>8</v>
      </c>
      <c r="M27" s="15">
        <f>F9-N18</f>
        <v>0</v>
      </c>
      <c r="O27" s="30" t="s">
        <v>155</v>
      </c>
      <c r="P27" s="30">
        <v>0.8</v>
      </c>
    </row>
    <row r="28" spans="3:22">
      <c r="C28" s="15">
        <v>30</v>
      </c>
      <c r="D28" s="15">
        <v>1</v>
      </c>
      <c r="E28" s="15">
        <f t="shared" ref="E28:E45" si="0">C28*D28*F28</f>
        <v>60</v>
      </c>
      <c r="F28" s="15">
        <v>2</v>
      </c>
      <c r="I28" s="14" t="s">
        <v>432</v>
      </c>
      <c r="J28" s="15">
        <f>S16</f>
        <v>1500</v>
      </c>
      <c r="L28" s="14" t="s">
        <v>15</v>
      </c>
      <c r="M28" s="15">
        <f>I9-N21</f>
        <v>1114.8</v>
      </c>
      <c r="N28" t="s">
        <v>458</v>
      </c>
      <c r="O28" s="30" t="s">
        <v>154</v>
      </c>
      <c r="P28" s="30">
        <v>0.2</v>
      </c>
    </row>
    <row r="29" spans="3:22">
      <c r="C29" s="15">
        <v>30</v>
      </c>
      <c r="D29" s="15">
        <v>1</v>
      </c>
      <c r="E29" s="15">
        <f t="shared" si="0"/>
        <v>60</v>
      </c>
      <c r="F29" s="15">
        <v>2</v>
      </c>
      <c r="I29" s="14" t="s">
        <v>433</v>
      </c>
      <c r="J29" s="15">
        <f>S17</f>
        <v>180</v>
      </c>
      <c r="L29" s="14" t="s">
        <v>13</v>
      </c>
      <c r="M29" s="15">
        <f>SUM(H10-(N16+N17))</f>
        <v>0</v>
      </c>
      <c r="O29" s="32" t="s">
        <v>159</v>
      </c>
      <c r="P29" s="33">
        <v>0.85</v>
      </c>
    </row>
    <row r="30" spans="3:22">
      <c r="C30" s="15">
        <v>30</v>
      </c>
      <c r="D30" s="15">
        <v>1</v>
      </c>
      <c r="E30" s="15">
        <f t="shared" si="0"/>
        <v>60</v>
      </c>
      <c r="F30" s="15">
        <v>2</v>
      </c>
      <c r="I30" s="14" t="s">
        <v>151</v>
      </c>
      <c r="J30" s="15">
        <f>S21</f>
        <v>150</v>
      </c>
      <c r="O30" s="32" t="s">
        <v>160</v>
      </c>
      <c r="P30" s="33">
        <v>0.15</v>
      </c>
    </row>
    <row r="31" spans="3:22">
      <c r="C31" s="15">
        <v>30</v>
      </c>
      <c r="D31" s="15">
        <v>1</v>
      </c>
      <c r="E31" s="15">
        <f t="shared" si="0"/>
        <v>60</v>
      </c>
      <c r="F31" s="15">
        <v>2</v>
      </c>
      <c r="N31" s="14" t="s">
        <v>436</v>
      </c>
      <c r="O31" s="15">
        <v>510</v>
      </c>
    </row>
    <row r="32" spans="3:22">
      <c r="C32" s="15">
        <v>30</v>
      </c>
      <c r="D32" s="15">
        <v>1</v>
      </c>
      <c r="E32" s="15">
        <f t="shared" si="0"/>
        <v>60</v>
      </c>
      <c r="F32" s="15">
        <v>2</v>
      </c>
      <c r="I32" s="59" t="s">
        <v>434</v>
      </c>
      <c r="J32" s="60"/>
      <c r="K32" s="60"/>
      <c r="L32" s="60"/>
      <c r="M32" s="60"/>
      <c r="N32" s="60"/>
      <c r="O32" s="60"/>
      <c r="P32" s="60"/>
    </row>
    <row r="33" spans="3:18">
      <c r="C33" s="15">
        <v>30</v>
      </c>
      <c r="D33" s="15">
        <v>1</v>
      </c>
      <c r="E33" s="15">
        <f t="shared" si="0"/>
        <v>60</v>
      </c>
      <c r="F33" s="15">
        <v>2</v>
      </c>
      <c r="I33" s="14" t="s">
        <v>59</v>
      </c>
      <c r="J33" s="16" t="s">
        <v>103</v>
      </c>
      <c r="K33" s="16" t="s">
        <v>148</v>
      </c>
      <c r="L33" s="16" t="s">
        <v>322</v>
      </c>
      <c r="M33" s="16" t="s">
        <v>321</v>
      </c>
      <c r="N33" s="16" t="s">
        <v>366</v>
      </c>
      <c r="O33" s="16" t="s">
        <v>363</v>
      </c>
      <c r="P33" s="31" t="s">
        <v>362</v>
      </c>
    </row>
    <row r="34" spans="3:18">
      <c r="C34" s="15">
        <v>30</v>
      </c>
      <c r="D34" s="15">
        <v>1</v>
      </c>
      <c r="E34" s="15">
        <f t="shared" si="0"/>
        <v>60</v>
      </c>
      <c r="F34" s="15">
        <v>2</v>
      </c>
      <c r="I34" s="15" t="s">
        <v>149</v>
      </c>
      <c r="J34" s="15">
        <v>30</v>
      </c>
      <c r="K34" s="15" t="s">
        <v>1</v>
      </c>
      <c r="L34" s="15">
        <f>SUM(J34*M34)</f>
        <v>495</v>
      </c>
      <c r="M34" s="15">
        <v>16.5</v>
      </c>
      <c r="N34" s="15" t="s">
        <v>149</v>
      </c>
      <c r="O34" s="15">
        <v>30</v>
      </c>
      <c r="P34" s="15">
        <f>O34*M34</f>
        <v>495</v>
      </c>
    </row>
    <row r="35" spans="3:18" ht="15.75">
      <c r="C35" s="15">
        <v>30</v>
      </c>
      <c r="D35" s="15">
        <v>1</v>
      </c>
      <c r="E35" s="15">
        <f t="shared" si="0"/>
        <v>60</v>
      </c>
      <c r="F35" s="15">
        <v>2</v>
      </c>
      <c r="I35" s="15" t="s">
        <v>93</v>
      </c>
      <c r="J35" s="15">
        <v>15</v>
      </c>
      <c r="K35" s="15" t="s">
        <v>149</v>
      </c>
      <c r="L35" s="15">
        <f>J35*M35</f>
        <v>120</v>
      </c>
      <c r="M35" s="15">
        <v>8</v>
      </c>
      <c r="N35" s="71" t="s">
        <v>437</v>
      </c>
      <c r="O35" s="15">
        <v>15</v>
      </c>
      <c r="P35" s="15">
        <f t="shared" ref="P35:P38" si="1">O35*M35</f>
        <v>120</v>
      </c>
    </row>
    <row r="36" spans="3:18" ht="15.75">
      <c r="C36" s="15">
        <v>30</v>
      </c>
      <c r="D36" s="15">
        <v>1</v>
      </c>
      <c r="E36" s="15">
        <f t="shared" si="0"/>
        <v>60</v>
      </c>
      <c r="F36" s="15">
        <v>2</v>
      </c>
      <c r="I36" s="15" t="s">
        <v>94</v>
      </c>
      <c r="J36" s="15">
        <v>33.369999999999997</v>
      </c>
      <c r="K36" s="15" t="s">
        <v>149</v>
      </c>
      <c r="L36" s="15">
        <f>J36*M36</f>
        <v>133.47999999999999</v>
      </c>
      <c r="M36" s="15">
        <v>4</v>
      </c>
      <c r="N36" s="71" t="s">
        <v>438</v>
      </c>
      <c r="O36" s="15">
        <v>30</v>
      </c>
      <c r="P36" s="15">
        <f t="shared" si="1"/>
        <v>120</v>
      </c>
    </row>
    <row r="37" spans="3:18" ht="15.75">
      <c r="C37" s="15">
        <v>60</v>
      </c>
      <c r="D37" s="15">
        <v>1</v>
      </c>
      <c r="E37" s="15">
        <f t="shared" si="0"/>
        <v>120</v>
      </c>
      <c r="F37" s="15">
        <v>2</v>
      </c>
      <c r="I37" s="15" t="s">
        <v>95</v>
      </c>
      <c r="J37" s="15">
        <v>30</v>
      </c>
      <c r="K37" s="15" t="s">
        <v>149</v>
      </c>
      <c r="L37" s="15">
        <f>J37*M37</f>
        <v>120</v>
      </c>
      <c r="M37" s="15">
        <v>4</v>
      </c>
      <c r="N37" s="71" t="s">
        <v>332</v>
      </c>
      <c r="O37" s="15">
        <v>20</v>
      </c>
      <c r="P37" s="15">
        <f t="shared" si="1"/>
        <v>80</v>
      </c>
    </row>
    <row r="38" spans="3:18" ht="15.75">
      <c r="C38" s="15">
        <v>60</v>
      </c>
      <c r="D38" s="15">
        <v>1</v>
      </c>
      <c r="E38" s="15">
        <f t="shared" si="0"/>
        <v>120</v>
      </c>
      <c r="F38" s="15">
        <v>2</v>
      </c>
      <c r="I38" s="15" t="s">
        <v>96</v>
      </c>
      <c r="J38" s="15">
        <v>12.5</v>
      </c>
      <c r="K38" s="15" t="s">
        <v>149</v>
      </c>
      <c r="L38" s="15">
        <f>J38*M38</f>
        <v>125</v>
      </c>
      <c r="M38" s="15">
        <v>10</v>
      </c>
      <c r="N38" s="71" t="s">
        <v>439</v>
      </c>
      <c r="O38" s="15">
        <v>50</v>
      </c>
      <c r="P38" s="15">
        <f t="shared" si="1"/>
        <v>500</v>
      </c>
    </row>
    <row r="39" spans="3:18">
      <c r="C39" s="15">
        <v>60</v>
      </c>
      <c r="D39" s="15">
        <v>1</v>
      </c>
      <c r="E39" s="15">
        <f t="shared" si="0"/>
        <v>120</v>
      </c>
      <c r="F39" s="15">
        <v>2</v>
      </c>
    </row>
    <row r="40" spans="3:18">
      <c r="C40" s="15">
        <v>60</v>
      </c>
      <c r="D40" s="15">
        <v>1</v>
      </c>
      <c r="E40" s="15">
        <f t="shared" si="0"/>
        <v>120</v>
      </c>
      <c r="F40" s="15">
        <v>2</v>
      </c>
      <c r="I40" s="52" t="s">
        <v>440</v>
      </c>
      <c r="J40" s="53"/>
      <c r="L40" s="52" t="s">
        <v>330</v>
      </c>
      <c r="M40" s="53"/>
    </row>
    <row r="41" spans="3:18">
      <c r="C41" s="15">
        <v>60</v>
      </c>
      <c r="D41" s="15">
        <v>1</v>
      </c>
      <c r="E41" s="15">
        <f t="shared" si="0"/>
        <v>120</v>
      </c>
      <c r="F41" s="15">
        <v>2</v>
      </c>
      <c r="I41" s="14" t="s">
        <v>441</v>
      </c>
      <c r="J41" s="15">
        <f>P35</f>
        <v>120</v>
      </c>
      <c r="L41" s="14" t="s">
        <v>1</v>
      </c>
      <c r="M41" s="15">
        <f>O31-L34</f>
        <v>15</v>
      </c>
    </row>
    <row r="42" spans="3:18">
      <c r="C42" s="15">
        <v>60</v>
      </c>
      <c r="D42" s="15">
        <v>2.5</v>
      </c>
      <c r="E42" s="15">
        <f t="shared" si="0"/>
        <v>300</v>
      </c>
      <c r="F42" s="15">
        <v>2</v>
      </c>
      <c r="I42" s="14" t="s">
        <v>442</v>
      </c>
      <c r="J42" s="15">
        <f>P36</f>
        <v>120</v>
      </c>
    </row>
    <row r="43" spans="3:18">
      <c r="C43" s="15">
        <v>60</v>
      </c>
      <c r="D43" s="15">
        <v>2.5</v>
      </c>
      <c r="E43" s="15">
        <f t="shared" si="0"/>
        <v>300</v>
      </c>
      <c r="F43" s="15">
        <v>2</v>
      </c>
      <c r="I43" s="14" t="s">
        <v>443</v>
      </c>
      <c r="J43" s="15">
        <f>P37</f>
        <v>80</v>
      </c>
    </row>
    <row r="44" spans="3:18">
      <c r="C44" s="15">
        <v>60</v>
      </c>
      <c r="D44" s="15">
        <v>2.5</v>
      </c>
      <c r="E44" s="15">
        <f t="shared" si="0"/>
        <v>300</v>
      </c>
      <c r="F44" s="15">
        <v>2</v>
      </c>
      <c r="I44" s="14" t="s">
        <v>444</v>
      </c>
      <c r="J44" s="15">
        <f>P38</f>
        <v>500</v>
      </c>
    </row>
    <row r="45" spans="3:18">
      <c r="C45" s="15">
        <v>60</v>
      </c>
      <c r="D45" s="15">
        <v>2.5</v>
      </c>
      <c r="E45" s="15">
        <f t="shared" si="0"/>
        <v>300</v>
      </c>
      <c r="F45" s="15">
        <v>2</v>
      </c>
    </row>
    <row r="46" spans="3:18">
      <c r="C46" s="15" t="s">
        <v>105</v>
      </c>
      <c r="D46" s="15">
        <v>19</v>
      </c>
      <c r="E46" s="15">
        <f>SUM(E27:E45)</f>
        <v>2400</v>
      </c>
      <c r="F46" s="15"/>
      <c r="I46" s="59" t="s">
        <v>161</v>
      </c>
      <c r="J46" s="60"/>
      <c r="K46" s="60"/>
      <c r="L46" s="60"/>
      <c r="M46" s="60"/>
      <c r="N46" s="60"/>
      <c r="O46" s="60"/>
      <c r="P46" s="60"/>
      <c r="Q46" s="60"/>
    </row>
    <row r="47" spans="3:18">
      <c r="C47" s="54" t="s">
        <v>24</v>
      </c>
      <c r="D47" s="55"/>
      <c r="E47" s="55"/>
      <c r="F47" s="56"/>
      <c r="I47" s="16" t="s">
        <v>59</v>
      </c>
      <c r="J47" s="16" t="s">
        <v>103</v>
      </c>
      <c r="K47" s="16" t="s">
        <v>148</v>
      </c>
      <c r="L47" s="16" t="s">
        <v>104</v>
      </c>
      <c r="M47" s="16" t="s">
        <v>150</v>
      </c>
      <c r="N47" s="16" t="s">
        <v>322</v>
      </c>
      <c r="O47" s="31" t="s">
        <v>323</v>
      </c>
      <c r="P47" s="16" t="s">
        <v>106</v>
      </c>
      <c r="Q47" s="31" t="s">
        <v>446</v>
      </c>
      <c r="R47" s="31" t="s">
        <v>362</v>
      </c>
    </row>
    <row r="48" spans="3:18" ht="15.75">
      <c r="C48" s="15" t="s">
        <v>112</v>
      </c>
      <c r="D48" s="15" t="s">
        <v>113</v>
      </c>
      <c r="E48" s="15" t="s">
        <v>114</v>
      </c>
      <c r="F48" s="15" t="s">
        <v>427</v>
      </c>
      <c r="I48" s="15" t="s">
        <v>333</v>
      </c>
      <c r="J48" s="15">
        <v>12.5</v>
      </c>
      <c r="K48" s="15" t="s">
        <v>149</v>
      </c>
      <c r="L48" s="15"/>
      <c r="M48" s="15"/>
      <c r="N48" s="15">
        <f>J48*Q48</f>
        <v>250</v>
      </c>
      <c r="O48" s="15"/>
      <c r="P48" s="15">
        <v>22.5</v>
      </c>
      <c r="Q48" s="37">
        <v>20</v>
      </c>
      <c r="R48" s="15">
        <f>P48*Q48</f>
        <v>450</v>
      </c>
    </row>
    <row r="49" spans="3:18" ht="15.75">
      <c r="C49" s="15">
        <v>60</v>
      </c>
      <c r="D49" s="15">
        <v>2</v>
      </c>
      <c r="E49" s="15">
        <f>C49*D49*F49</f>
        <v>240</v>
      </c>
      <c r="F49" s="15">
        <v>2</v>
      </c>
      <c r="I49" s="15" t="s">
        <v>332</v>
      </c>
      <c r="J49" s="15">
        <v>30</v>
      </c>
      <c r="K49" s="15" t="s">
        <v>149</v>
      </c>
      <c r="L49" s="15"/>
      <c r="M49" s="15"/>
      <c r="N49" s="15">
        <f>J49*Q49</f>
        <v>337.5</v>
      </c>
      <c r="O49" s="15"/>
      <c r="P49" s="15">
        <v>20</v>
      </c>
      <c r="Q49" s="37">
        <v>11.25</v>
      </c>
      <c r="R49" s="15">
        <f>P49*Q49</f>
        <v>225</v>
      </c>
    </row>
    <row r="50" spans="3:18" ht="15.75">
      <c r="C50" s="15">
        <v>60</v>
      </c>
      <c r="D50" s="15">
        <v>2</v>
      </c>
      <c r="E50" s="15">
        <f t="shared" ref="E50:E54" si="2">C50*D50*F50</f>
        <v>240</v>
      </c>
      <c r="F50" s="15">
        <v>2</v>
      </c>
      <c r="I50" s="15" t="s">
        <v>97</v>
      </c>
      <c r="J50" s="15">
        <v>37.5</v>
      </c>
      <c r="K50" s="15" t="s">
        <v>122</v>
      </c>
      <c r="L50" s="15" t="s">
        <v>332</v>
      </c>
      <c r="M50" s="15">
        <v>18.75</v>
      </c>
      <c r="N50" s="15">
        <f>J50*Q50</f>
        <v>450</v>
      </c>
      <c r="O50" s="15">
        <f>M50*Q50</f>
        <v>225</v>
      </c>
      <c r="P50" s="15">
        <v>5.625</v>
      </c>
      <c r="Q50" s="37">
        <v>12</v>
      </c>
      <c r="R50" s="15">
        <f>P50*Q50</f>
        <v>67.5</v>
      </c>
    </row>
    <row r="51" spans="3:18" ht="15.75">
      <c r="C51" s="15">
        <v>60</v>
      </c>
      <c r="D51" s="15">
        <v>2</v>
      </c>
      <c r="E51" s="15">
        <f t="shared" si="2"/>
        <v>240</v>
      </c>
      <c r="F51" s="15">
        <v>2</v>
      </c>
      <c r="I51" s="15" t="s">
        <v>98</v>
      </c>
      <c r="J51" s="15">
        <v>30</v>
      </c>
      <c r="K51" s="15" t="s">
        <v>62</v>
      </c>
      <c r="L51" s="15"/>
      <c r="M51" s="15"/>
      <c r="N51" s="15">
        <f>J51*Q51</f>
        <v>1440</v>
      </c>
      <c r="O51" s="15"/>
      <c r="P51" s="15">
        <v>20</v>
      </c>
      <c r="Q51" s="37">
        <v>48</v>
      </c>
      <c r="R51" s="15">
        <f>P51*Q51</f>
        <v>960</v>
      </c>
    </row>
    <row r="52" spans="3:18" ht="15.75">
      <c r="C52" s="15">
        <v>30</v>
      </c>
      <c r="D52" s="15">
        <v>2</v>
      </c>
      <c r="E52" s="15">
        <f t="shared" si="2"/>
        <v>120</v>
      </c>
      <c r="F52" s="15">
        <v>2</v>
      </c>
      <c r="I52" s="15" t="s">
        <v>99</v>
      </c>
      <c r="J52" s="15">
        <v>60</v>
      </c>
      <c r="K52" s="15" t="s">
        <v>62</v>
      </c>
      <c r="L52" s="15"/>
      <c r="M52" s="15"/>
      <c r="N52" s="15">
        <f>J52*Q52</f>
        <v>360</v>
      </c>
      <c r="O52" s="15"/>
      <c r="P52" s="15">
        <v>15</v>
      </c>
      <c r="Q52" s="37">
        <v>6</v>
      </c>
      <c r="R52" s="15">
        <f>P52*Q52</f>
        <v>90</v>
      </c>
    </row>
    <row r="53" spans="3:18" ht="15.75">
      <c r="C53" s="15">
        <v>30</v>
      </c>
      <c r="D53" s="15">
        <v>2</v>
      </c>
      <c r="E53" s="15">
        <f t="shared" si="2"/>
        <v>120</v>
      </c>
      <c r="F53" s="15">
        <v>2</v>
      </c>
      <c r="I53" s="15" t="s">
        <v>100</v>
      </c>
      <c r="J53" s="15">
        <v>20</v>
      </c>
      <c r="K53" s="15" t="s">
        <v>65</v>
      </c>
      <c r="L53" s="15"/>
      <c r="M53" s="15"/>
      <c r="N53" s="15">
        <f t="shared" ref="N53:N55" si="3">J53*Q53</f>
        <v>1200</v>
      </c>
      <c r="O53" s="15"/>
      <c r="P53" s="15">
        <v>10</v>
      </c>
      <c r="Q53" s="37">
        <v>60</v>
      </c>
      <c r="R53" s="15">
        <f>P53*Q53</f>
        <v>600</v>
      </c>
    </row>
    <row r="54" spans="3:18" ht="15.75">
      <c r="C54" s="15">
        <v>60</v>
      </c>
      <c r="D54" s="15">
        <v>2</v>
      </c>
      <c r="E54" s="15">
        <f t="shared" si="2"/>
        <v>240</v>
      </c>
      <c r="F54" s="15">
        <v>2</v>
      </c>
      <c r="I54" s="15" t="s">
        <v>101</v>
      </c>
      <c r="J54" s="15">
        <v>12</v>
      </c>
      <c r="K54" s="15" t="s">
        <v>65</v>
      </c>
      <c r="L54" s="15">
        <v>3</v>
      </c>
      <c r="M54" s="15" t="s">
        <v>151</v>
      </c>
      <c r="N54" s="15">
        <f t="shared" si="3"/>
        <v>192</v>
      </c>
      <c r="O54" s="15">
        <f>L54*Q54</f>
        <v>48</v>
      </c>
      <c r="P54" s="15">
        <v>90</v>
      </c>
      <c r="Q54" s="37">
        <v>16</v>
      </c>
      <c r="R54" s="15">
        <f>P54*Q54</f>
        <v>1440</v>
      </c>
    </row>
    <row r="55" spans="3:18" ht="15.75">
      <c r="C55" s="15" t="s">
        <v>105</v>
      </c>
      <c r="D55" s="15"/>
      <c r="E55" s="15">
        <f>SUM(E49:E54)</f>
        <v>1200</v>
      </c>
      <c r="F55" s="15"/>
      <c r="I55" s="15" t="s">
        <v>102</v>
      </c>
      <c r="J55" s="15">
        <v>37.5</v>
      </c>
      <c r="K55" s="15" t="s">
        <v>65</v>
      </c>
      <c r="L55" s="15">
        <v>7.5</v>
      </c>
      <c r="M55" s="15" t="s">
        <v>151</v>
      </c>
      <c r="N55" s="15">
        <f t="shared" si="3"/>
        <v>525</v>
      </c>
      <c r="O55" s="15">
        <f>L55*Q55</f>
        <v>105</v>
      </c>
      <c r="P55" s="15">
        <v>90</v>
      </c>
      <c r="Q55" s="37">
        <v>14</v>
      </c>
      <c r="R55" s="15">
        <f>P55*Q55</f>
        <v>1260</v>
      </c>
    </row>
    <row r="56" spans="3:18">
      <c r="C56" s="54" t="s">
        <v>8</v>
      </c>
      <c r="D56" s="55"/>
      <c r="E56" s="55"/>
      <c r="F56" s="56"/>
    </row>
    <row r="57" spans="3:18">
      <c r="C57" s="15" t="s">
        <v>112</v>
      </c>
      <c r="D57" s="15" t="s">
        <v>113</v>
      </c>
      <c r="E57" s="15" t="s">
        <v>114</v>
      </c>
      <c r="F57" s="15" t="s">
        <v>427</v>
      </c>
      <c r="I57" s="52" t="s">
        <v>334</v>
      </c>
      <c r="J57" s="53"/>
      <c r="L57" s="52" t="s">
        <v>335</v>
      </c>
      <c r="M57" s="53"/>
    </row>
    <row r="58" spans="3:18">
      <c r="C58" s="15">
        <v>30</v>
      </c>
      <c r="D58" s="15">
        <v>1</v>
      </c>
      <c r="E58" s="15">
        <f>C58*D58*F58</f>
        <v>60</v>
      </c>
      <c r="F58" s="15">
        <v>2</v>
      </c>
      <c r="I58" s="14" t="s">
        <v>447</v>
      </c>
      <c r="J58" s="15">
        <f>R50</f>
        <v>67.5</v>
      </c>
      <c r="L58" s="14" t="s">
        <v>149</v>
      </c>
      <c r="M58" s="15">
        <f>SUM(J24-(N48+N49))</f>
        <v>12.5</v>
      </c>
    </row>
    <row r="59" spans="3:18">
      <c r="C59" s="15">
        <v>30</v>
      </c>
      <c r="D59" s="15">
        <v>1</v>
      </c>
      <c r="E59" s="15">
        <f t="shared" ref="E59:E71" si="4">C59*D59*F59</f>
        <v>60</v>
      </c>
      <c r="F59" s="15">
        <v>2</v>
      </c>
      <c r="I59" s="14" t="s">
        <v>72</v>
      </c>
      <c r="J59" s="15">
        <f>R51</f>
        <v>960</v>
      </c>
      <c r="L59" s="14" t="s">
        <v>65</v>
      </c>
      <c r="M59" s="15">
        <f>SUM(J26-(N53+N54+N55))</f>
        <v>483</v>
      </c>
    </row>
    <row r="60" spans="3:18">
      <c r="C60" s="15">
        <v>30</v>
      </c>
      <c r="D60" s="15">
        <v>1</v>
      </c>
      <c r="E60" s="15">
        <f t="shared" si="4"/>
        <v>60</v>
      </c>
      <c r="F60" s="15">
        <v>2</v>
      </c>
      <c r="I60" s="14" t="s">
        <v>448</v>
      </c>
      <c r="J60" s="15">
        <f>R52</f>
        <v>90</v>
      </c>
      <c r="L60" s="14" t="s">
        <v>62</v>
      </c>
      <c r="M60" s="15">
        <f>SUM(J25-(N51+N52))</f>
        <v>0</v>
      </c>
    </row>
    <row r="61" spans="3:18">
      <c r="C61" s="15">
        <v>30</v>
      </c>
      <c r="D61" s="15">
        <v>1</v>
      </c>
      <c r="E61" s="15">
        <f t="shared" si="4"/>
        <v>60</v>
      </c>
      <c r="F61" s="15">
        <v>2</v>
      </c>
      <c r="I61" s="14" t="s">
        <v>86</v>
      </c>
      <c r="J61" s="15">
        <f>R53</f>
        <v>600</v>
      </c>
      <c r="L61" s="14" t="s">
        <v>151</v>
      </c>
      <c r="M61" s="15">
        <f>SUM(J30-(O54+O55))</f>
        <v>-3</v>
      </c>
    </row>
    <row r="62" spans="3:18">
      <c r="C62" s="15">
        <v>30</v>
      </c>
      <c r="D62" s="15">
        <v>1</v>
      </c>
      <c r="E62" s="15">
        <f t="shared" si="4"/>
        <v>60</v>
      </c>
      <c r="F62" s="15">
        <v>2</v>
      </c>
      <c r="I62" s="14" t="s">
        <v>122</v>
      </c>
      <c r="J62" s="15">
        <f>R54</f>
        <v>1440</v>
      </c>
      <c r="L62" s="14" t="s">
        <v>16</v>
      </c>
      <c r="M62" s="15">
        <f>J27</f>
        <v>480</v>
      </c>
    </row>
    <row r="63" spans="3:18">
      <c r="C63" s="15">
        <v>30</v>
      </c>
      <c r="D63" s="15">
        <v>1</v>
      </c>
      <c r="E63" s="15">
        <f t="shared" si="4"/>
        <v>60</v>
      </c>
      <c r="F63" s="15">
        <v>2</v>
      </c>
      <c r="I63" s="14" t="s">
        <v>123</v>
      </c>
      <c r="J63" s="15">
        <f>R55</f>
        <v>1260</v>
      </c>
      <c r="L63" s="14" t="s">
        <v>18</v>
      </c>
      <c r="M63" s="15">
        <f>J28</f>
        <v>1500</v>
      </c>
    </row>
    <row r="64" spans="3:18">
      <c r="C64" s="15">
        <v>60</v>
      </c>
      <c r="D64" s="15">
        <v>1</v>
      </c>
      <c r="E64" s="15">
        <f t="shared" si="4"/>
        <v>120</v>
      </c>
      <c r="F64" s="15">
        <v>2</v>
      </c>
      <c r="L64" s="14" t="s">
        <v>424</v>
      </c>
      <c r="M64" s="15">
        <f>J29</f>
        <v>180</v>
      </c>
    </row>
    <row r="65" spans="3:18">
      <c r="C65" s="15">
        <v>60</v>
      </c>
      <c r="D65" s="15">
        <v>1</v>
      </c>
      <c r="E65" s="15">
        <f t="shared" si="4"/>
        <v>120</v>
      </c>
      <c r="F65" s="15">
        <v>2</v>
      </c>
    </row>
    <row r="66" spans="3:18">
      <c r="C66" s="15">
        <v>60</v>
      </c>
      <c r="D66" s="15">
        <v>1</v>
      </c>
      <c r="E66" s="15">
        <f t="shared" si="4"/>
        <v>120</v>
      </c>
      <c r="F66" s="15">
        <v>2</v>
      </c>
      <c r="I66" s="30" t="s">
        <v>176</v>
      </c>
      <c r="J66" s="30" t="s">
        <v>175</v>
      </c>
      <c r="K66" s="30" t="s">
        <v>173</v>
      </c>
      <c r="L66" s="30" t="s">
        <v>177</v>
      </c>
      <c r="M66" s="30" t="s">
        <v>175</v>
      </c>
      <c r="N66" s="30" t="s">
        <v>180</v>
      </c>
      <c r="O66" s="30" t="s">
        <v>174</v>
      </c>
    </row>
    <row r="67" spans="3:18">
      <c r="C67" s="15">
        <v>60</v>
      </c>
      <c r="D67" s="15">
        <v>1</v>
      </c>
      <c r="E67" s="15">
        <f t="shared" si="4"/>
        <v>120</v>
      </c>
      <c r="F67" s="15">
        <v>2</v>
      </c>
      <c r="I67" s="30" t="s">
        <v>171</v>
      </c>
      <c r="J67" s="30">
        <v>0.5</v>
      </c>
      <c r="K67" s="30">
        <f>ROUNDDOWN(SUM((M63*0.5)/27.5),0)</f>
        <v>27</v>
      </c>
      <c r="L67" s="30" t="s">
        <v>172</v>
      </c>
      <c r="M67" s="30">
        <v>1</v>
      </c>
      <c r="N67" s="30">
        <f>ROUNDDOWN(SUM((J61*1)/27.5),0)</f>
        <v>21</v>
      </c>
      <c r="O67" s="30">
        <f>IF(K67&gt;N67,N67,K67)</f>
        <v>21</v>
      </c>
    </row>
    <row r="68" spans="3:18">
      <c r="C68" s="15">
        <v>60</v>
      </c>
      <c r="D68" s="15">
        <v>1</v>
      </c>
      <c r="E68" s="15">
        <f t="shared" si="4"/>
        <v>120</v>
      </c>
      <c r="F68" s="15">
        <v>2</v>
      </c>
      <c r="I68" s="30" t="s">
        <v>170</v>
      </c>
      <c r="J68" s="30">
        <v>0.7</v>
      </c>
      <c r="K68" s="30">
        <f>ROUNDDOWN(SUM((D15*J68)/20),0)</f>
        <v>16</v>
      </c>
      <c r="L68" s="30" t="s">
        <v>168</v>
      </c>
      <c r="M68" s="30">
        <v>0.25</v>
      </c>
      <c r="N68" s="30">
        <f>ROUNDDOWN(SUM((J59*M68)/28),0)</f>
        <v>8</v>
      </c>
      <c r="O68" s="30">
        <f t="shared" ref="O68:O70" si="5">IF(K68&gt;N68,N68,K68)</f>
        <v>8</v>
      </c>
    </row>
    <row r="69" spans="3:18">
      <c r="C69" s="15">
        <v>60</v>
      </c>
      <c r="D69" s="15">
        <v>1</v>
      </c>
      <c r="E69" s="15">
        <f t="shared" si="4"/>
        <v>120</v>
      </c>
      <c r="F69" s="15">
        <v>2</v>
      </c>
      <c r="I69" s="30" t="s">
        <v>169</v>
      </c>
      <c r="J69" s="30">
        <v>1</v>
      </c>
      <c r="K69" s="30">
        <f>ROUNDDOWN(SUM((R50*1)/2),0)</f>
        <v>33</v>
      </c>
      <c r="L69" s="30" t="s">
        <v>167</v>
      </c>
      <c r="M69" s="30">
        <v>0.15</v>
      </c>
      <c r="N69" s="30">
        <f>ROUNDDOWN(SUM((J59*M69)/10),0)</f>
        <v>14</v>
      </c>
      <c r="O69" s="30">
        <f t="shared" si="5"/>
        <v>14</v>
      </c>
    </row>
    <row r="70" spans="3:18">
      <c r="C70" s="15">
        <v>60</v>
      </c>
      <c r="D70" s="15">
        <v>1</v>
      </c>
      <c r="E70" s="15">
        <f t="shared" si="4"/>
        <v>120</v>
      </c>
      <c r="F70" s="15">
        <v>2</v>
      </c>
      <c r="I70" s="30" t="s">
        <v>164</v>
      </c>
      <c r="J70" s="30">
        <v>0.8</v>
      </c>
      <c r="K70" s="30">
        <f>ROUNDDOWN(SUM((R54*J70)/40),0)</f>
        <v>28</v>
      </c>
      <c r="L70" s="30" t="s">
        <v>165</v>
      </c>
      <c r="M70" s="30">
        <v>0.25</v>
      </c>
      <c r="N70" s="30">
        <f>ROUNDDOWN(SUM((J59*M70)/15),0)</f>
        <v>16</v>
      </c>
      <c r="O70" s="30">
        <f t="shared" si="5"/>
        <v>16</v>
      </c>
    </row>
    <row r="71" spans="3:18">
      <c r="C71" s="15">
        <v>120</v>
      </c>
      <c r="D71" s="15">
        <v>1</v>
      </c>
      <c r="E71" s="15">
        <f t="shared" si="4"/>
        <v>240</v>
      </c>
      <c r="F71" s="15">
        <v>2</v>
      </c>
      <c r="I71" s="30" t="s">
        <v>163</v>
      </c>
      <c r="J71" s="30">
        <v>0.2</v>
      </c>
      <c r="K71" s="30">
        <f>ROUNDDOWN(SUM((R54*J71)/30),0)</f>
        <v>9</v>
      </c>
      <c r="L71" s="30" t="s">
        <v>166</v>
      </c>
      <c r="M71" s="30">
        <v>0.17</v>
      </c>
      <c r="N71" s="30">
        <f>ROUNDDOWN(SUM((J59*M71)/10),0)</f>
        <v>16</v>
      </c>
      <c r="O71" s="30">
        <v>16</v>
      </c>
    </row>
    <row r="72" spans="3:18">
      <c r="C72" s="15" t="s">
        <v>105</v>
      </c>
      <c r="D72" s="15"/>
      <c r="E72" s="15">
        <f>SUM(E58:E71)</f>
        <v>1440</v>
      </c>
      <c r="F72" s="15"/>
      <c r="I72" s="30" t="s">
        <v>178</v>
      </c>
      <c r="J72" s="30">
        <v>1</v>
      </c>
      <c r="K72" s="30">
        <v>2</v>
      </c>
      <c r="L72" s="30" t="s">
        <v>179</v>
      </c>
      <c r="M72" s="30">
        <v>1</v>
      </c>
      <c r="N72" s="30">
        <f>SUM(O71/2)</f>
        <v>8</v>
      </c>
      <c r="O72" s="30">
        <v>8</v>
      </c>
    </row>
    <row r="73" spans="3:18">
      <c r="C73" s="54" t="s">
        <v>7</v>
      </c>
      <c r="D73" s="55"/>
      <c r="E73" s="55"/>
      <c r="F73" s="56"/>
    </row>
    <row r="74" spans="3:18">
      <c r="C74" s="15" t="s">
        <v>112</v>
      </c>
      <c r="D74" s="15" t="s">
        <v>113</v>
      </c>
      <c r="E74" s="15" t="s">
        <v>114</v>
      </c>
      <c r="F74" s="15" t="s">
        <v>427</v>
      </c>
    </row>
    <row r="75" spans="3:18">
      <c r="C75" s="15">
        <v>120</v>
      </c>
      <c r="D75" s="15">
        <v>2.5</v>
      </c>
      <c r="E75" s="15">
        <f>C75*D75*F75</f>
        <v>600</v>
      </c>
      <c r="F75" s="15">
        <v>2</v>
      </c>
      <c r="I75" s="59" t="s">
        <v>354</v>
      </c>
      <c r="J75" s="60"/>
      <c r="K75" s="60"/>
      <c r="L75" s="60"/>
      <c r="M75" s="60"/>
      <c r="N75" s="60"/>
      <c r="O75" s="60"/>
      <c r="P75" s="60"/>
      <c r="Q75" s="60"/>
      <c r="R75" s="60"/>
    </row>
    <row r="76" spans="3:18">
      <c r="C76" s="15">
        <v>120</v>
      </c>
      <c r="D76" s="15">
        <v>2.5</v>
      </c>
      <c r="E76" s="15">
        <f>C76*D76*F76</f>
        <v>600</v>
      </c>
      <c r="F76" s="15">
        <v>2</v>
      </c>
      <c r="I76" s="16" t="s">
        <v>59</v>
      </c>
      <c r="J76" s="16" t="s">
        <v>103</v>
      </c>
      <c r="K76" s="16" t="s">
        <v>148</v>
      </c>
      <c r="L76" s="16" t="s">
        <v>104</v>
      </c>
      <c r="M76" s="16" t="s">
        <v>150</v>
      </c>
      <c r="N76" s="16" t="s">
        <v>322</v>
      </c>
      <c r="O76" s="31" t="s">
        <v>323</v>
      </c>
      <c r="P76" s="16" t="s">
        <v>106</v>
      </c>
      <c r="Q76" s="31" t="s">
        <v>446</v>
      </c>
      <c r="R76" s="31" t="s">
        <v>362</v>
      </c>
    </row>
    <row r="77" spans="3:18" ht="15.75">
      <c r="C77" s="15" t="s">
        <v>105</v>
      </c>
      <c r="D77" s="15"/>
      <c r="E77" s="15">
        <f>SUM(E75:E76)</f>
        <v>1200</v>
      </c>
      <c r="F77" s="15"/>
      <c r="I77" s="15" t="s">
        <v>141</v>
      </c>
      <c r="J77" s="15">
        <v>27.5</v>
      </c>
      <c r="K77" s="15" t="s">
        <v>18</v>
      </c>
      <c r="L77" s="15">
        <v>27.5</v>
      </c>
      <c r="M77" s="15" t="s">
        <v>86</v>
      </c>
      <c r="N77" s="15">
        <f>J77*Q77</f>
        <v>600.04999999999995</v>
      </c>
      <c r="O77" s="15">
        <f>L77*Q77</f>
        <v>600.04999999999995</v>
      </c>
      <c r="P77" s="15">
        <v>12.5</v>
      </c>
      <c r="Q77" s="37">
        <v>21.82</v>
      </c>
      <c r="R77" s="15">
        <f>P77*Q77</f>
        <v>272.75</v>
      </c>
    </row>
    <row r="78" spans="3:18" ht="15.75">
      <c r="C78" s="54" t="s">
        <v>119</v>
      </c>
      <c r="D78" s="55"/>
      <c r="E78" s="55"/>
      <c r="F78" s="56"/>
      <c r="I78" s="15" t="s">
        <v>193</v>
      </c>
      <c r="J78" s="15">
        <v>28</v>
      </c>
      <c r="K78" s="15" t="s">
        <v>6</v>
      </c>
      <c r="L78" s="15">
        <v>20</v>
      </c>
      <c r="M78" s="15" t="s">
        <v>16</v>
      </c>
      <c r="N78" s="15">
        <f>J78*Q78</f>
        <v>280</v>
      </c>
      <c r="O78" s="15">
        <f t="shared" ref="O78:O82" si="6">L78*Q78</f>
        <v>200</v>
      </c>
      <c r="P78" s="15">
        <v>4</v>
      </c>
      <c r="Q78" s="37">
        <v>10</v>
      </c>
      <c r="R78" s="15">
        <f>P78*Q78</f>
        <v>40</v>
      </c>
    </row>
    <row r="79" spans="3:18" ht="15.75">
      <c r="C79" s="15" t="s">
        <v>112</v>
      </c>
      <c r="D79" s="15" t="s">
        <v>113</v>
      </c>
      <c r="E79" s="15" t="s">
        <v>114</v>
      </c>
      <c r="F79" s="15" t="s">
        <v>427</v>
      </c>
      <c r="I79" s="15" t="s">
        <v>142</v>
      </c>
      <c r="J79" s="15">
        <v>10</v>
      </c>
      <c r="K79" s="15" t="s">
        <v>6</v>
      </c>
      <c r="L79" s="15">
        <v>2</v>
      </c>
      <c r="M79" s="15" t="s">
        <v>231</v>
      </c>
      <c r="N79" s="15">
        <f>J79*Q79</f>
        <v>140</v>
      </c>
      <c r="O79" s="15">
        <f t="shared" si="6"/>
        <v>28</v>
      </c>
      <c r="P79" s="15">
        <v>3</v>
      </c>
      <c r="Q79" s="37">
        <v>14</v>
      </c>
      <c r="R79" s="15">
        <f>P79*Q79</f>
        <v>42</v>
      </c>
    </row>
    <row r="80" spans="3:18" ht="15.75">
      <c r="C80" s="15">
        <v>120</v>
      </c>
      <c r="D80" s="15">
        <v>2.5</v>
      </c>
      <c r="E80" s="15">
        <f>C80*D80*F80</f>
        <v>600</v>
      </c>
      <c r="F80" s="15">
        <v>2</v>
      </c>
      <c r="I80" s="15" t="s">
        <v>20</v>
      </c>
      <c r="J80" s="15">
        <v>15</v>
      </c>
      <c r="K80" s="15" t="s">
        <v>6</v>
      </c>
      <c r="L80" s="15">
        <v>40</v>
      </c>
      <c r="M80" s="15" t="s">
        <v>122</v>
      </c>
      <c r="N80" s="15">
        <f>J80*Q80</f>
        <v>240</v>
      </c>
      <c r="O80" s="15">
        <f t="shared" si="6"/>
        <v>640</v>
      </c>
      <c r="P80" s="15">
        <v>5</v>
      </c>
      <c r="Q80" s="37">
        <v>16</v>
      </c>
      <c r="R80" s="15">
        <f>P80*Q80</f>
        <v>80</v>
      </c>
    </row>
    <row r="81" spans="3:18" ht="15.75">
      <c r="C81" s="15">
        <v>120</v>
      </c>
      <c r="D81" s="15">
        <v>2.5</v>
      </c>
      <c r="E81" s="15">
        <f>C81*D81*F81</f>
        <v>600</v>
      </c>
      <c r="F81" s="15">
        <v>2</v>
      </c>
      <c r="I81" s="15" t="s">
        <v>449</v>
      </c>
      <c r="J81" s="15">
        <v>10</v>
      </c>
      <c r="K81" s="15" t="s">
        <v>6</v>
      </c>
      <c r="L81" s="15">
        <v>30</v>
      </c>
      <c r="M81" s="15" t="s">
        <v>122</v>
      </c>
      <c r="N81" s="15">
        <f>J81*Q81</f>
        <v>160</v>
      </c>
      <c r="O81" s="15">
        <f t="shared" si="6"/>
        <v>480</v>
      </c>
      <c r="P81" s="15">
        <v>5</v>
      </c>
      <c r="Q81" s="37">
        <v>16</v>
      </c>
      <c r="R81" s="15">
        <f>P81*Q81</f>
        <v>80</v>
      </c>
    </row>
    <row r="82" spans="3:18" ht="15.75">
      <c r="C82" s="15" t="s">
        <v>105</v>
      </c>
      <c r="D82" s="15"/>
      <c r="E82" s="15">
        <f>SUM(E80:E81)</f>
        <v>1200</v>
      </c>
      <c r="F82" s="15"/>
      <c r="I82" s="15" t="s">
        <v>12</v>
      </c>
      <c r="J82" s="15">
        <v>10</v>
      </c>
      <c r="K82" s="15" t="s">
        <v>182</v>
      </c>
      <c r="L82" s="15">
        <v>10</v>
      </c>
      <c r="M82" s="15" t="s">
        <v>181</v>
      </c>
      <c r="N82" s="15">
        <f t="shared" ref="N82" si="7">J82*Q82</f>
        <v>80</v>
      </c>
      <c r="O82" s="15">
        <f t="shared" si="6"/>
        <v>80</v>
      </c>
      <c r="P82" s="15">
        <v>5</v>
      </c>
      <c r="Q82" s="37">
        <v>8</v>
      </c>
      <c r="R82" s="15">
        <f>P82*Q82</f>
        <v>40</v>
      </c>
    </row>
    <row r="83" spans="3:18">
      <c r="C83" s="54" t="s">
        <v>17</v>
      </c>
      <c r="D83" s="55"/>
      <c r="E83" s="55"/>
      <c r="F83" s="56"/>
    </row>
    <row r="84" spans="3:18">
      <c r="C84" s="15" t="s">
        <v>112</v>
      </c>
      <c r="D84" s="15" t="s">
        <v>113</v>
      </c>
      <c r="E84" s="15" t="s">
        <v>114</v>
      </c>
      <c r="F84" s="15" t="s">
        <v>427</v>
      </c>
      <c r="I84" s="52" t="s">
        <v>340</v>
      </c>
      <c r="J84" s="53"/>
      <c r="L84" s="52" t="s">
        <v>335</v>
      </c>
      <c r="M84" s="53"/>
    </row>
    <row r="85" spans="3:18">
      <c r="C85" s="15">
        <v>120</v>
      </c>
      <c r="D85" s="15">
        <v>2.5</v>
      </c>
      <c r="E85" s="15">
        <f>C85*D85*F85</f>
        <v>600</v>
      </c>
      <c r="F85" s="15">
        <v>2</v>
      </c>
      <c r="I85" s="14" t="s">
        <v>447</v>
      </c>
      <c r="J85" s="15">
        <f>J58-R79</f>
        <v>25.5</v>
      </c>
      <c r="L85" s="14" t="s">
        <v>65</v>
      </c>
      <c r="M85" s="15">
        <f>M59</f>
        <v>483</v>
      </c>
    </row>
    <row r="86" spans="3:18">
      <c r="C86" s="15">
        <v>120</v>
      </c>
      <c r="D86" s="15">
        <v>2.5</v>
      </c>
      <c r="E86" s="15">
        <f>C86*D86*F86</f>
        <v>600</v>
      </c>
      <c r="F86" s="15">
        <v>2</v>
      </c>
      <c r="I86" s="14" t="s">
        <v>72</v>
      </c>
      <c r="J86" s="15">
        <f>SUM(J59-(N78+N79+N80+N81))</f>
        <v>140</v>
      </c>
    </row>
    <row r="87" spans="3:18">
      <c r="C87" s="15" t="s">
        <v>105</v>
      </c>
      <c r="D87" s="15"/>
      <c r="E87" s="15">
        <f>SUM(E85:E86)</f>
        <v>1200</v>
      </c>
      <c r="F87" s="15"/>
      <c r="I87" s="14" t="s">
        <v>3</v>
      </c>
      <c r="J87" s="15">
        <f>J60</f>
        <v>90</v>
      </c>
    </row>
    <row r="88" spans="3:18">
      <c r="C88" s="54" t="s">
        <v>91</v>
      </c>
      <c r="D88" s="55"/>
      <c r="E88" s="55"/>
      <c r="F88" s="56"/>
      <c r="I88" s="14" t="s">
        <v>122</v>
      </c>
      <c r="J88" s="15">
        <f>SUM(J62-(O80+O81))</f>
        <v>320</v>
      </c>
    </row>
    <row r="89" spans="3:18">
      <c r="C89" s="15" t="s">
        <v>112</v>
      </c>
      <c r="D89" s="15" t="s">
        <v>113</v>
      </c>
      <c r="E89" s="15" t="s">
        <v>114</v>
      </c>
      <c r="F89" s="15" t="s">
        <v>427</v>
      </c>
      <c r="I89" s="14" t="s">
        <v>123</v>
      </c>
      <c r="J89" s="15">
        <f>J63</f>
        <v>1260</v>
      </c>
    </row>
    <row r="90" spans="3:18">
      <c r="C90" s="15">
        <v>120</v>
      </c>
      <c r="D90" s="15">
        <v>1.63</v>
      </c>
      <c r="E90" s="15">
        <f>D90*C90*F90</f>
        <v>782.4</v>
      </c>
      <c r="F90" s="15">
        <v>4</v>
      </c>
      <c r="I90" s="14" t="s">
        <v>19</v>
      </c>
      <c r="J90" s="15">
        <f>J61-O77</f>
        <v>-4.9999999999954525E-2</v>
      </c>
    </row>
    <row r="91" spans="3:18">
      <c r="C91" s="15">
        <v>120</v>
      </c>
      <c r="D91" s="15">
        <v>1.63</v>
      </c>
      <c r="E91" s="15">
        <f>D91*C91*F91</f>
        <v>782.4</v>
      </c>
      <c r="F91" s="15">
        <v>4</v>
      </c>
      <c r="I91" s="14" t="s">
        <v>18</v>
      </c>
      <c r="J91" s="15">
        <f>M63-N77</f>
        <v>899.95</v>
      </c>
    </row>
    <row r="92" spans="3:18">
      <c r="C92" s="15" t="s">
        <v>105</v>
      </c>
      <c r="D92" s="15"/>
      <c r="E92" s="15">
        <f>SUM(E90:E91)</f>
        <v>1564.8</v>
      </c>
      <c r="F92" s="15"/>
      <c r="I92" s="14" t="s">
        <v>424</v>
      </c>
      <c r="J92" s="15">
        <f>M64</f>
        <v>180</v>
      </c>
    </row>
    <row r="93" spans="3:18">
      <c r="I93" s="14" t="s">
        <v>16</v>
      </c>
      <c r="J93" s="15">
        <f>M62-O78</f>
        <v>280</v>
      </c>
    </row>
    <row r="94" spans="3:18">
      <c r="C94" s="52" t="s">
        <v>435</v>
      </c>
      <c r="D94" s="53"/>
      <c r="E94" s="53"/>
      <c r="F94" s="53"/>
      <c r="I94" s="14" t="s">
        <v>141</v>
      </c>
      <c r="J94" s="15">
        <f>R77</f>
        <v>272.75</v>
      </c>
    </row>
    <row r="95" spans="3:18">
      <c r="C95" s="54" t="s">
        <v>23</v>
      </c>
      <c r="D95" s="55"/>
      <c r="E95" s="55"/>
      <c r="F95" s="56"/>
      <c r="I95" s="14" t="s">
        <v>193</v>
      </c>
      <c r="J95" s="15">
        <f>R78</f>
        <v>40</v>
      </c>
    </row>
    <row r="96" spans="3:18">
      <c r="C96" s="15" t="s">
        <v>112</v>
      </c>
      <c r="D96" s="15" t="s">
        <v>113</v>
      </c>
      <c r="E96" s="15" t="s">
        <v>114</v>
      </c>
      <c r="F96" s="15" t="s">
        <v>427</v>
      </c>
      <c r="I96" s="14" t="s">
        <v>142</v>
      </c>
      <c r="J96" s="15">
        <f>R79</f>
        <v>42</v>
      </c>
    </row>
    <row r="97" spans="3:24">
      <c r="C97" s="15">
        <v>30</v>
      </c>
      <c r="D97" s="15">
        <v>1.5</v>
      </c>
      <c r="E97" s="15">
        <f>C97*D97*F97</f>
        <v>90</v>
      </c>
      <c r="F97" s="15">
        <v>2</v>
      </c>
      <c r="I97" s="14" t="s">
        <v>20</v>
      </c>
      <c r="J97" s="15">
        <f>R80-N82</f>
        <v>0</v>
      </c>
    </row>
    <row r="98" spans="3:24">
      <c r="C98" s="15">
        <v>30</v>
      </c>
      <c r="D98" s="15">
        <v>1</v>
      </c>
      <c r="E98" s="15">
        <f t="shared" ref="E98:E100" si="8">C98*D98*F98</f>
        <v>60</v>
      </c>
      <c r="F98" s="15">
        <v>2</v>
      </c>
      <c r="I98" s="14" t="s">
        <v>80</v>
      </c>
      <c r="J98" s="15">
        <f>R81-O82</f>
        <v>0</v>
      </c>
    </row>
    <row r="99" spans="3:24">
      <c r="C99" s="15">
        <v>30</v>
      </c>
      <c r="D99" s="15">
        <v>1</v>
      </c>
      <c r="E99" s="15">
        <f t="shared" si="8"/>
        <v>60</v>
      </c>
      <c r="F99" s="15">
        <v>2</v>
      </c>
      <c r="I99" s="14" t="s">
        <v>12</v>
      </c>
      <c r="J99" s="15">
        <f>R82</f>
        <v>40</v>
      </c>
    </row>
    <row r="100" spans="3:24">
      <c r="C100" s="15">
        <v>30</v>
      </c>
      <c r="D100" s="15">
        <v>1</v>
      </c>
      <c r="E100" s="15">
        <f t="shared" si="8"/>
        <v>60</v>
      </c>
      <c r="F100" s="15">
        <v>2</v>
      </c>
    </row>
    <row r="101" spans="3:24">
      <c r="C101" s="15">
        <v>30</v>
      </c>
      <c r="D101" s="15">
        <v>1</v>
      </c>
      <c r="E101" s="15">
        <f t="shared" ref="E101:E103" si="9">C101*D101*F101</f>
        <v>60</v>
      </c>
      <c r="F101" s="15">
        <v>2</v>
      </c>
      <c r="I101" s="59" t="s">
        <v>344</v>
      </c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</row>
    <row r="102" spans="3:24">
      <c r="C102" s="15">
        <v>30</v>
      </c>
      <c r="D102" s="15">
        <v>1</v>
      </c>
      <c r="E102" s="15">
        <f t="shared" si="9"/>
        <v>60</v>
      </c>
      <c r="F102" s="15">
        <v>2</v>
      </c>
      <c r="I102" s="14" t="s">
        <v>59</v>
      </c>
      <c r="J102" s="16" t="s">
        <v>103</v>
      </c>
      <c r="K102" s="16" t="s">
        <v>148</v>
      </c>
      <c r="L102" s="16" t="s">
        <v>104</v>
      </c>
      <c r="M102" s="16" t="s">
        <v>150</v>
      </c>
      <c r="N102" s="16" t="s">
        <v>346</v>
      </c>
      <c r="O102" s="16" t="s">
        <v>347</v>
      </c>
      <c r="P102" s="16" t="s">
        <v>348</v>
      </c>
      <c r="Q102" s="16" t="s">
        <v>349</v>
      </c>
      <c r="R102" s="16" t="s">
        <v>106</v>
      </c>
      <c r="S102" s="16" t="s">
        <v>321</v>
      </c>
      <c r="T102" s="16" t="s">
        <v>322</v>
      </c>
      <c r="U102" s="31" t="s">
        <v>323</v>
      </c>
      <c r="V102" s="16" t="s">
        <v>350</v>
      </c>
      <c r="W102" s="31" t="s">
        <v>351</v>
      </c>
      <c r="X102" s="31" t="s">
        <v>320</v>
      </c>
    </row>
    <row r="103" spans="3:24">
      <c r="C103" s="15">
        <v>30</v>
      </c>
      <c r="D103" s="15">
        <v>1</v>
      </c>
      <c r="E103" s="15">
        <f t="shared" si="9"/>
        <v>60</v>
      </c>
      <c r="F103" s="15">
        <v>2</v>
      </c>
      <c r="I103" s="15" t="s">
        <v>345</v>
      </c>
      <c r="J103" s="15">
        <v>7.5</v>
      </c>
      <c r="K103" s="15" t="s">
        <v>337</v>
      </c>
      <c r="L103" s="15">
        <v>9.375</v>
      </c>
      <c r="M103" s="15" t="s">
        <v>342</v>
      </c>
      <c r="N103" s="15">
        <v>20.625</v>
      </c>
      <c r="O103" s="15" t="s">
        <v>16</v>
      </c>
      <c r="P103" s="15">
        <v>33.75</v>
      </c>
      <c r="Q103" s="15" t="s">
        <v>72</v>
      </c>
      <c r="R103" s="15">
        <v>2.8125</v>
      </c>
      <c r="S103" s="15">
        <v>4</v>
      </c>
      <c r="T103" s="15">
        <f>SUM(J103*S103)</f>
        <v>30</v>
      </c>
      <c r="U103" s="15">
        <f>L103*S103</f>
        <v>37.5</v>
      </c>
      <c r="V103" s="15">
        <f>SUM(N103*S103)</f>
        <v>82.5</v>
      </c>
      <c r="W103" s="15">
        <f>P103*S103</f>
        <v>135</v>
      </c>
      <c r="X103" s="15">
        <f>R103*S103</f>
        <v>11.25</v>
      </c>
    </row>
    <row r="104" spans="3:24">
      <c r="C104" s="15">
        <v>30</v>
      </c>
      <c r="D104" s="15">
        <v>1</v>
      </c>
      <c r="E104" s="15">
        <f>C104*D104*F104</f>
        <v>60</v>
      </c>
      <c r="F104" s="15">
        <v>2</v>
      </c>
      <c r="I104" s="15" t="s">
        <v>76</v>
      </c>
      <c r="J104" s="15">
        <v>105</v>
      </c>
      <c r="K104" s="15" t="s">
        <v>123</v>
      </c>
      <c r="L104" s="15">
        <v>45</v>
      </c>
      <c r="M104" s="15" t="s">
        <v>14</v>
      </c>
      <c r="N104" s="15">
        <v>26.25</v>
      </c>
      <c r="O104" s="15" t="s">
        <v>141</v>
      </c>
      <c r="P104" s="15"/>
      <c r="Q104" s="15"/>
      <c r="R104" s="15">
        <v>3.75</v>
      </c>
      <c r="S104" s="15">
        <v>4</v>
      </c>
      <c r="T104" s="15">
        <f>SUM(J104*S104)</f>
        <v>420</v>
      </c>
      <c r="U104" s="15">
        <f>L104*S104</f>
        <v>180</v>
      </c>
      <c r="V104" s="15">
        <f>SUM(N104*S104)</f>
        <v>105</v>
      </c>
      <c r="W104" s="15"/>
      <c r="X104" s="15">
        <f>R104*S104</f>
        <v>15</v>
      </c>
    </row>
    <row r="105" spans="3:24">
      <c r="C105" s="15" t="s">
        <v>105</v>
      </c>
      <c r="D105" s="15">
        <v>19</v>
      </c>
      <c r="E105" s="15">
        <f>SUM(E97:E104)</f>
        <v>510</v>
      </c>
      <c r="F105" s="15"/>
      <c r="I105" s="15" t="s">
        <v>450</v>
      </c>
      <c r="J105" s="15">
        <v>90</v>
      </c>
      <c r="K105" s="15" t="s">
        <v>123</v>
      </c>
      <c r="L105" s="15">
        <v>37.5</v>
      </c>
      <c r="M105" s="15" t="s">
        <v>18</v>
      </c>
      <c r="N105" s="15">
        <v>3</v>
      </c>
      <c r="O105" s="15" t="s">
        <v>141</v>
      </c>
      <c r="P105" s="15"/>
      <c r="Q105" s="15"/>
      <c r="R105" s="15">
        <v>3</v>
      </c>
      <c r="S105" s="15">
        <v>9.33</v>
      </c>
      <c r="T105" s="15">
        <f>SUM(J105*S105)</f>
        <v>839.7</v>
      </c>
      <c r="U105" s="15">
        <f>L105*S105</f>
        <v>349.875</v>
      </c>
      <c r="V105" s="15">
        <f>SUM(N105*S105)</f>
        <v>27.990000000000002</v>
      </c>
      <c r="W105" s="15"/>
      <c r="X105" s="15">
        <f>R105*S105</f>
        <v>27.990000000000002</v>
      </c>
    </row>
    <row r="107" spans="3:24">
      <c r="I107" s="52" t="s">
        <v>451</v>
      </c>
      <c r="J107" s="53"/>
    </row>
    <row r="108" spans="3:24">
      <c r="I108" s="14" t="s">
        <v>72</v>
      </c>
      <c r="J108" s="74">
        <f>J86-W103</f>
        <v>5</v>
      </c>
    </row>
    <row r="109" spans="3:24">
      <c r="I109" s="14" t="s">
        <v>193</v>
      </c>
      <c r="J109" s="74">
        <f>J95-U103</f>
        <v>2.5</v>
      </c>
    </row>
    <row r="110" spans="3:24">
      <c r="I110" s="14" t="s">
        <v>123</v>
      </c>
      <c r="J110" s="74">
        <f>SUM(J89-(T104+T105))</f>
        <v>0.29999999999995453</v>
      </c>
    </row>
    <row r="111" spans="3:24">
      <c r="I111" s="14" t="s">
        <v>142</v>
      </c>
      <c r="J111" s="74">
        <f>J96-T103</f>
        <v>12</v>
      </c>
    </row>
    <row r="113" spans="9:10">
      <c r="I113" s="14" t="s">
        <v>447</v>
      </c>
      <c r="J113" s="75">
        <f>J85</f>
        <v>25.5</v>
      </c>
    </row>
    <row r="114" spans="9:10">
      <c r="I114" s="14" t="s">
        <v>3</v>
      </c>
      <c r="J114" s="75">
        <f>J87</f>
        <v>90</v>
      </c>
    </row>
    <row r="115" spans="9:10">
      <c r="I115" s="14" t="s">
        <v>122</v>
      </c>
      <c r="J115" s="75">
        <f>J88</f>
        <v>320</v>
      </c>
    </row>
    <row r="116" spans="9:10">
      <c r="I116" s="14" t="s">
        <v>12</v>
      </c>
      <c r="J116" s="75">
        <f>J99</f>
        <v>40</v>
      </c>
    </row>
    <row r="117" spans="9:10">
      <c r="I117" s="14" t="s">
        <v>141</v>
      </c>
      <c r="J117" s="75">
        <f>SUM(J94-(V104+V105))</f>
        <v>139.76</v>
      </c>
    </row>
    <row r="118" spans="9:10">
      <c r="I118" s="14" t="s">
        <v>146</v>
      </c>
      <c r="J118" s="75">
        <f>X103</f>
        <v>11.25</v>
      </c>
    </row>
    <row r="119" spans="9:10">
      <c r="I119" s="14" t="s">
        <v>76</v>
      </c>
      <c r="J119" s="75">
        <f>X104</f>
        <v>15</v>
      </c>
    </row>
    <row r="120" spans="9:10">
      <c r="I120" s="14" t="s">
        <v>450</v>
      </c>
      <c r="J120" s="75">
        <f>X105</f>
        <v>27.990000000000002</v>
      </c>
    </row>
    <row r="121" spans="9:10">
      <c r="I121" s="14" t="s">
        <v>65</v>
      </c>
      <c r="J121" s="75">
        <f>M59</f>
        <v>483</v>
      </c>
    </row>
    <row r="122" spans="9:10">
      <c r="I122" s="14" t="s">
        <v>16</v>
      </c>
      <c r="J122" s="75">
        <f>J93-W103</f>
        <v>145</v>
      </c>
    </row>
    <row r="123" spans="9:10">
      <c r="I123" s="14" t="s">
        <v>424</v>
      </c>
      <c r="J123" s="75">
        <f>J92</f>
        <v>180</v>
      </c>
    </row>
    <row r="124" spans="9:10">
      <c r="I124" s="14" t="s">
        <v>14</v>
      </c>
      <c r="J124" s="75">
        <f>OffshoreMegaRefinery!J62-GrasslandRegionalProduction!U104</f>
        <v>583.5</v>
      </c>
    </row>
    <row r="125" spans="9:10">
      <c r="I125" s="14" t="s">
        <v>18</v>
      </c>
      <c r="J125" s="75">
        <f>J91-U105</f>
        <v>550.07500000000005</v>
      </c>
    </row>
  </sheetData>
  <mergeCells count="29">
    <mergeCell ref="I101:X101"/>
    <mergeCell ref="I107:J107"/>
    <mergeCell ref="C94:F94"/>
    <mergeCell ref="C95:F95"/>
    <mergeCell ref="I40:J40"/>
    <mergeCell ref="L40:M40"/>
    <mergeCell ref="I32:P32"/>
    <mergeCell ref="I46:Q46"/>
    <mergeCell ref="I57:J57"/>
    <mergeCell ref="L57:M57"/>
    <mergeCell ref="I75:R75"/>
    <mergeCell ref="I84:J84"/>
    <mergeCell ref="L84:M84"/>
    <mergeCell ref="L4:P4"/>
    <mergeCell ref="I13:V13"/>
    <mergeCell ref="I23:J23"/>
    <mergeCell ref="L23:M23"/>
    <mergeCell ref="C3:U3"/>
    <mergeCell ref="C24:F24"/>
    <mergeCell ref="C25:F25"/>
    <mergeCell ref="C88:F88"/>
    <mergeCell ref="O23:P23"/>
    <mergeCell ref="C4:J4"/>
    <mergeCell ref="C83:F83"/>
    <mergeCell ref="C78:F78"/>
    <mergeCell ref="C47:F47"/>
    <mergeCell ref="C56:F56"/>
    <mergeCell ref="C73:F73"/>
    <mergeCell ref="C13:G13"/>
  </mergeCells>
  <phoneticPr fontId="12" type="noConversion"/>
  <hyperlinks>
    <hyperlink ref="F17" r:id="rId1" xr:uid="{185B9E80-AF4C-40F7-8663-3F514E7F841D}"/>
    <hyperlink ref="F16" r:id="rId2" xr:uid="{BCAA26CE-D6B5-4194-9ADA-905BDC2DE11F}"/>
    <hyperlink ref="F15" r:id="rId3" xr:uid="{3BA93377-CEBD-40C0-B62C-1D34448DA57D}"/>
    <hyperlink ref="F20" r:id="rId4" xr:uid="{F697FE49-1D6A-4933-8E1E-D666F4D62AA0}"/>
  </hyperlinks>
  <pageMargins left="0.7" right="0.7" top="0.75" bottom="0.75" header="0.3" footer="0.3"/>
  <pageSetup orientation="portrait" horizontalDpi="90" verticalDpi="9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81C1C-12DB-46FB-B008-4F1C0CCE7C2A}">
  <dimension ref="C3:G32"/>
  <sheetViews>
    <sheetView tabSelected="1" workbookViewId="0">
      <selection activeCell="H7" sqref="H7"/>
    </sheetView>
  </sheetViews>
  <sheetFormatPr defaultRowHeight="15"/>
  <cols>
    <col min="3" max="3" width="14.5703125" bestFit="1" customWidth="1"/>
    <col min="6" max="6" width="12.140625" bestFit="1" customWidth="1"/>
  </cols>
  <sheetData>
    <row r="3" spans="3:7">
      <c r="C3" s="52" t="s">
        <v>162</v>
      </c>
      <c r="D3" s="53"/>
      <c r="E3" s="53"/>
      <c r="F3" s="53"/>
      <c r="G3" s="53"/>
    </row>
    <row r="4" spans="3:7">
      <c r="C4" s="14" t="s">
        <v>59</v>
      </c>
      <c r="D4" s="14" t="s">
        <v>23</v>
      </c>
      <c r="E4" s="14" t="s">
        <v>24</v>
      </c>
      <c r="F4" s="14" t="s">
        <v>8</v>
      </c>
      <c r="G4" s="14" t="s">
        <v>91</v>
      </c>
    </row>
    <row r="5" spans="3:7">
      <c r="C5" s="15" t="s">
        <v>57</v>
      </c>
      <c r="D5" s="15">
        <v>0</v>
      </c>
      <c r="E5" s="15">
        <v>0</v>
      </c>
      <c r="F5" s="15">
        <v>0</v>
      </c>
      <c r="G5" s="15">
        <v>0</v>
      </c>
    </row>
    <row r="6" spans="3:7">
      <c r="C6" s="15" t="s">
        <v>56</v>
      </c>
      <c r="D6" s="15">
        <v>0</v>
      </c>
      <c r="E6" s="15">
        <v>0</v>
      </c>
      <c r="F6" s="15">
        <v>0</v>
      </c>
      <c r="G6" s="15">
        <v>0</v>
      </c>
    </row>
    <row r="7" spans="3:7">
      <c r="C7" s="15" t="s">
        <v>55</v>
      </c>
      <c r="D7" s="15">
        <v>3</v>
      </c>
      <c r="E7" s="15">
        <v>1</v>
      </c>
      <c r="F7" s="15">
        <v>2</v>
      </c>
      <c r="G7" s="15">
        <v>1</v>
      </c>
    </row>
    <row r="8" spans="3:7">
      <c r="C8" s="15" t="s">
        <v>67</v>
      </c>
      <c r="D8" s="15">
        <f>F20</f>
        <v>782.4</v>
      </c>
      <c r="E8" s="15">
        <f>F20</f>
        <v>782.4</v>
      </c>
      <c r="F8" s="15">
        <f>F24</f>
        <v>782.4</v>
      </c>
      <c r="G8" s="15">
        <f>F28+D31</f>
        <v>1896.4</v>
      </c>
    </row>
    <row r="10" spans="3:7">
      <c r="C10" s="52" t="s">
        <v>111</v>
      </c>
      <c r="D10" s="53"/>
      <c r="E10" s="53"/>
      <c r="F10" s="53"/>
    </row>
    <row r="11" spans="3:7">
      <c r="C11" s="54" t="s">
        <v>23</v>
      </c>
      <c r="D11" s="55"/>
      <c r="E11" s="55"/>
      <c r="F11" s="56"/>
    </row>
    <row r="12" spans="3:7">
      <c r="C12" s="15" t="s">
        <v>112</v>
      </c>
      <c r="D12" s="15" t="s">
        <v>113</v>
      </c>
      <c r="E12" s="15" t="s">
        <v>311</v>
      </c>
      <c r="F12" s="15" t="s">
        <v>114</v>
      </c>
    </row>
    <row r="13" spans="3:7">
      <c r="C13" s="15">
        <v>120</v>
      </c>
      <c r="D13" s="15">
        <v>1.63</v>
      </c>
      <c r="E13" s="15">
        <v>4</v>
      </c>
      <c r="F13" s="15">
        <f>C13*D13*E13</f>
        <v>782.4</v>
      </c>
    </row>
    <row r="14" spans="3:7">
      <c r="C14" s="15">
        <v>120</v>
      </c>
      <c r="D14" s="15">
        <v>1.63</v>
      </c>
      <c r="E14" s="15">
        <v>4</v>
      </c>
      <c r="F14" s="15">
        <f t="shared" ref="F14:F15" si="0">C14*D14*E14</f>
        <v>782.4</v>
      </c>
    </row>
    <row r="15" spans="3:7">
      <c r="C15" s="15">
        <v>120</v>
      </c>
      <c r="D15" s="15">
        <v>1.63</v>
      </c>
      <c r="E15" s="15">
        <v>4</v>
      </c>
      <c r="F15" s="15">
        <f t="shared" si="0"/>
        <v>782.4</v>
      </c>
    </row>
    <row r="16" spans="3:7">
      <c r="C16" s="15" t="s">
        <v>105</v>
      </c>
      <c r="D16" s="15"/>
      <c r="E16" s="15"/>
      <c r="F16" s="15">
        <f>SUM(F13:F15)</f>
        <v>2347.1999999999998</v>
      </c>
    </row>
    <row r="17" spans="3:6">
      <c r="C17" s="54" t="s">
        <v>24</v>
      </c>
      <c r="D17" s="55"/>
      <c r="E17" s="55"/>
      <c r="F17" s="56"/>
    </row>
    <row r="18" spans="3:6">
      <c r="C18" s="15" t="s">
        <v>112</v>
      </c>
      <c r="D18" s="15" t="s">
        <v>113</v>
      </c>
      <c r="E18" s="15" t="s">
        <v>311</v>
      </c>
      <c r="F18" s="15" t="s">
        <v>114</v>
      </c>
    </row>
    <row r="19" spans="3:6">
      <c r="C19" s="15">
        <v>120</v>
      </c>
      <c r="D19" s="15">
        <v>1.63</v>
      </c>
      <c r="E19" s="15">
        <v>4</v>
      </c>
      <c r="F19" s="15">
        <f>C19*D19*E19</f>
        <v>782.4</v>
      </c>
    </row>
    <row r="20" spans="3:6">
      <c r="C20" s="15" t="s">
        <v>105</v>
      </c>
      <c r="D20" s="15"/>
      <c r="E20" s="15"/>
      <c r="F20" s="15">
        <f>SUM(F19:F19)</f>
        <v>782.4</v>
      </c>
    </row>
    <row r="21" spans="3:6">
      <c r="C21" s="54" t="s">
        <v>8</v>
      </c>
      <c r="D21" s="55"/>
      <c r="E21" s="55"/>
      <c r="F21" s="56"/>
    </row>
    <row r="22" spans="3:6">
      <c r="C22" s="15" t="s">
        <v>112</v>
      </c>
      <c r="D22" s="15" t="s">
        <v>113</v>
      </c>
      <c r="E22" s="15" t="s">
        <v>311</v>
      </c>
      <c r="F22" s="15" t="s">
        <v>114</v>
      </c>
    </row>
    <row r="23" spans="3:6">
      <c r="C23" s="15">
        <v>120</v>
      </c>
      <c r="D23" s="15">
        <v>1.63</v>
      </c>
      <c r="E23" s="15">
        <v>4</v>
      </c>
      <c r="F23" s="15">
        <f t="shared" ref="F23" si="1">C23*D23*E23</f>
        <v>782.4</v>
      </c>
    </row>
    <row r="24" spans="3:6">
      <c r="C24" s="15" t="s">
        <v>105</v>
      </c>
      <c r="D24" s="15"/>
      <c r="E24" s="15"/>
      <c r="F24" s="15">
        <f>SUM(F23:F23)</f>
        <v>782.4</v>
      </c>
    </row>
    <row r="25" spans="3:6">
      <c r="C25" s="54" t="s">
        <v>91</v>
      </c>
      <c r="D25" s="55"/>
      <c r="E25" s="55"/>
      <c r="F25" s="56"/>
    </row>
    <row r="26" spans="3:6">
      <c r="C26" s="15" t="s">
        <v>112</v>
      </c>
      <c r="D26" s="15" t="s">
        <v>113</v>
      </c>
      <c r="E26" s="15" t="s">
        <v>311</v>
      </c>
      <c r="F26" s="15" t="s">
        <v>114</v>
      </c>
    </row>
    <row r="27" spans="3:6">
      <c r="C27" s="15">
        <v>120</v>
      </c>
      <c r="D27" s="15">
        <v>1.63</v>
      </c>
      <c r="E27" s="15">
        <v>4</v>
      </c>
      <c r="F27" s="15">
        <f t="shared" ref="F27" si="2">C27*D27*E27</f>
        <v>782.4</v>
      </c>
    </row>
    <row r="28" spans="3:6">
      <c r="C28" s="15" t="s">
        <v>105</v>
      </c>
      <c r="D28" s="15"/>
      <c r="E28" s="15"/>
      <c r="F28" s="15">
        <f>SUM(F27:F27)</f>
        <v>782.4</v>
      </c>
    </row>
    <row r="29" spans="3:6">
      <c r="C29" s="54" t="s">
        <v>459</v>
      </c>
      <c r="D29" s="55"/>
    </row>
    <row r="30" spans="3:6">
      <c r="C30" s="52" t="s">
        <v>460</v>
      </c>
      <c r="D30" s="53" t="s">
        <v>461</v>
      </c>
    </row>
    <row r="31" spans="3:6">
      <c r="C31" s="15" t="s">
        <v>15</v>
      </c>
      <c r="D31" s="15">
        <v>1114</v>
      </c>
    </row>
    <row r="32" spans="3:6">
      <c r="C32" s="15" t="s">
        <v>65</v>
      </c>
      <c r="D32" s="15">
        <v>483</v>
      </c>
    </row>
  </sheetData>
  <mergeCells count="8">
    <mergeCell ref="C30:D30"/>
    <mergeCell ref="C29:D29"/>
    <mergeCell ref="C3:G3"/>
    <mergeCell ref="C10:F10"/>
    <mergeCell ref="C11:F11"/>
    <mergeCell ref="C17:F17"/>
    <mergeCell ref="C21:F21"/>
    <mergeCell ref="C25:F25"/>
  </mergeCells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0751C-1EB6-4741-8406-B680E49C7543}">
  <dimension ref="B2:Q60"/>
  <sheetViews>
    <sheetView workbookViewId="0">
      <selection activeCell="B8" sqref="B8:E29"/>
    </sheetView>
  </sheetViews>
  <sheetFormatPr defaultRowHeight="15"/>
  <cols>
    <col min="2" max="2" width="14.85546875" bestFit="1" customWidth="1"/>
    <col min="4" max="4" width="15.7109375" bestFit="1" customWidth="1"/>
    <col min="5" max="5" width="12.140625" bestFit="1" customWidth="1"/>
    <col min="6" max="6" width="11.85546875" bestFit="1" customWidth="1"/>
    <col min="8" max="8" width="21.5703125" bestFit="1" customWidth="1"/>
    <col min="9" max="9" width="15.5703125" bestFit="1" customWidth="1"/>
    <col min="10" max="10" width="11.85546875" customWidth="1"/>
    <col min="11" max="11" width="17.5703125" bestFit="1" customWidth="1"/>
    <col min="12" max="12" width="30.85546875" customWidth="1"/>
    <col min="13" max="13" width="14.5703125" bestFit="1" customWidth="1"/>
    <col min="14" max="14" width="15.85546875" bestFit="1" customWidth="1"/>
    <col min="15" max="15" width="15.7109375" bestFit="1" customWidth="1"/>
    <col min="16" max="17" width="15.28515625" bestFit="1" customWidth="1"/>
  </cols>
  <sheetData>
    <row r="2" spans="2:17">
      <c r="B2" s="52" t="s">
        <v>162</v>
      </c>
      <c r="C2" s="53"/>
      <c r="D2" s="53"/>
      <c r="E2" s="53"/>
      <c r="F2" s="53"/>
      <c r="H2" s="59" t="s">
        <v>312</v>
      </c>
      <c r="I2" s="60"/>
      <c r="J2" s="60"/>
      <c r="K2" s="60"/>
      <c r="L2" s="60"/>
      <c r="M2" s="60"/>
      <c r="N2" s="60"/>
      <c r="O2" s="60"/>
      <c r="P2" s="60"/>
      <c r="Q2" s="60"/>
    </row>
    <row r="3" spans="2:17">
      <c r="B3" s="14" t="s">
        <v>59</v>
      </c>
      <c r="C3" s="14" t="s">
        <v>23</v>
      </c>
      <c r="D3" s="14" t="s">
        <v>24</v>
      </c>
      <c r="E3" s="14" t="s">
        <v>8</v>
      </c>
      <c r="F3" s="14" t="s">
        <v>7</v>
      </c>
      <c r="H3" s="14" t="s">
        <v>59</v>
      </c>
      <c r="I3" s="16" t="s">
        <v>103</v>
      </c>
      <c r="J3" s="16" t="s">
        <v>148</v>
      </c>
      <c r="K3" s="16" t="s">
        <v>104</v>
      </c>
      <c r="L3" s="16" t="s">
        <v>150</v>
      </c>
      <c r="M3" s="16" t="s">
        <v>106</v>
      </c>
      <c r="N3" s="16" t="s">
        <v>321</v>
      </c>
      <c r="O3" s="16" t="s">
        <v>322</v>
      </c>
      <c r="P3" s="31" t="s">
        <v>323</v>
      </c>
      <c r="Q3" s="31" t="s">
        <v>320</v>
      </c>
    </row>
    <row r="4" spans="2:17">
      <c r="B4" s="15" t="s">
        <v>57</v>
      </c>
      <c r="C4" s="15">
        <v>6</v>
      </c>
      <c r="D4" s="15">
        <v>1</v>
      </c>
      <c r="E4" s="15">
        <v>0</v>
      </c>
      <c r="F4" s="15">
        <v>0</v>
      </c>
      <c r="H4" s="15" t="s">
        <v>313</v>
      </c>
      <c r="I4" s="15">
        <v>35</v>
      </c>
      <c r="J4" s="15" t="s">
        <v>1</v>
      </c>
      <c r="K4" s="15">
        <v>9999</v>
      </c>
      <c r="L4" s="15" t="s">
        <v>10</v>
      </c>
      <c r="M4" s="15">
        <v>65</v>
      </c>
      <c r="N4" s="15">
        <v>48.85</v>
      </c>
      <c r="O4" s="15">
        <f>SUM(I4*N4)</f>
        <v>1709.75</v>
      </c>
      <c r="P4" s="15"/>
      <c r="Q4" s="15">
        <f>M4*N4</f>
        <v>3175.25</v>
      </c>
    </row>
    <row r="5" spans="2:17">
      <c r="B5" s="15" t="s">
        <v>56</v>
      </c>
      <c r="C5" s="15">
        <v>0</v>
      </c>
      <c r="D5" s="15">
        <v>1</v>
      </c>
      <c r="E5" s="15">
        <v>1</v>
      </c>
      <c r="F5" s="15">
        <v>4</v>
      </c>
      <c r="H5" s="15" t="s">
        <v>314</v>
      </c>
      <c r="I5" s="15">
        <v>20</v>
      </c>
      <c r="J5" s="15" t="s">
        <v>1</v>
      </c>
      <c r="K5" s="15">
        <v>20</v>
      </c>
      <c r="L5" s="15" t="s">
        <v>4</v>
      </c>
      <c r="M5" s="15">
        <v>50</v>
      </c>
      <c r="N5" s="15">
        <v>38.28</v>
      </c>
      <c r="O5" s="15">
        <f t="shared" ref="O5:O8" si="0">SUM(I5*N5)</f>
        <v>765.6</v>
      </c>
      <c r="P5" s="15">
        <f>K5*N5</f>
        <v>765.6</v>
      </c>
      <c r="Q5" s="15">
        <f t="shared" ref="Q5:Q8" si="1">M5*N5</f>
        <v>1914</v>
      </c>
    </row>
    <row r="6" spans="2:17">
      <c r="B6" s="15" t="s">
        <v>55</v>
      </c>
      <c r="C6" s="15">
        <v>1</v>
      </c>
      <c r="D6" s="15">
        <v>0</v>
      </c>
      <c r="E6" s="15">
        <v>2</v>
      </c>
      <c r="F6" s="15">
        <v>1</v>
      </c>
      <c r="H6" s="15" t="s">
        <v>315</v>
      </c>
      <c r="I6" s="15">
        <v>15</v>
      </c>
      <c r="J6" s="15" t="s">
        <v>4</v>
      </c>
      <c r="K6" s="15">
        <v>9999</v>
      </c>
      <c r="L6" s="15" t="s">
        <v>318</v>
      </c>
      <c r="M6" s="15">
        <v>37.5</v>
      </c>
      <c r="N6" s="15">
        <v>8.9499999999999993</v>
      </c>
      <c r="O6" s="15">
        <f t="shared" si="0"/>
        <v>134.25</v>
      </c>
      <c r="P6" s="15"/>
      <c r="Q6" s="15">
        <f t="shared" si="1"/>
        <v>335.625</v>
      </c>
    </row>
    <row r="7" spans="2:17">
      <c r="B7" s="15" t="s">
        <v>67</v>
      </c>
      <c r="C7" s="15">
        <f>E18</f>
        <v>2520</v>
      </c>
      <c r="D7" s="15">
        <f>E23</f>
        <v>900</v>
      </c>
      <c r="E7" s="15">
        <f>E29</f>
        <v>2040</v>
      </c>
      <c r="F7" s="15">
        <f>E37</f>
        <v>3120</v>
      </c>
      <c r="H7" s="15" t="s">
        <v>316</v>
      </c>
      <c r="I7" s="15">
        <v>120</v>
      </c>
      <c r="J7" s="15" t="s">
        <v>8</v>
      </c>
      <c r="K7" s="15">
        <v>9999</v>
      </c>
      <c r="L7" s="15" t="s">
        <v>10</v>
      </c>
      <c r="M7" s="15">
        <v>80</v>
      </c>
      <c r="N7" s="15">
        <v>17</v>
      </c>
      <c r="O7" s="15">
        <f t="shared" si="0"/>
        <v>2040</v>
      </c>
      <c r="P7" s="15"/>
      <c r="Q7" s="15">
        <f t="shared" si="1"/>
        <v>1360</v>
      </c>
    </row>
    <row r="8" spans="2:17">
      <c r="B8" s="52" t="s">
        <v>111</v>
      </c>
      <c r="C8" s="53"/>
      <c r="D8" s="53"/>
      <c r="E8" s="53"/>
      <c r="H8" s="15" t="s">
        <v>317</v>
      </c>
      <c r="I8" s="15">
        <v>40</v>
      </c>
      <c r="J8" s="15" t="s">
        <v>149</v>
      </c>
      <c r="K8" s="15">
        <v>40</v>
      </c>
      <c r="L8" s="15" t="s">
        <v>319</v>
      </c>
      <c r="M8" s="15">
        <v>60</v>
      </c>
      <c r="N8" s="15">
        <v>77.650000000000006</v>
      </c>
      <c r="O8" s="15">
        <f t="shared" si="0"/>
        <v>3106</v>
      </c>
      <c r="P8" s="15">
        <f>K8*N8</f>
        <v>3106</v>
      </c>
      <c r="Q8" s="15">
        <f t="shared" si="1"/>
        <v>4659</v>
      </c>
    </row>
    <row r="9" spans="2:17">
      <c r="B9" s="54" t="s">
        <v>23</v>
      </c>
      <c r="C9" s="55"/>
      <c r="D9" s="55"/>
      <c r="E9" s="56"/>
    </row>
    <row r="10" spans="2:17">
      <c r="B10" s="15" t="s">
        <v>112</v>
      </c>
      <c r="C10" s="15" t="s">
        <v>113</v>
      </c>
      <c r="D10" s="15" t="s">
        <v>311</v>
      </c>
      <c r="E10" s="15" t="s">
        <v>114</v>
      </c>
      <c r="H10" s="52" t="s">
        <v>325</v>
      </c>
      <c r="I10" s="53"/>
      <c r="K10" s="52" t="s">
        <v>330</v>
      </c>
      <c r="L10" s="53"/>
    </row>
    <row r="11" spans="2:17">
      <c r="B11" s="15">
        <v>30</v>
      </c>
      <c r="C11" s="15">
        <v>2.5</v>
      </c>
      <c r="D11" s="15">
        <v>4</v>
      </c>
      <c r="E11" s="15">
        <f>B11*C11*D11</f>
        <v>300</v>
      </c>
      <c r="H11" s="14" t="s">
        <v>324</v>
      </c>
      <c r="I11" s="15">
        <f>Q4+Q5</f>
        <v>5089.25</v>
      </c>
      <c r="K11" s="14" t="s">
        <v>1</v>
      </c>
      <c r="L11" s="15">
        <f>SUM(C7-(O4+O5))</f>
        <v>44.650000000000091</v>
      </c>
    </row>
    <row r="12" spans="2:17">
      <c r="B12" s="15">
        <v>30</v>
      </c>
      <c r="C12" s="15">
        <v>2.5</v>
      </c>
      <c r="D12" s="15">
        <v>4</v>
      </c>
      <c r="E12" s="15">
        <f t="shared" ref="E12:E17" si="2">B12*C12*D12</f>
        <v>300</v>
      </c>
      <c r="H12" s="14" t="s">
        <v>326</v>
      </c>
      <c r="I12" s="15">
        <f>I11-P8</f>
        <v>1983.25</v>
      </c>
      <c r="K12" s="14" t="s">
        <v>4</v>
      </c>
      <c r="L12" s="15">
        <f>SUM(D7-(P5+O6))</f>
        <v>0.14999999999997726</v>
      </c>
    </row>
    <row r="13" spans="2:17">
      <c r="B13" s="15">
        <v>30</v>
      </c>
      <c r="C13" s="15">
        <v>2.5</v>
      </c>
      <c r="D13" s="15">
        <v>4</v>
      </c>
      <c r="E13" s="15">
        <f t="shared" si="2"/>
        <v>300</v>
      </c>
      <c r="H13" s="14" t="s">
        <v>327</v>
      </c>
      <c r="I13" s="15">
        <f>Q6</f>
        <v>335.625</v>
      </c>
      <c r="K13" s="14" t="s">
        <v>7</v>
      </c>
      <c r="L13" s="15">
        <f>SUM(F7-O8)</f>
        <v>14</v>
      </c>
    </row>
    <row r="14" spans="2:17">
      <c r="B14" s="15">
        <v>30</v>
      </c>
      <c r="C14" s="15">
        <v>2.5</v>
      </c>
      <c r="D14" s="15">
        <v>4</v>
      </c>
      <c r="E14" s="15">
        <f t="shared" si="2"/>
        <v>300</v>
      </c>
      <c r="H14" s="14" t="s">
        <v>328</v>
      </c>
      <c r="I14" s="15">
        <f>Q7</f>
        <v>1360</v>
      </c>
      <c r="K14" s="14" t="s">
        <v>8</v>
      </c>
      <c r="L14" s="15">
        <f>SUM(E7-O7)</f>
        <v>0</v>
      </c>
    </row>
    <row r="15" spans="2:17">
      <c r="B15" s="15">
        <v>30</v>
      </c>
      <c r="C15" s="15">
        <v>2.5</v>
      </c>
      <c r="D15" s="15">
        <v>4</v>
      </c>
      <c r="E15" s="15">
        <f t="shared" si="2"/>
        <v>300</v>
      </c>
      <c r="H15" s="14" t="s">
        <v>329</v>
      </c>
      <c r="I15" s="15">
        <f>Q8</f>
        <v>4659</v>
      </c>
    </row>
    <row r="16" spans="2:17">
      <c r="B16" s="15">
        <v>30</v>
      </c>
      <c r="C16" s="15">
        <v>2.5</v>
      </c>
      <c r="D16" s="15">
        <v>4</v>
      </c>
      <c r="E16" s="15">
        <f t="shared" si="2"/>
        <v>300</v>
      </c>
    </row>
    <row r="17" spans="2:17">
      <c r="B17" s="15">
        <v>120</v>
      </c>
      <c r="C17" s="15">
        <v>1.5</v>
      </c>
      <c r="D17" s="15">
        <v>4</v>
      </c>
      <c r="E17" s="15">
        <f t="shared" si="2"/>
        <v>720</v>
      </c>
      <c r="H17" s="59" t="s">
        <v>331</v>
      </c>
      <c r="I17" s="60"/>
      <c r="J17" s="60"/>
      <c r="K17" s="60"/>
      <c r="L17" s="60"/>
      <c r="M17" s="60"/>
      <c r="N17" s="60"/>
    </row>
    <row r="18" spans="2:17">
      <c r="B18" s="15" t="s">
        <v>105</v>
      </c>
      <c r="C18" s="15"/>
      <c r="D18" s="15"/>
      <c r="E18" s="15">
        <f>SUM(E11:E17)</f>
        <v>2520</v>
      </c>
      <c r="H18" s="14" t="s">
        <v>59</v>
      </c>
      <c r="I18" s="16" t="s">
        <v>103</v>
      </c>
      <c r="J18" s="16" t="s">
        <v>148</v>
      </c>
      <c r="K18" s="16" t="s">
        <v>106</v>
      </c>
      <c r="L18" s="16" t="s">
        <v>321</v>
      </c>
      <c r="M18" s="16" t="s">
        <v>322</v>
      </c>
      <c r="N18" s="31" t="s">
        <v>320</v>
      </c>
    </row>
    <row r="19" spans="2:17">
      <c r="B19" s="54" t="s">
        <v>24</v>
      </c>
      <c r="C19" s="55"/>
      <c r="D19" s="55"/>
      <c r="E19" s="56"/>
      <c r="H19" s="15" t="s">
        <v>332</v>
      </c>
      <c r="I19" s="15">
        <v>30</v>
      </c>
      <c r="J19" s="15" t="s">
        <v>149</v>
      </c>
      <c r="K19" s="15">
        <v>20</v>
      </c>
      <c r="L19" s="15">
        <v>45.12</v>
      </c>
      <c r="M19" s="15">
        <f>SUM(I19*L19)</f>
        <v>1353.6</v>
      </c>
      <c r="N19" s="15">
        <f>K19*L19</f>
        <v>902.4</v>
      </c>
    </row>
    <row r="20" spans="2:17">
      <c r="B20" s="15" t="s">
        <v>112</v>
      </c>
      <c r="C20" s="15" t="s">
        <v>113</v>
      </c>
      <c r="D20" s="15" t="s">
        <v>311</v>
      </c>
      <c r="E20" s="15" t="s">
        <v>114</v>
      </c>
      <c r="H20" s="15" t="s">
        <v>333</v>
      </c>
      <c r="I20" s="15">
        <v>12.5</v>
      </c>
      <c r="J20" s="15" t="s">
        <v>149</v>
      </c>
      <c r="K20" s="15">
        <v>22.5</v>
      </c>
      <c r="L20" s="15">
        <v>50.37</v>
      </c>
      <c r="M20" s="15">
        <f>SUM(I20*L20)</f>
        <v>629.625</v>
      </c>
      <c r="N20" s="15">
        <f>K20*L20</f>
        <v>1133.325</v>
      </c>
    </row>
    <row r="21" spans="2:17">
      <c r="B21" s="15">
        <v>30</v>
      </c>
      <c r="C21" s="15">
        <v>2.5</v>
      </c>
      <c r="D21" s="15">
        <v>4</v>
      </c>
      <c r="E21" s="15">
        <f>B21*C21*D21</f>
        <v>300</v>
      </c>
      <c r="H21" s="15" t="s">
        <v>122</v>
      </c>
      <c r="I21" s="15">
        <v>15</v>
      </c>
      <c r="J21" s="15" t="s">
        <v>65</v>
      </c>
      <c r="K21" s="15">
        <v>30</v>
      </c>
      <c r="L21" s="15">
        <v>22.39</v>
      </c>
      <c r="M21" s="15">
        <f>SUM(I21*L21)</f>
        <v>335.85</v>
      </c>
      <c r="N21" s="15">
        <f>K21*L21</f>
        <v>671.7</v>
      </c>
    </row>
    <row r="22" spans="2:17">
      <c r="B22" s="15">
        <v>60</v>
      </c>
      <c r="C22" s="15">
        <v>2.5</v>
      </c>
      <c r="D22" s="15">
        <v>4</v>
      </c>
      <c r="E22" s="15">
        <f t="shared" ref="E22" si="3">B22*C22*D22</f>
        <v>600</v>
      </c>
      <c r="H22" s="45" t="s">
        <v>72</v>
      </c>
      <c r="I22" s="45">
        <v>30</v>
      </c>
      <c r="J22" s="45" t="s">
        <v>62</v>
      </c>
      <c r="K22" s="45">
        <v>20</v>
      </c>
      <c r="L22" s="45">
        <v>155.30000000000001</v>
      </c>
      <c r="M22" s="15">
        <f>SUM(I22*L22)</f>
        <v>4659</v>
      </c>
      <c r="N22" s="15">
        <f>K22*L22</f>
        <v>3106</v>
      </c>
    </row>
    <row r="23" spans="2:17">
      <c r="B23" s="15" t="s">
        <v>105</v>
      </c>
      <c r="C23" s="15"/>
      <c r="D23" s="15"/>
      <c r="E23" s="15">
        <f>SUM(E21:E22)</f>
        <v>900</v>
      </c>
    </row>
    <row r="24" spans="2:17">
      <c r="B24" s="54" t="s">
        <v>8</v>
      </c>
      <c r="C24" s="55"/>
      <c r="D24" s="55"/>
      <c r="E24" s="56"/>
      <c r="H24" s="52" t="s">
        <v>334</v>
      </c>
      <c r="I24" s="53"/>
      <c r="K24" s="52" t="s">
        <v>335</v>
      </c>
      <c r="L24" s="53"/>
    </row>
    <row r="25" spans="2:17">
      <c r="B25" s="15" t="s">
        <v>112</v>
      </c>
      <c r="C25" s="15" t="s">
        <v>113</v>
      </c>
      <c r="D25" s="15" t="s">
        <v>311</v>
      </c>
      <c r="E25" s="15" t="s">
        <v>114</v>
      </c>
      <c r="H25" s="14" t="s">
        <v>332</v>
      </c>
      <c r="I25" s="15">
        <f>N19</f>
        <v>902.4</v>
      </c>
      <c r="K25" s="14" t="s">
        <v>149</v>
      </c>
      <c r="L25" s="15">
        <f>SUM(I12-(M19+M20))</f>
        <v>2.5000000000090949E-2</v>
      </c>
    </row>
    <row r="26" spans="2:17">
      <c r="B26" s="15">
        <v>60</v>
      </c>
      <c r="C26" s="15">
        <v>2.5</v>
      </c>
      <c r="D26" s="15">
        <v>4</v>
      </c>
      <c r="E26" s="15">
        <f>B26*C26*D26</f>
        <v>600</v>
      </c>
      <c r="H26" s="14" t="s">
        <v>122</v>
      </c>
      <c r="I26" s="15">
        <f>N20+N21</f>
        <v>1805.0250000000001</v>
      </c>
      <c r="K26" s="14" t="s">
        <v>65</v>
      </c>
      <c r="L26" s="15">
        <f>I13-M21</f>
        <v>-0.22500000000002274</v>
      </c>
    </row>
    <row r="27" spans="2:17">
      <c r="B27" s="15">
        <v>120</v>
      </c>
      <c r="C27" s="15">
        <v>1.5</v>
      </c>
      <c r="D27" s="15">
        <v>4</v>
      </c>
      <c r="E27" s="15">
        <f t="shared" ref="E27" si="4">B27*C27*D27</f>
        <v>720</v>
      </c>
      <c r="H27" s="14" t="s">
        <v>72</v>
      </c>
      <c r="I27" s="15">
        <f>N22</f>
        <v>3106</v>
      </c>
      <c r="K27" s="14" t="s">
        <v>62</v>
      </c>
      <c r="L27" s="15">
        <f>I15-M22</f>
        <v>0</v>
      </c>
    </row>
    <row r="28" spans="2:17">
      <c r="B28" s="15">
        <v>120</v>
      </c>
      <c r="C28" s="15">
        <v>1.5</v>
      </c>
      <c r="D28" s="15">
        <v>4</v>
      </c>
      <c r="E28" s="15">
        <f t="shared" ref="E28" si="5">B28*C28*D28</f>
        <v>720</v>
      </c>
      <c r="K28" s="14" t="s">
        <v>16</v>
      </c>
      <c r="L28" s="15">
        <f>I14</f>
        <v>1360</v>
      </c>
    </row>
    <row r="29" spans="2:17">
      <c r="B29" s="15" t="s">
        <v>105</v>
      </c>
      <c r="C29" s="15"/>
      <c r="D29" s="15"/>
      <c r="E29" s="15">
        <f>SUM(E26:E28)</f>
        <v>2040</v>
      </c>
    </row>
    <row r="30" spans="2:17">
      <c r="B30" s="54" t="s">
        <v>7</v>
      </c>
      <c r="C30" s="55"/>
      <c r="D30" s="55"/>
      <c r="E30" s="56"/>
      <c r="H30" s="59" t="s">
        <v>336</v>
      </c>
      <c r="I30" s="60"/>
      <c r="J30" s="60"/>
      <c r="K30" s="60"/>
      <c r="L30" s="60"/>
      <c r="M30" s="60"/>
      <c r="N30" s="60"/>
    </row>
    <row r="31" spans="2:17">
      <c r="B31" s="15" t="s">
        <v>112</v>
      </c>
      <c r="C31" s="15" t="s">
        <v>113</v>
      </c>
      <c r="D31" s="15" t="s">
        <v>311</v>
      </c>
      <c r="E31" s="15" t="s">
        <v>114</v>
      </c>
      <c r="H31" s="14" t="s">
        <v>59</v>
      </c>
      <c r="I31" s="16" t="s">
        <v>103</v>
      </c>
      <c r="J31" s="16" t="s">
        <v>148</v>
      </c>
      <c r="K31" s="16" t="s">
        <v>104</v>
      </c>
      <c r="L31" s="16" t="s">
        <v>150</v>
      </c>
      <c r="M31" s="16" t="s">
        <v>106</v>
      </c>
      <c r="N31" s="16" t="s">
        <v>321</v>
      </c>
      <c r="O31" s="16" t="s">
        <v>322</v>
      </c>
      <c r="P31" s="31" t="s">
        <v>323</v>
      </c>
      <c r="Q31" s="31" t="s">
        <v>320</v>
      </c>
    </row>
    <row r="32" spans="2:17">
      <c r="B32" s="15">
        <v>60</v>
      </c>
      <c r="C32" s="15">
        <v>2.5</v>
      </c>
      <c r="D32" s="15">
        <v>4</v>
      </c>
      <c r="E32" s="15">
        <f>B32*C32*D32</f>
        <v>600</v>
      </c>
      <c r="H32" s="15" t="s">
        <v>339</v>
      </c>
      <c r="I32" s="15">
        <v>37.5</v>
      </c>
      <c r="J32" s="15" t="s">
        <v>122</v>
      </c>
      <c r="K32" s="15">
        <v>18.75</v>
      </c>
      <c r="L32" s="15" t="s">
        <v>338</v>
      </c>
      <c r="M32" s="15">
        <v>5.625</v>
      </c>
      <c r="N32" s="15">
        <v>48.13</v>
      </c>
      <c r="O32" s="15">
        <f>SUM(I32*N32)</f>
        <v>1804.875</v>
      </c>
      <c r="P32" s="15">
        <f>K32*N32</f>
        <v>902.4375</v>
      </c>
      <c r="Q32" s="15">
        <f>M32*N32</f>
        <v>270.73124999999999</v>
      </c>
    </row>
    <row r="33" spans="2:17">
      <c r="B33" s="15">
        <v>60</v>
      </c>
      <c r="C33" s="15">
        <v>2.5</v>
      </c>
      <c r="D33" s="15">
        <v>4</v>
      </c>
      <c r="E33" s="15">
        <f t="shared" ref="E33" si="6">B33*C33*D33</f>
        <v>600</v>
      </c>
      <c r="H33" s="15" t="s">
        <v>337</v>
      </c>
      <c r="I33" s="15">
        <v>2</v>
      </c>
      <c r="J33" s="15" t="s">
        <v>339</v>
      </c>
      <c r="K33" s="15">
        <v>10</v>
      </c>
      <c r="L33" s="15" t="s">
        <v>6</v>
      </c>
      <c r="M33" s="15">
        <v>3</v>
      </c>
      <c r="N33" s="15">
        <v>50.37</v>
      </c>
      <c r="O33" s="15">
        <f t="shared" ref="O33:O34" si="7">SUM(I33*N33)</f>
        <v>100.74</v>
      </c>
      <c r="P33" s="15">
        <f t="shared" ref="P33:P34" si="8">K33*N33</f>
        <v>503.7</v>
      </c>
      <c r="Q33" s="15">
        <f t="shared" ref="Q33:Q34" si="9">M33*N33</f>
        <v>151.10999999999999</v>
      </c>
    </row>
    <row r="34" spans="2:17">
      <c r="B34" s="15">
        <v>60</v>
      </c>
      <c r="C34" s="15">
        <v>2.5</v>
      </c>
      <c r="D34" s="15">
        <v>4</v>
      </c>
      <c r="E34" s="15">
        <f t="shared" ref="E34:E35" si="10">B34*C34*D34</f>
        <v>600</v>
      </c>
      <c r="H34" s="15" t="s">
        <v>85</v>
      </c>
      <c r="I34" s="15">
        <v>28</v>
      </c>
      <c r="J34" s="15" t="s">
        <v>72</v>
      </c>
      <c r="K34" s="15">
        <v>20</v>
      </c>
      <c r="L34" s="15" t="s">
        <v>16</v>
      </c>
      <c r="M34" s="15">
        <v>4</v>
      </c>
      <c r="N34" s="15">
        <v>47.22</v>
      </c>
      <c r="O34" s="15">
        <f t="shared" si="7"/>
        <v>1322.1599999999999</v>
      </c>
      <c r="P34" s="15">
        <f t="shared" si="8"/>
        <v>944.4</v>
      </c>
      <c r="Q34" s="15">
        <f t="shared" si="9"/>
        <v>188.88</v>
      </c>
    </row>
    <row r="35" spans="2:17">
      <c r="B35" s="15">
        <v>60</v>
      </c>
      <c r="C35" s="15">
        <v>2.5</v>
      </c>
      <c r="D35" s="15">
        <v>4</v>
      </c>
      <c r="E35" s="15">
        <f t="shared" si="10"/>
        <v>600</v>
      </c>
    </row>
    <row r="36" spans="2:17">
      <c r="B36" s="15">
        <v>120</v>
      </c>
      <c r="C36" s="15">
        <v>1.5</v>
      </c>
      <c r="D36" s="15">
        <v>4</v>
      </c>
      <c r="E36" s="15">
        <f>B36*C36*D36</f>
        <v>720</v>
      </c>
      <c r="H36" s="52" t="s">
        <v>340</v>
      </c>
      <c r="I36" s="53"/>
      <c r="K36" s="52" t="s">
        <v>341</v>
      </c>
      <c r="L36" s="53"/>
    </row>
    <row r="37" spans="2:17">
      <c r="B37" s="15" t="s">
        <v>105</v>
      </c>
      <c r="C37" s="15"/>
      <c r="D37" s="15"/>
      <c r="E37" s="15">
        <f>SUM(E32:E36)</f>
        <v>3120</v>
      </c>
      <c r="H37" s="14" t="s">
        <v>343</v>
      </c>
      <c r="I37" s="15">
        <f>Q32-O33</f>
        <v>169.99124999999998</v>
      </c>
      <c r="K37" s="14" t="s">
        <v>338</v>
      </c>
      <c r="L37" s="15">
        <f>I25-P32</f>
        <v>-3.7500000000022737E-2</v>
      </c>
    </row>
    <row r="38" spans="2:17">
      <c r="H38" s="14" t="s">
        <v>337</v>
      </c>
      <c r="I38" s="15">
        <f>Q33</f>
        <v>151.10999999999999</v>
      </c>
      <c r="K38" s="14" t="s">
        <v>122</v>
      </c>
      <c r="L38" s="15">
        <f>I26-O32</f>
        <v>0.15000000000009095</v>
      </c>
    </row>
    <row r="39" spans="2:17">
      <c r="H39" s="14" t="s">
        <v>342</v>
      </c>
      <c r="I39" s="15">
        <f>Q34</f>
        <v>188.88</v>
      </c>
      <c r="K39" s="14" t="s">
        <v>72</v>
      </c>
      <c r="L39" s="15">
        <f>SUM(I27-(P33+O34))</f>
        <v>1280.1400000000001</v>
      </c>
    </row>
    <row r="40" spans="2:17">
      <c r="K40" s="14" t="s">
        <v>16</v>
      </c>
      <c r="L40" s="15">
        <f>L28-P34</f>
        <v>415.6</v>
      </c>
    </row>
    <row r="42" spans="2:17">
      <c r="B42" s="59" t="s">
        <v>344</v>
      </c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</row>
    <row r="43" spans="2:17">
      <c r="B43" s="14" t="s">
        <v>59</v>
      </c>
      <c r="C43" s="16" t="s">
        <v>103</v>
      </c>
      <c r="D43" s="16" t="s">
        <v>148</v>
      </c>
      <c r="E43" s="16" t="s">
        <v>104</v>
      </c>
      <c r="F43" s="16" t="s">
        <v>150</v>
      </c>
      <c r="G43" s="16" t="s">
        <v>346</v>
      </c>
      <c r="H43" s="16" t="s">
        <v>347</v>
      </c>
      <c r="I43" s="16" t="s">
        <v>348</v>
      </c>
      <c r="J43" s="16" t="s">
        <v>349</v>
      </c>
      <c r="K43" s="16" t="s">
        <v>106</v>
      </c>
      <c r="L43" s="16" t="s">
        <v>321</v>
      </c>
      <c r="M43" s="16" t="s">
        <v>322</v>
      </c>
      <c r="N43" s="31" t="s">
        <v>323</v>
      </c>
      <c r="O43" s="16" t="s">
        <v>350</v>
      </c>
      <c r="P43" s="31" t="s">
        <v>351</v>
      </c>
      <c r="Q43" s="31" t="s">
        <v>320</v>
      </c>
    </row>
    <row r="44" spans="2:17">
      <c r="B44" s="15" t="s">
        <v>345</v>
      </c>
      <c r="C44" s="15">
        <v>7.5</v>
      </c>
      <c r="D44" s="15" t="s">
        <v>337</v>
      </c>
      <c r="E44" s="15">
        <v>9.375</v>
      </c>
      <c r="F44" s="15" t="s">
        <v>342</v>
      </c>
      <c r="G44" s="15">
        <v>20.625</v>
      </c>
      <c r="H44" s="15" t="s">
        <v>16</v>
      </c>
      <c r="I44" s="15">
        <v>33.75</v>
      </c>
      <c r="J44" s="15" t="s">
        <v>72</v>
      </c>
      <c r="K44" s="15">
        <v>2.8125</v>
      </c>
      <c r="L44" s="15">
        <v>20.149999999999999</v>
      </c>
      <c r="M44" s="15">
        <f>SUM(C44*L44)</f>
        <v>151.125</v>
      </c>
      <c r="N44" s="15">
        <f>E44*L44</f>
        <v>188.90625</v>
      </c>
      <c r="O44" s="15">
        <f>SUM(G44*L44)</f>
        <v>415.59374999999994</v>
      </c>
      <c r="P44" s="15">
        <f>I44*L44</f>
        <v>680.0625</v>
      </c>
      <c r="Q44" s="15">
        <f>K44*L44</f>
        <v>56.671874999999993</v>
      </c>
    </row>
    <row r="46" spans="2:17">
      <c r="B46" s="52" t="s">
        <v>352</v>
      </c>
      <c r="C46" s="53"/>
      <c r="E46" s="52" t="s">
        <v>353</v>
      </c>
      <c r="F46" s="53"/>
    </row>
    <row r="47" spans="2:17">
      <c r="B47" s="14" t="s">
        <v>343</v>
      </c>
      <c r="C47" s="75">
        <f>F60</f>
        <v>169.99124999999998</v>
      </c>
      <c r="E47" s="14" t="s">
        <v>1</v>
      </c>
      <c r="F47" s="15">
        <f>L11</f>
        <v>44.650000000000091</v>
      </c>
    </row>
    <row r="48" spans="2:17">
      <c r="B48" s="14" t="s">
        <v>72</v>
      </c>
      <c r="C48" s="75">
        <f>F59</f>
        <v>600.0775000000001</v>
      </c>
      <c r="E48" s="14" t="s">
        <v>4</v>
      </c>
      <c r="F48" s="15">
        <f>L12</f>
        <v>0.14999999999997726</v>
      </c>
    </row>
    <row r="49" spans="2:6">
      <c r="B49" s="14" t="s">
        <v>88</v>
      </c>
      <c r="C49" s="75">
        <f>Q44</f>
        <v>56.671874999999993</v>
      </c>
      <c r="E49" s="14" t="s">
        <v>7</v>
      </c>
      <c r="F49" s="15">
        <f>L13</f>
        <v>14</v>
      </c>
    </row>
    <row r="50" spans="2:6">
      <c r="E50" s="14" t="s">
        <v>8</v>
      </c>
      <c r="F50" s="15">
        <f>L14</f>
        <v>0</v>
      </c>
    </row>
    <row r="51" spans="2:6">
      <c r="E51" s="14" t="s">
        <v>149</v>
      </c>
      <c r="F51" s="15">
        <f>L25</f>
        <v>2.5000000000090949E-2</v>
      </c>
    </row>
    <row r="52" spans="2:6">
      <c r="E52" s="14" t="s">
        <v>65</v>
      </c>
      <c r="F52" s="15">
        <f>L26</f>
        <v>-0.22500000000002274</v>
      </c>
    </row>
    <row r="53" spans="2:6">
      <c r="E53" s="14" t="s">
        <v>62</v>
      </c>
      <c r="F53" s="15">
        <f>L27</f>
        <v>0</v>
      </c>
    </row>
    <row r="54" spans="2:6">
      <c r="E54" s="14" t="s">
        <v>16</v>
      </c>
      <c r="F54" s="15">
        <f>L40-O44</f>
        <v>6.2500000000795808E-3</v>
      </c>
    </row>
    <row r="55" spans="2:6">
      <c r="E55" s="14" t="s">
        <v>338</v>
      </c>
      <c r="F55" s="15">
        <f>L37</f>
        <v>-3.7500000000022737E-2</v>
      </c>
    </row>
    <row r="56" spans="2:6">
      <c r="E56" s="14" t="s">
        <v>122</v>
      </c>
      <c r="F56" s="15">
        <f>L38</f>
        <v>0.15000000000009095</v>
      </c>
    </row>
    <row r="57" spans="2:6">
      <c r="E57" s="14" t="s">
        <v>337</v>
      </c>
      <c r="F57" s="15">
        <f>I38-M44</f>
        <v>-1.5000000000014779E-2</v>
      </c>
    </row>
    <row r="58" spans="2:6">
      <c r="E58" s="14" t="s">
        <v>342</v>
      </c>
      <c r="F58" s="15">
        <f>I39-N44</f>
        <v>-2.6250000000004547E-2</v>
      </c>
    </row>
    <row r="59" spans="2:6">
      <c r="E59" s="14" t="s">
        <v>72</v>
      </c>
      <c r="F59" s="15">
        <f>L39-P44</f>
        <v>600.0775000000001</v>
      </c>
    </row>
    <row r="60" spans="2:6">
      <c r="E60" s="14" t="s">
        <v>343</v>
      </c>
      <c r="F60" s="15">
        <f>I37</f>
        <v>169.99124999999998</v>
      </c>
    </row>
  </sheetData>
  <mergeCells count="18">
    <mergeCell ref="B19:E19"/>
    <mergeCell ref="B24:E24"/>
    <mergeCell ref="B30:E30"/>
    <mergeCell ref="B2:F2"/>
    <mergeCell ref="B8:E8"/>
    <mergeCell ref="B9:E9"/>
    <mergeCell ref="H17:N17"/>
    <mergeCell ref="H24:I24"/>
    <mergeCell ref="K24:L24"/>
    <mergeCell ref="H2:Q2"/>
    <mergeCell ref="H10:I10"/>
    <mergeCell ref="K10:L10"/>
    <mergeCell ref="B46:C46"/>
    <mergeCell ref="E46:F46"/>
    <mergeCell ref="B42:Q42"/>
    <mergeCell ref="H30:N30"/>
    <mergeCell ref="H36:I36"/>
    <mergeCell ref="K36:L36"/>
  </mergeCells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8995F-0120-482A-8124-986E8EA27808}">
  <dimension ref="B2:Y65"/>
  <sheetViews>
    <sheetView topLeftCell="D40" zoomScale="85" zoomScaleNormal="85" workbookViewId="0">
      <selection activeCell="Q84" sqref="Q83:Q84"/>
    </sheetView>
  </sheetViews>
  <sheetFormatPr defaultRowHeight="15"/>
  <cols>
    <col min="2" max="2" width="14.5703125" bestFit="1" customWidth="1"/>
    <col min="5" max="5" width="12.140625" bestFit="1" customWidth="1"/>
    <col min="9" max="9" width="29.85546875" customWidth="1"/>
    <col min="10" max="10" width="8.42578125" bestFit="1" customWidth="1"/>
    <col min="11" max="11" width="17.28515625" bestFit="1" customWidth="1"/>
    <col min="12" max="12" width="15.42578125" bestFit="1" customWidth="1"/>
    <col min="13" max="13" width="18.140625" bestFit="1" customWidth="1"/>
    <col min="14" max="14" width="13.85546875" bestFit="1" customWidth="1"/>
    <col min="15" max="15" width="18.140625" bestFit="1" customWidth="1"/>
    <col min="16" max="16" width="15.5703125" bestFit="1" customWidth="1"/>
    <col min="17" max="17" width="15.42578125" bestFit="1" customWidth="1"/>
    <col min="18" max="18" width="15.5703125" bestFit="1" customWidth="1"/>
    <col min="19" max="20" width="17.28515625" bestFit="1" customWidth="1"/>
    <col min="21" max="21" width="15.5703125" bestFit="1" customWidth="1"/>
    <col min="22" max="22" width="16.28515625" bestFit="1" customWidth="1"/>
    <col min="23" max="23" width="13.7109375" bestFit="1" customWidth="1"/>
    <col min="24" max="24" width="12.28515625" bestFit="1" customWidth="1"/>
    <col min="25" max="25" width="8.85546875" bestFit="1" customWidth="1"/>
  </cols>
  <sheetData>
    <row r="2" spans="2:22">
      <c r="B2" s="57" t="s">
        <v>162</v>
      </c>
      <c r="C2" s="58"/>
      <c r="D2" s="58"/>
      <c r="E2" s="58"/>
      <c r="F2" s="58"/>
      <c r="G2" s="46"/>
      <c r="I2" s="59" t="s">
        <v>312</v>
      </c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</row>
    <row r="3" spans="2:22">
      <c r="B3" s="14" t="s">
        <v>59</v>
      </c>
      <c r="C3" s="14" t="s">
        <v>24</v>
      </c>
      <c r="D3" s="14" t="s">
        <v>358</v>
      </c>
      <c r="E3" s="14" t="s">
        <v>359</v>
      </c>
      <c r="F3" s="14" t="s">
        <v>17</v>
      </c>
      <c r="G3" s="29" t="s">
        <v>10</v>
      </c>
      <c r="I3" s="14" t="s">
        <v>59</v>
      </c>
      <c r="J3" s="16" t="s">
        <v>103</v>
      </c>
      <c r="K3" s="16" t="s">
        <v>148</v>
      </c>
      <c r="L3" s="16" t="s">
        <v>104</v>
      </c>
      <c r="M3" s="16" t="s">
        <v>150</v>
      </c>
      <c r="N3" s="16" t="s">
        <v>322</v>
      </c>
      <c r="O3" s="31" t="s">
        <v>323</v>
      </c>
      <c r="P3" s="16" t="s">
        <v>321</v>
      </c>
      <c r="Q3" s="16" t="s">
        <v>366</v>
      </c>
      <c r="R3" s="16" t="s">
        <v>363</v>
      </c>
      <c r="S3" s="31" t="s">
        <v>362</v>
      </c>
      <c r="T3" s="16" t="s">
        <v>367</v>
      </c>
      <c r="U3" s="16" t="s">
        <v>364</v>
      </c>
      <c r="V3" s="31" t="s">
        <v>365</v>
      </c>
    </row>
    <row r="4" spans="2:22">
      <c r="B4" s="15" t="s">
        <v>57</v>
      </c>
      <c r="C4" s="15">
        <v>0</v>
      </c>
      <c r="D4" s="15">
        <v>0</v>
      </c>
      <c r="E4" s="15">
        <v>0</v>
      </c>
      <c r="F4" s="15">
        <v>0</v>
      </c>
      <c r="G4" s="15"/>
      <c r="I4" s="15" t="s">
        <v>360</v>
      </c>
      <c r="J4" s="15">
        <v>15</v>
      </c>
      <c r="K4" s="15" t="s">
        <v>4</v>
      </c>
      <c r="L4" s="15">
        <v>10</v>
      </c>
      <c r="M4" s="15" t="s">
        <v>10</v>
      </c>
      <c r="N4" s="15">
        <f>SUM(J4*P4)</f>
        <v>600</v>
      </c>
      <c r="O4" s="15">
        <f>L4*R4</f>
        <v>375</v>
      </c>
      <c r="P4" s="15">
        <v>40</v>
      </c>
      <c r="Q4" s="15" t="s">
        <v>65</v>
      </c>
      <c r="R4" s="15">
        <v>37.5</v>
      </c>
      <c r="S4" s="15">
        <f>R4*P4</f>
        <v>1500</v>
      </c>
      <c r="T4" s="15"/>
      <c r="U4" s="15"/>
      <c r="V4" s="15"/>
    </row>
    <row r="5" spans="2:22">
      <c r="B5" s="15" t="s">
        <v>56</v>
      </c>
      <c r="C5" s="15">
        <v>1</v>
      </c>
      <c r="D5" s="15">
        <v>1</v>
      </c>
      <c r="E5" s="15">
        <v>2</v>
      </c>
      <c r="F5" s="15">
        <v>2</v>
      </c>
      <c r="G5" s="15">
        <v>36</v>
      </c>
      <c r="I5" s="15" t="s">
        <v>361</v>
      </c>
      <c r="J5" s="15">
        <v>60</v>
      </c>
      <c r="K5" s="15" t="s">
        <v>9</v>
      </c>
      <c r="L5" s="15"/>
      <c r="M5" s="15"/>
      <c r="N5" s="15">
        <f>SUM(J5*P5)</f>
        <v>738.6</v>
      </c>
      <c r="O5" s="15"/>
      <c r="P5" s="15">
        <v>12.31</v>
      </c>
      <c r="Q5" s="15" t="s">
        <v>368</v>
      </c>
      <c r="R5" s="15">
        <v>130</v>
      </c>
      <c r="S5" s="15">
        <f>R5*P5</f>
        <v>1600.3</v>
      </c>
      <c r="T5" s="15" t="s">
        <v>369</v>
      </c>
      <c r="U5" s="15">
        <v>20</v>
      </c>
      <c r="V5" s="15">
        <f>U5*P5</f>
        <v>246.20000000000002</v>
      </c>
    </row>
    <row r="6" spans="2:22">
      <c r="B6" s="15" t="s">
        <v>55</v>
      </c>
      <c r="C6" s="15">
        <v>0</v>
      </c>
      <c r="D6" s="15">
        <v>2</v>
      </c>
      <c r="E6" s="15">
        <v>2</v>
      </c>
      <c r="F6" s="15">
        <v>0</v>
      </c>
      <c r="G6" s="15"/>
      <c r="I6" s="15" t="s">
        <v>370</v>
      </c>
      <c r="J6" s="15">
        <v>30</v>
      </c>
      <c r="K6" s="15" t="s">
        <v>9</v>
      </c>
      <c r="L6" s="15"/>
      <c r="M6" s="15"/>
      <c r="N6" s="15">
        <f>SUM(J6*P6)</f>
        <v>864.3</v>
      </c>
      <c r="O6" s="15"/>
      <c r="P6" s="15">
        <v>28.81</v>
      </c>
      <c r="Q6" s="15" t="s">
        <v>368</v>
      </c>
      <c r="R6" s="15">
        <v>20</v>
      </c>
      <c r="S6" s="15">
        <f>R6*P6</f>
        <v>576.19999999999993</v>
      </c>
      <c r="T6" s="15" t="s">
        <v>369</v>
      </c>
      <c r="U6" s="15">
        <v>40</v>
      </c>
      <c r="V6" s="15">
        <f>U6*P6</f>
        <v>1152.3999999999999</v>
      </c>
    </row>
    <row r="7" spans="2:22">
      <c r="B7" s="15" t="s">
        <v>67</v>
      </c>
      <c r="C7" s="15">
        <f>E12</f>
        <v>600</v>
      </c>
      <c r="D7" s="15">
        <f>E18</f>
        <v>2160</v>
      </c>
      <c r="E7" s="15">
        <f>E25</f>
        <v>1800</v>
      </c>
      <c r="F7" s="15">
        <f>E30</f>
        <v>1200</v>
      </c>
      <c r="G7" s="15">
        <v>4320</v>
      </c>
      <c r="I7" s="15" t="s">
        <v>371</v>
      </c>
      <c r="J7" s="15">
        <v>30</v>
      </c>
      <c r="K7" s="15" t="s">
        <v>9</v>
      </c>
      <c r="L7" s="15"/>
      <c r="M7" s="15"/>
      <c r="N7" s="15">
        <f>SUM(J7*P7)</f>
        <v>197.10000000000002</v>
      </c>
      <c r="O7" s="15"/>
      <c r="P7" s="15">
        <v>6.57</v>
      </c>
      <c r="Q7" s="15" t="s">
        <v>11</v>
      </c>
      <c r="R7" s="15">
        <v>20</v>
      </c>
      <c r="S7" s="15">
        <f>R7*P7</f>
        <v>131.4</v>
      </c>
      <c r="T7" s="15" t="s">
        <v>369</v>
      </c>
      <c r="U7" s="15">
        <v>10</v>
      </c>
      <c r="V7" s="15">
        <f>U7*P7</f>
        <v>65.7</v>
      </c>
    </row>
    <row r="8" spans="2:22">
      <c r="B8" s="52" t="s">
        <v>111</v>
      </c>
      <c r="C8" s="53"/>
      <c r="D8" s="53"/>
      <c r="E8" s="53"/>
      <c r="I8" s="15" t="s">
        <v>372</v>
      </c>
      <c r="J8" s="15">
        <v>200</v>
      </c>
      <c r="K8" s="15" t="s">
        <v>373</v>
      </c>
      <c r="L8" s="15">
        <v>200</v>
      </c>
      <c r="M8" s="15" t="s">
        <v>10</v>
      </c>
      <c r="N8" s="15">
        <f>SUM(J8*P8)</f>
        <v>2160</v>
      </c>
      <c r="O8" s="15">
        <f>L8*P8</f>
        <v>2160</v>
      </c>
      <c r="P8" s="15">
        <v>10.8</v>
      </c>
      <c r="Q8" s="15" t="s">
        <v>374</v>
      </c>
      <c r="R8" s="15">
        <v>240</v>
      </c>
      <c r="S8" s="15">
        <f>R8*P8</f>
        <v>2592</v>
      </c>
      <c r="T8" s="15"/>
      <c r="U8" s="15"/>
      <c r="V8" s="15"/>
    </row>
    <row r="9" spans="2:22">
      <c r="B9" s="54" t="s">
        <v>24</v>
      </c>
      <c r="C9" s="55"/>
      <c r="D9" s="55"/>
      <c r="E9" s="56"/>
    </row>
    <row r="10" spans="2:22">
      <c r="B10" s="15" t="s">
        <v>112</v>
      </c>
      <c r="C10" s="15" t="s">
        <v>113</v>
      </c>
      <c r="D10" s="15" t="s">
        <v>311</v>
      </c>
      <c r="E10" s="15" t="s">
        <v>114</v>
      </c>
      <c r="I10" s="52" t="s">
        <v>325</v>
      </c>
      <c r="J10" s="53"/>
      <c r="L10" s="52" t="s">
        <v>353</v>
      </c>
      <c r="M10" s="53"/>
    </row>
    <row r="11" spans="2:22">
      <c r="B11" s="15">
        <v>60</v>
      </c>
      <c r="C11" s="15">
        <v>2.5</v>
      </c>
      <c r="D11" s="15">
        <v>4</v>
      </c>
      <c r="E11" s="15">
        <f>B11*C11*D11</f>
        <v>600</v>
      </c>
      <c r="I11" s="14" t="s">
        <v>327</v>
      </c>
      <c r="J11" s="15">
        <f>S4</f>
        <v>1500</v>
      </c>
      <c r="L11" s="14" t="s">
        <v>4</v>
      </c>
      <c r="M11" s="15">
        <f>SUM(C7-N4)</f>
        <v>0</v>
      </c>
    </row>
    <row r="12" spans="2:22">
      <c r="B12" s="15" t="s">
        <v>105</v>
      </c>
      <c r="C12" s="15"/>
      <c r="D12" s="15"/>
      <c r="E12" s="15">
        <f>SUM(E11:E11)</f>
        <v>600</v>
      </c>
      <c r="I12" s="14" t="s">
        <v>375</v>
      </c>
      <c r="J12" s="15">
        <f>S5+S6</f>
        <v>2176.5</v>
      </c>
      <c r="L12" s="14" t="s">
        <v>9</v>
      </c>
      <c r="M12" s="15">
        <f>SUM(E7-(N5+N6+N7))</f>
        <v>0</v>
      </c>
    </row>
    <row r="13" spans="2:22">
      <c r="B13" s="54" t="s">
        <v>358</v>
      </c>
      <c r="C13" s="55"/>
      <c r="D13" s="55"/>
      <c r="E13" s="56"/>
      <c r="I13" s="14" t="s">
        <v>376</v>
      </c>
      <c r="J13" s="15">
        <f>SUM(V5:V7)</f>
        <v>1464.3</v>
      </c>
      <c r="L13" s="14" t="s">
        <v>358</v>
      </c>
      <c r="M13" s="15">
        <f>SUM(D7-N8)</f>
        <v>0</v>
      </c>
    </row>
    <row r="14" spans="2:22">
      <c r="B14" s="15" t="s">
        <v>112</v>
      </c>
      <c r="C14" s="15" t="s">
        <v>113</v>
      </c>
      <c r="D14" s="15" t="s">
        <v>311</v>
      </c>
      <c r="E14" s="15" t="s">
        <v>114</v>
      </c>
      <c r="I14" s="14" t="s">
        <v>377</v>
      </c>
      <c r="J14" s="15">
        <f>S7</f>
        <v>131.4</v>
      </c>
      <c r="L14" s="14" t="s">
        <v>17</v>
      </c>
      <c r="M14" s="15">
        <f>F7</f>
        <v>1200</v>
      </c>
    </row>
    <row r="15" spans="2:22">
      <c r="B15" s="15">
        <v>60</v>
      </c>
      <c r="C15" s="15">
        <v>2.5</v>
      </c>
      <c r="D15" s="15">
        <v>4</v>
      </c>
      <c r="E15" s="15">
        <f>B15*C15*D15</f>
        <v>600</v>
      </c>
      <c r="I15" s="14" t="s">
        <v>378</v>
      </c>
      <c r="J15" s="15">
        <f>S8</f>
        <v>2592</v>
      </c>
      <c r="L15" s="47" t="s">
        <v>10</v>
      </c>
      <c r="M15" s="15">
        <f>SUM(G7-(O4+O8))</f>
        <v>1785</v>
      </c>
    </row>
    <row r="16" spans="2:22">
      <c r="B16" s="15">
        <v>120</v>
      </c>
      <c r="C16" s="15">
        <v>2</v>
      </c>
      <c r="D16" s="15">
        <v>4</v>
      </c>
      <c r="E16" s="15">
        <f>B16*C16*D16</f>
        <v>960</v>
      </c>
    </row>
    <row r="17" spans="2:22">
      <c r="B17" s="15">
        <v>120</v>
      </c>
      <c r="C17" s="15">
        <v>2</v>
      </c>
      <c r="D17" s="15">
        <v>4</v>
      </c>
      <c r="E17" s="15">
        <f t="shared" ref="E17" si="0">B17*C17*D17</f>
        <v>960</v>
      </c>
      <c r="I17" s="59" t="s">
        <v>331</v>
      </c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</row>
    <row r="18" spans="2:22">
      <c r="B18" s="15" t="s">
        <v>105</v>
      </c>
      <c r="C18" s="15"/>
      <c r="D18" s="15"/>
      <c r="E18" s="15">
        <f>SUM(SUM(E15:E17)-360)</f>
        <v>2160</v>
      </c>
      <c r="I18" s="14" t="s">
        <v>59</v>
      </c>
      <c r="J18" s="16" t="s">
        <v>103</v>
      </c>
      <c r="K18" s="16" t="s">
        <v>148</v>
      </c>
      <c r="L18" s="16" t="s">
        <v>104</v>
      </c>
      <c r="M18" s="16" t="s">
        <v>150</v>
      </c>
      <c r="N18" s="16" t="s">
        <v>322</v>
      </c>
      <c r="O18" s="31" t="s">
        <v>323</v>
      </c>
      <c r="P18" s="16" t="s">
        <v>321</v>
      </c>
      <c r="Q18" s="16" t="s">
        <v>366</v>
      </c>
      <c r="R18" s="16" t="s">
        <v>363</v>
      </c>
      <c r="S18" s="31" t="s">
        <v>362</v>
      </c>
      <c r="T18" s="31" t="s">
        <v>367</v>
      </c>
      <c r="U18" s="31" t="s">
        <v>394</v>
      </c>
      <c r="V18" s="31" t="s">
        <v>365</v>
      </c>
    </row>
    <row r="19" spans="2:22">
      <c r="B19" s="54" t="s">
        <v>359</v>
      </c>
      <c r="C19" s="55"/>
      <c r="D19" s="55"/>
      <c r="E19" s="56"/>
      <c r="I19" s="15" t="s">
        <v>379</v>
      </c>
      <c r="J19" s="15">
        <v>80</v>
      </c>
      <c r="K19" s="15" t="s">
        <v>368</v>
      </c>
      <c r="L19" s="15">
        <v>50</v>
      </c>
      <c r="M19" s="15" t="s">
        <v>10</v>
      </c>
      <c r="N19" s="15">
        <f>SUM(J19*P19)</f>
        <v>1600</v>
      </c>
      <c r="O19" s="15">
        <f>L19*P19</f>
        <v>1000</v>
      </c>
      <c r="P19" s="15">
        <v>20</v>
      </c>
      <c r="Q19" s="15" t="s">
        <v>120</v>
      </c>
      <c r="R19" s="15">
        <v>5</v>
      </c>
      <c r="S19" s="15">
        <f>R19*P19</f>
        <v>100</v>
      </c>
      <c r="T19" s="15"/>
      <c r="U19" s="15"/>
      <c r="V19" s="15"/>
    </row>
    <row r="20" spans="2:22">
      <c r="B20" s="15" t="s">
        <v>112</v>
      </c>
      <c r="C20" s="15" t="s">
        <v>113</v>
      </c>
      <c r="D20" s="15" t="s">
        <v>311</v>
      </c>
      <c r="E20" s="15" t="s">
        <v>114</v>
      </c>
      <c r="I20" s="15" t="s">
        <v>380</v>
      </c>
      <c r="J20" s="15">
        <v>60</v>
      </c>
      <c r="K20" s="15" t="s">
        <v>368</v>
      </c>
      <c r="L20" s="15">
        <v>20</v>
      </c>
      <c r="M20" s="15" t="s">
        <v>10</v>
      </c>
      <c r="N20" s="15">
        <f>SUM(J20*P20)</f>
        <v>576</v>
      </c>
      <c r="O20" s="15">
        <f>L20*P20</f>
        <v>192</v>
      </c>
      <c r="P20" s="15">
        <v>9.6</v>
      </c>
      <c r="Q20" s="15" t="s">
        <v>11</v>
      </c>
      <c r="R20" s="15">
        <v>20</v>
      </c>
      <c r="S20" s="15">
        <f>R20*P20</f>
        <v>192</v>
      </c>
      <c r="T20" s="15"/>
      <c r="U20" s="15"/>
      <c r="V20" s="15"/>
    </row>
    <row r="21" spans="2:22">
      <c r="B21" s="15">
        <v>60</v>
      </c>
      <c r="C21" s="15">
        <v>2.5</v>
      </c>
      <c r="D21" s="15">
        <v>2</v>
      </c>
      <c r="E21" s="15">
        <f>B21*C21*D21</f>
        <v>300</v>
      </c>
      <c r="I21" s="15" t="s">
        <v>381</v>
      </c>
      <c r="J21" s="15">
        <v>40</v>
      </c>
      <c r="K21" s="15" t="s">
        <v>369</v>
      </c>
      <c r="L21" s="15"/>
      <c r="M21" s="15"/>
      <c r="N21" s="15">
        <f>SUM(J21*P21)</f>
        <v>278.39999999999998</v>
      </c>
      <c r="O21" s="15"/>
      <c r="P21" s="15">
        <v>6.96</v>
      </c>
      <c r="Q21" s="15" t="s">
        <v>381</v>
      </c>
      <c r="R21" s="15">
        <v>120</v>
      </c>
      <c r="S21" s="15">
        <f>R21*P21</f>
        <v>835.2</v>
      </c>
      <c r="T21" s="15"/>
      <c r="U21" s="15"/>
      <c r="V21" s="15"/>
    </row>
    <row r="22" spans="2:22">
      <c r="B22" s="15">
        <v>60</v>
      </c>
      <c r="C22" s="15">
        <v>2.5</v>
      </c>
      <c r="D22" s="15">
        <v>2</v>
      </c>
      <c r="E22" s="15">
        <f>B22*C22*D22</f>
        <v>300</v>
      </c>
      <c r="I22" s="15" t="s">
        <v>382</v>
      </c>
      <c r="J22" s="15">
        <v>180</v>
      </c>
      <c r="K22" s="15" t="s">
        <v>374</v>
      </c>
      <c r="L22" s="15">
        <v>60</v>
      </c>
      <c r="M22" s="15" t="s">
        <v>381</v>
      </c>
      <c r="N22" s="15">
        <f>SUM(J22*P22)</f>
        <v>2505.6</v>
      </c>
      <c r="O22" s="15">
        <f>L22*P22</f>
        <v>835.2</v>
      </c>
      <c r="P22" s="15">
        <v>13.92</v>
      </c>
      <c r="Q22" s="15" t="s">
        <v>132</v>
      </c>
      <c r="R22" s="15">
        <v>300</v>
      </c>
      <c r="S22" s="15">
        <f>R22*P22</f>
        <v>4176</v>
      </c>
      <c r="T22" s="15" t="s">
        <v>10</v>
      </c>
      <c r="U22" s="15">
        <v>105</v>
      </c>
      <c r="V22" s="15">
        <f>P22*U22</f>
        <v>1461.6</v>
      </c>
    </row>
    <row r="23" spans="2:22">
      <c r="B23" s="15">
        <v>120</v>
      </c>
      <c r="C23" s="15">
        <v>2.5</v>
      </c>
      <c r="D23" s="15">
        <v>2</v>
      </c>
      <c r="E23" s="15">
        <f>B23*C23*D23</f>
        <v>600</v>
      </c>
      <c r="I23" s="15" t="s">
        <v>383</v>
      </c>
      <c r="J23" s="15">
        <v>60</v>
      </c>
      <c r="K23" s="15" t="s">
        <v>132</v>
      </c>
      <c r="L23" s="15"/>
      <c r="M23" s="15"/>
      <c r="N23" s="15">
        <f>SUM(J23*P23)</f>
        <v>4176</v>
      </c>
      <c r="O23" s="15"/>
      <c r="P23" s="15">
        <v>69.599999999999994</v>
      </c>
      <c r="Q23" s="15" t="s">
        <v>133</v>
      </c>
      <c r="R23" s="15">
        <v>30</v>
      </c>
      <c r="S23" s="15">
        <f>R23*P23</f>
        <v>2088</v>
      </c>
      <c r="T23" s="15"/>
      <c r="U23" s="15"/>
      <c r="V23" s="15"/>
    </row>
    <row r="24" spans="2:22">
      <c r="B24" s="15">
        <v>120</v>
      </c>
      <c r="C24" s="15">
        <v>2.5</v>
      </c>
      <c r="D24" s="15">
        <v>2</v>
      </c>
      <c r="E24" s="15">
        <f t="shared" ref="E24" si="1">B24*C24*D24</f>
        <v>600</v>
      </c>
    </row>
    <row r="25" spans="2:22">
      <c r="B25" s="15" t="s">
        <v>105</v>
      </c>
      <c r="C25" s="15"/>
      <c r="D25" s="15"/>
      <c r="E25" s="15">
        <f>SUM(E21:E24)</f>
        <v>1800</v>
      </c>
      <c r="I25" s="52" t="s">
        <v>334</v>
      </c>
      <c r="J25" s="53"/>
      <c r="L25" s="52" t="s">
        <v>353</v>
      </c>
      <c r="M25" s="53"/>
    </row>
    <row r="26" spans="2:22">
      <c r="B26" s="54" t="s">
        <v>17</v>
      </c>
      <c r="C26" s="55"/>
      <c r="D26" s="55"/>
      <c r="E26" s="56"/>
      <c r="I26" s="14" t="s">
        <v>120</v>
      </c>
      <c r="J26" s="15">
        <f>S19</f>
        <v>100</v>
      </c>
      <c r="L26" s="14" t="s">
        <v>368</v>
      </c>
      <c r="M26" s="15">
        <f>SUM(J12-(N19+N20))</f>
        <v>0.5</v>
      </c>
    </row>
    <row r="27" spans="2:22">
      <c r="B27" s="15" t="s">
        <v>112</v>
      </c>
      <c r="C27" s="15" t="s">
        <v>113</v>
      </c>
      <c r="D27" s="15" t="s">
        <v>311</v>
      </c>
      <c r="E27" s="15" t="s">
        <v>114</v>
      </c>
      <c r="I27" s="14" t="s">
        <v>11</v>
      </c>
      <c r="J27" s="15">
        <f>S20+J14</f>
        <v>323.39999999999998</v>
      </c>
      <c r="L27" s="14" t="s">
        <v>384</v>
      </c>
      <c r="M27" s="15">
        <f>J13-N21</f>
        <v>1185.9000000000001</v>
      </c>
    </row>
    <row r="28" spans="2:22">
      <c r="B28" s="15">
        <v>60</v>
      </c>
      <c r="C28" s="15">
        <v>2.5</v>
      </c>
      <c r="D28" s="15">
        <v>4</v>
      </c>
      <c r="E28" s="15">
        <f>B28*C28*D28</f>
        <v>600</v>
      </c>
      <c r="I28" s="14" t="s">
        <v>133</v>
      </c>
      <c r="J28" s="15">
        <f>S23</f>
        <v>2088</v>
      </c>
      <c r="L28" s="14" t="s">
        <v>385</v>
      </c>
      <c r="M28" s="15">
        <f>S22-N23</f>
        <v>0</v>
      </c>
    </row>
    <row r="29" spans="2:22">
      <c r="B29" s="15">
        <v>60</v>
      </c>
      <c r="C29" s="15">
        <v>2.5</v>
      </c>
      <c r="D29" s="15">
        <v>4</v>
      </c>
      <c r="E29" s="15">
        <f>B29*C29*D29</f>
        <v>600</v>
      </c>
      <c r="L29" s="14" t="s">
        <v>381</v>
      </c>
      <c r="M29" s="15">
        <f>S21-O22</f>
        <v>0</v>
      </c>
    </row>
    <row r="30" spans="2:22">
      <c r="B30" s="15" t="s">
        <v>105</v>
      </c>
      <c r="C30" s="15"/>
      <c r="D30" s="15"/>
      <c r="E30" s="15">
        <f>SUM(E28:E29)</f>
        <v>1200</v>
      </c>
      <c r="L30" s="14" t="s">
        <v>17</v>
      </c>
      <c r="M30" s="15">
        <f>F7</f>
        <v>1200</v>
      </c>
    </row>
    <row r="31" spans="2:22">
      <c r="L31" s="14" t="s">
        <v>378</v>
      </c>
      <c r="M31" s="15">
        <f>J15-N22</f>
        <v>86.400000000000091</v>
      </c>
    </row>
    <row r="32" spans="2:22">
      <c r="L32" s="14" t="s">
        <v>10</v>
      </c>
      <c r="M32" s="15">
        <f>SUM(M15+V22-(O19+O20))</f>
        <v>2054.6</v>
      </c>
    </row>
    <row r="33" spans="9:25">
      <c r="L33" s="14" t="s">
        <v>65</v>
      </c>
      <c r="M33" s="15">
        <f>J11</f>
        <v>1500</v>
      </c>
    </row>
    <row r="35" spans="9:25">
      <c r="I35" s="59" t="s">
        <v>336</v>
      </c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</row>
    <row r="36" spans="9:25">
      <c r="I36" s="14" t="s">
        <v>59</v>
      </c>
      <c r="J36" s="16" t="s">
        <v>103</v>
      </c>
      <c r="K36" s="16" t="s">
        <v>148</v>
      </c>
      <c r="L36" s="16" t="s">
        <v>104</v>
      </c>
      <c r="M36" s="16" t="s">
        <v>150</v>
      </c>
      <c r="N36" s="16" t="s">
        <v>346</v>
      </c>
      <c r="O36" s="16" t="s">
        <v>391</v>
      </c>
      <c r="P36" s="16" t="s">
        <v>322</v>
      </c>
      <c r="Q36" s="31" t="s">
        <v>323</v>
      </c>
      <c r="R36" s="31" t="s">
        <v>350</v>
      </c>
      <c r="S36" s="16" t="s">
        <v>321</v>
      </c>
      <c r="T36" s="16" t="s">
        <v>366</v>
      </c>
      <c r="U36" s="16" t="s">
        <v>363</v>
      </c>
      <c r="V36" s="31" t="s">
        <v>362</v>
      </c>
      <c r="W36" s="31" t="s">
        <v>367</v>
      </c>
      <c r="X36" s="31" t="s">
        <v>394</v>
      </c>
      <c r="Y36" s="31" t="s">
        <v>365</v>
      </c>
    </row>
    <row r="37" spans="9:25">
      <c r="I37" s="15" t="s">
        <v>38</v>
      </c>
      <c r="J37" s="15">
        <v>50</v>
      </c>
      <c r="K37" s="15" t="s">
        <v>17</v>
      </c>
      <c r="L37" s="15">
        <v>50</v>
      </c>
      <c r="M37" s="15" t="s">
        <v>10</v>
      </c>
      <c r="N37" s="15"/>
      <c r="O37" s="15"/>
      <c r="P37" s="15">
        <f t="shared" ref="P37:P42" si="2">SUM(J37*S37)</f>
        <v>120</v>
      </c>
      <c r="Q37" s="15">
        <f>L37*S37</f>
        <v>120</v>
      </c>
      <c r="R37" s="15">
        <v>0</v>
      </c>
      <c r="S37" s="15">
        <v>2.4</v>
      </c>
      <c r="T37" s="15" t="s">
        <v>38</v>
      </c>
      <c r="U37" s="15">
        <v>50</v>
      </c>
      <c r="V37" s="15">
        <f t="shared" ref="V37:V42" si="3">U37*S37</f>
        <v>120</v>
      </c>
      <c r="W37" s="15"/>
      <c r="X37" s="15"/>
      <c r="Y37" s="15"/>
    </row>
    <row r="38" spans="9:25">
      <c r="I38" s="15" t="s">
        <v>43</v>
      </c>
      <c r="J38" s="15">
        <v>90</v>
      </c>
      <c r="K38" s="15" t="s">
        <v>388</v>
      </c>
      <c r="L38" s="15"/>
      <c r="M38" s="15"/>
      <c r="N38" s="15"/>
      <c r="O38" s="15"/>
      <c r="P38" s="15">
        <f t="shared" si="2"/>
        <v>64.8</v>
      </c>
      <c r="Q38" s="15">
        <f>L38*S38</f>
        <v>0</v>
      </c>
      <c r="R38" s="15">
        <v>0</v>
      </c>
      <c r="S38" s="15">
        <v>0.72</v>
      </c>
      <c r="T38" s="15" t="s">
        <v>43</v>
      </c>
      <c r="U38" s="15">
        <v>60</v>
      </c>
      <c r="V38" s="15">
        <f t="shared" si="3"/>
        <v>43.199999999999996</v>
      </c>
      <c r="W38" s="15"/>
      <c r="X38" s="15"/>
      <c r="Y38" s="15"/>
    </row>
    <row r="39" spans="9:25">
      <c r="I39" s="15" t="s">
        <v>386</v>
      </c>
      <c r="J39" s="15">
        <v>30</v>
      </c>
      <c r="K39" s="15" t="s">
        <v>388</v>
      </c>
      <c r="L39" s="15">
        <v>10</v>
      </c>
      <c r="M39" s="15" t="s">
        <v>65</v>
      </c>
      <c r="N39" s="15"/>
      <c r="O39" s="15"/>
      <c r="P39" s="15">
        <f t="shared" si="2"/>
        <v>1260</v>
      </c>
      <c r="Q39" s="15">
        <f>L39*S39</f>
        <v>420</v>
      </c>
      <c r="R39" s="15">
        <v>0</v>
      </c>
      <c r="S39" s="15">
        <v>42</v>
      </c>
      <c r="T39" s="15" t="s">
        <v>389</v>
      </c>
      <c r="U39" s="15">
        <v>30</v>
      </c>
      <c r="V39" s="15">
        <f t="shared" si="3"/>
        <v>1260</v>
      </c>
      <c r="W39" s="15"/>
      <c r="X39" s="15"/>
      <c r="Y39" s="15"/>
    </row>
    <row r="40" spans="9:25">
      <c r="I40" s="15" t="s">
        <v>122</v>
      </c>
      <c r="J40" s="15">
        <v>15</v>
      </c>
      <c r="K40" s="15" t="s">
        <v>65</v>
      </c>
      <c r="L40" s="15">
        <v>0</v>
      </c>
      <c r="M40" s="15"/>
      <c r="N40" s="15"/>
      <c r="O40" s="15"/>
      <c r="P40" s="15">
        <f t="shared" si="2"/>
        <v>1080</v>
      </c>
      <c r="Q40" s="15">
        <v>0</v>
      </c>
      <c r="R40" s="15">
        <v>0</v>
      </c>
      <c r="S40" s="15">
        <v>72</v>
      </c>
      <c r="T40" s="15" t="s">
        <v>122</v>
      </c>
      <c r="U40" s="15">
        <v>30</v>
      </c>
      <c r="V40" s="15">
        <f t="shared" si="3"/>
        <v>2160</v>
      </c>
      <c r="W40" s="15"/>
      <c r="X40" s="15"/>
      <c r="Y40" s="15"/>
    </row>
    <row r="41" spans="9:25">
      <c r="I41" s="15" t="s">
        <v>217</v>
      </c>
      <c r="J41" s="15">
        <v>50</v>
      </c>
      <c r="K41" s="15" t="s">
        <v>38</v>
      </c>
      <c r="L41" s="15">
        <v>20</v>
      </c>
      <c r="M41" s="15" t="s">
        <v>392</v>
      </c>
      <c r="N41" s="15">
        <v>40</v>
      </c>
      <c r="O41" s="15" t="s">
        <v>393</v>
      </c>
      <c r="P41" s="15">
        <f t="shared" si="2"/>
        <v>108</v>
      </c>
      <c r="Q41" s="15">
        <f>L41*S41</f>
        <v>43.2</v>
      </c>
      <c r="R41" s="15">
        <f>S41*N41</f>
        <v>86.4</v>
      </c>
      <c r="S41" s="15">
        <v>2.16</v>
      </c>
      <c r="T41" s="15" t="s">
        <v>217</v>
      </c>
      <c r="U41" s="15">
        <v>20</v>
      </c>
      <c r="V41" s="15">
        <f t="shared" si="3"/>
        <v>43.2</v>
      </c>
      <c r="W41" s="15" t="s">
        <v>10</v>
      </c>
      <c r="X41" s="15">
        <v>30</v>
      </c>
      <c r="Y41" s="15">
        <f>S41*X41</f>
        <v>64.800000000000011</v>
      </c>
    </row>
    <row r="42" spans="9:25">
      <c r="I42" s="15" t="s">
        <v>387</v>
      </c>
      <c r="J42" s="15">
        <v>50</v>
      </c>
      <c r="K42" s="15" t="s">
        <v>369</v>
      </c>
      <c r="L42" s="15">
        <v>100</v>
      </c>
      <c r="M42" s="15" t="s">
        <v>10</v>
      </c>
      <c r="N42" s="15"/>
      <c r="O42" s="15"/>
      <c r="P42" s="15">
        <f t="shared" si="2"/>
        <v>999.49999999999989</v>
      </c>
      <c r="Q42" s="15">
        <f>L42*S42</f>
        <v>1998.9999999999998</v>
      </c>
      <c r="R42" s="15">
        <v>0</v>
      </c>
      <c r="S42" s="15">
        <v>19.989999999999998</v>
      </c>
      <c r="T42" s="15" t="s">
        <v>390</v>
      </c>
      <c r="U42" s="15">
        <v>100</v>
      </c>
      <c r="V42" s="15">
        <f t="shared" si="3"/>
        <v>1998.9999999999998</v>
      </c>
      <c r="W42" s="15"/>
      <c r="X42" s="15"/>
      <c r="Y42" s="15"/>
    </row>
    <row r="44" spans="9:25">
      <c r="I44" s="52" t="s">
        <v>340</v>
      </c>
      <c r="J44" s="53"/>
      <c r="L44" s="52" t="s">
        <v>353</v>
      </c>
      <c r="M44" s="53"/>
    </row>
    <row r="45" spans="9:25" ht="15.75" thickBot="1">
      <c r="I45" s="14" t="s">
        <v>120</v>
      </c>
      <c r="J45" s="15">
        <f>J26</f>
        <v>100</v>
      </c>
      <c r="L45" s="14" t="s">
        <v>10</v>
      </c>
      <c r="M45" s="15">
        <f>SUM(M32-Q37+Y41-Q42)</f>
        <v>0.40000000000009095</v>
      </c>
    </row>
    <row r="46" spans="9:25" ht="15.75" thickBot="1">
      <c r="I46" s="14" t="s">
        <v>11</v>
      </c>
      <c r="J46" s="15">
        <f>J27</f>
        <v>323.39999999999998</v>
      </c>
      <c r="L46" s="14" t="s">
        <v>384</v>
      </c>
      <c r="M46" s="48">
        <f>M27-P42</f>
        <v>186.4000000000002</v>
      </c>
      <c r="N46" s="61" t="s">
        <v>395</v>
      </c>
      <c r="O46" s="62"/>
      <c r="P46" s="62"/>
      <c r="Q46" s="62"/>
      <c r="R46" s="62"/>
      <c r="S46" s="62"/>
      <c r="T46" s="63"/>
    </row>
    <row r="47" spans="9:25">
      <c r="I47" s="14" t="s">
        <v>133</v>
      </c>
      <c r="J47" s="15">
        <f>J28-P38-P39</f>
        <v>763.2</v>
      </c>
      <c r="L47" s="14" t="s">
        <v>378</v>
      </c>
      <c r="M47" s="15">
        <f>M31-R41</f>
        <v>0</v>
      </c>
    </row>
    <row r="48" spans="9:25">
      <c r="I48" s="14" t="s">
        <v>122</v>
      </c>
      <c r="J48" s="15">
        <f>V40</f>
        <v>2160</v>
      </c>
      <c r="L48" s="14" t="s">
        <v>10</v>
      </c>
      <c r="M48" s="15">
        <f>SUM(M32+Y41-Q37-Q42)</f>
        <v>0.40000000000031832</v>
      </c>
    </row>
    <row r="49" spans="9:25">
      <c r="I49" s="14" t="s">
        <v>217</v>
      </c>
      <c r="J49" s="15">
        <f>V41</f>
        <v>43.2</v>
      </c>
      <c r="L49" s="14" t="s">
        <v>65</v>
      </c>
      <c r="M49" s="15">
        <f>M33-P40-Q39</f>
        <v>0</v>
      </c>
    </row>
    <row r="50" spans="9:25">
      <c r="I50" s="14" t="s">
        <v>390</v>
      </c>
      <c r="J50" s="15">
        <f>V42</f>
        <v>1998.9999999999998</v>
      </c>
      <c r="L50" s="47" t="s">
        <v>38</v>
      </c>
      <c r="M50" s="15">
        <f>V37-P41</f>
        <v>12</v>
      </c>
    </row>
    <row r="51" spans="9:25">
      <c r="I51" s="47" t="s">
        <v>386</v>
      </c>
      <c r="J51" s="15">
        <f>V39</f>
        <v>1260</v>
      </c>
      <c r="L51" s="47" t="s">
        <v>43</v>
      </c>
      <c r="M51" s="15">
        <f>V38-Q41</f>
        <v>0</v>
      </c>
    </row>
    <row r="52" spans="9:25" ht="15.75" thickBot="1">
      <c r="I52" s="14" t="s">
        <v>17</v>
      </c>
      <c r="J52" s="15">
        <f>M30-P37</f>
        <v>1080</v>
      </c>
    </row>
    <row r="53" spans="9:25" ht="15.75" thickBot="1">
      <c r="N53" s="61" t="s">
        <v>398</v>
      </c>
      <c r="O53" s="62"/>
      <c r="P53" s="62"/>
      <c r="Q53" s="62"/>
      <c r="R53" s="62"/>
      <c r="S53" s="62"/>
      <c r="T53" s="63"/>
    </row>
    <row r="54" spans="9:25">
      <c r="I54" s="59" t="s">
        <v>399</v>
      </c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</row>
    <row r="55" spans="9:25">
      <c r="I55" s="14" t="s">
        <v>59</v>
      </c>
      <c r="J55" s="16" t="s">
        <v>103</v>
      </c>
      <c r="K55" s="16" t="s">
        <v>148</v>
      </c>
      <c r="L55" s="16" t="s">
        <v>104</v>
      </c>
      <c r="M55" s="16" t="s">
        <v>150</v>
      </c>
      <c r="N55" s="16" t="s">
        <v>346</v>
      </c>
      <c r="O55" s="16" t="s">
        <v>391</v>
      </c>
      <c r="P55" s="16" t="s">
        <v>348</v>
      </c>
      <c r="Q55" s="16" t="s">
        <v>349</v>
      </c>
      <c r="R55" s="16" t="s">
        <v>322</v>
      </c>
      <c r="S55" s="31" t="s">
        <v>323</v>
      </c>
      <c r="T55" s="31" t="s">
        <v>350</v>
      </c>
      <c r="U55" s="31" t="s">
        <v>351</v>
      </c>
      <c r="V55" s="16" t="s">
        <v>321</v>
      </c>
      <c r="W55" s="16" t="s">
        <v>366</v>
      </c>
      <c r="X55" s="16" t="s">
        <v>363</v>
      </c>
      <c r="Y55" s="31" t="s">
        <v>362</v>
      </c>
    </row>
    <row r="56" spans="9:25">
      <c r="I56" s="15" t="s">
        <v>396</v>
      </c>
      <c r="J56" s="15">
        <v>30</v>
      </c>
      <c r="K56" s="15" t="s">
        <v>11</v>
      </c>
      <c r="L56" s="15">
        <v>30</v>
      </c>
      <c r="M56" s="15" t="s">
        <v>390</v>
      </c>
      <c r="N56" s="15"/>
      <c r="O56" s="15"/>
      <c r="P56" s="15"/>
      <c r="Q56" s="15"/>
      <c r="R56" s="15">
        <f>SUM(J56*V56)</f>
        <v>914.4</v>
      </c>
      <c r="S56" s="15">
        <f>L56*V56</f>
        <v>914.4</v>
      </c>
      <c r="T56" s="15">
        <v>0</v>
      </c>
      <c r="U56" s="15">
        <v>0</v>
      </c>
      <c r="V56" s="15">
        <v>30.48</v>
      </c>
      <c r="W56" s="15" t="s">
        <v>14</v>
      </c>
      <c r="X56" s="15">
        <v>60</v>
      </c>
      <c r="Y56" s="15">
        <f>X56*V56</f>
        <v>1828.8</v>
      </c>
    </row>
    <row r="57" spans="9:25">
      <c r="I57" s="15" t="s">
        <v>397</v>
      </c>
      <c r="J57" s="15">
        <v>30</v>
      </c>
      <c r="K57" s="15" t="s">
        <v>14</v>
      </c>
      <c r="L57" s="15">
        <v>30</v>
      </c>
      <c r="M57" s="15" t="s">
        <v>390</v>
      </c>
      <c r="N57" s="15"/>
      <c r="O57" s="15"/>
      <c r="P57" s="15"/>
      <c r="Q57" s="15"/>
      <c r="R57" s="15">
        <f>SUM(J57*V57)</f>
        <v>1065.3</v>
      </c>
      <c r="S57" s="15">
        <f>L57*V57</f>
        <v>1065.3</v>
      </c>
      <c r="T57" s="15">
        <v>0</v>
      </c>
      <c r="U57" s="15">
        <v>0</v>
      </c>
      <c r="V57" s="15">
        <v>35.51</v>
      </c>
      <c r="W57" s="15" t="s">
        <v>11</v>
      </c>
      <c r="X57" s="15">
        <v>60</v>
      </c>
      <c r="Y57" s="15">
        <f>X57*V57</f>
        <v>2130.6</v>
      </c>
    </row>
    <row r="58" spans="9:25">
      <c r="I58" s="15" t="s">
        <v>248</v>
      </c>
      <c r="J58" s="15">
        <v>45</v>
      </c>
      <c r="K58" s="15" t="s">
        <v>17</v>
      </c>
      <c r="L58" s="15">
        <v>52.5</v>
      </c>
      <c r="M58" s="15" t="s">
        <v>386</v>
      </c>
      <c r="N58" s="15">
        <v>60</v>
      </c>
      <c r="O58" s="15" t="s">
        <v>11</v>
      </c>
      <c r="P58" s="15">
        <v>90</v>
      </c>
      <c r="Q58" s="15" t="s">
        <v>122</v>
      </c>
      <c r="R58" s="15">
        <f>V58*J58</f>
        <v>1080</v>
      </c>
      <c r="S58" s="15">
        <f>L58*V58</f>
        <v>1260</v>
      </c>
      <c r="T58" s="15">
        <f>V58*N58</f>
        <v>1440</v>
      </c>
      <c r="U58" s="15">
        <f>V58*P58</f>
        <v>2160</v>
      </c>
      <c r="V58" s="15">
        <v>24</v>
      </c>
      <c r="W58" s="15" t="s">
        <v>389</v>
      </c>
      <c r="X58" s="15">
        <v>30</v>
      </c>
      <c r="Y58" s="15">
        <f>X58*V58</f>
        <v>720</v>
      </c>
    </row>
    <row r="60" spans="9:25">
      <c r="I60" s="64" t="s">
        <v>400</v>
      </c>
      <c r="J60" s="65"/>
      <c r="L60" s="52" t="s">
        <v>353</v>
      </c>
      <c r="M60" s="53"/>
    </row>
    <row r="61" spans="9:25">
      <c r="I61" s="14" t="s">
        <v>120</v>
      </c>
      <c r="J61" s="75">
        <f>J45</f>
        <v>100</v>
      </c>
      <c r="L61" s="14" t="s">
        <v>122</v>
      </c>
      <c r="M61" s="15">
        <f>J48-U58</f>
        <v>0</v>
      </c>
    </row>
    <row r="62" spans="9:25">
      <c r="I62" s="14" t="s">
        <v>14</v>
      </c>
      <c r="J62" s="75">
        <f>Y56-R57</f>
        <v>763.5</v>
      </c>
      <c r="L62" s="14" t="s">
        <v>386</v>
      </c>
      <c r="M62" s="15">
        <f>J51-S58</f>
        <v>0</v>
      </c>
    </row>
    <row r="63" spans="9:25">
      <c r="I63" s="14" t="s">
        <v>133</v>
      </c>
      <c r="J63" s="75">
        <f>J47</f>
        <v>763.2</v>
      </c>
      <c r="L63" s="14" t="s">
        <v>17</v>
      </c>
      <c r="M63" s="15">
        <f>J52-R58</f>
        <v>0</v>
      </c>
    </row>
    <row r="64" spans="9:25">
      <c r="I64" s="14" t="s">
        <v>217</v>
      </c>
      <c r="J64" s="75">
        <f>V41+Y58</f>
        <v>763.2</v>
      </c>
      <c r="L64" s="14" t="s">
        <v>390</v>
      </c>
      <c r="M64" s="15">
        <f>J50-R56-R57</f>
        <v>19.299999999999955</v>
      </c>
    </row>
    <row r="65" spans="9:13">
      <c r="I65" s="14" t="s">
        <v>11</v>
      </c>
      <c r="J65" s="75">
        <f>J46+Y57-R56-T58</f>
        <v>99.599999999999909</v>
      </c>
      <c r="L65" s="14" t="s">
        <v>17</v>
      </c>
      <c r="M65" s="15">
        <f>J54-R60</f>
        <v>0</v>
      </c>
    </row>
  </sheetData>
  <mergeCells count="20">
    <mergeCell ref="I54:Y54"/>
    <mergeCell ref="L60:M60"/>
    <mergeCell ref="I60:J60"/>
    <mergeCell ref="N53:T53"/>
    <mergeCell ref="L44:M44"/>
    <mergeCell ref="I44:J44"/>
    <mergeCell ref="I35:Y35"/>
    <mergeCell ref="I17:V17"/>
    <mergeCell ref="N46:T46"/>
    <mergeCell ref="I2:V2"/>
    <mergeCell ref="B26:E26"/>
    <mergeCell ref="B2:F2"/>
    <mergeCell ref="I10:J10"/>
    <mergeCell ref="L10:M10"/>
    <mergeCell ref="B8:E8"/>
    <mergeCell ref="B9:E9"/>
    <mergeCell ref="B13:E13"/>
    <mergeCell ref="B19:E19"/>
    <mergeCell ref="I25:J25"/>
    <mergeCell ref="L25:M25"/>
  </mergeCells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353B9-1CC2-4B24-B610-97234758C445}">
  <dimension ref="B2:L28"/>
  <sheetViews>
    <sheetView workbookViewId="0">
      <selection activeCell="I32" sqref="I32"/>
    </sheetView>
  </sheetViews>
  <sheetFormatPr defaultRowHeight="15"/>
  <cols>
    <col min="2" max="2" width="18.140625" bestFit="1" customWidth="1"/>
    <col min="3" max="3" width="19.5703125" bestFit="1" customWidth="1"/>
    <col min="4" max="4" width="20.42578125" customWidth="1"/>
    <col min="5" max="5" width="29" bestFit="1" customWidth="1"/>
    <col min="6" max="6" width="11.85546875" bestFit="1" customWidth="1"/>
    <col min="7" max="7" width="13.85546875" bestFit="1" customWidth="1"/>
    <col min="8" max="8" width="14.28515625" bestFit="1" customWidth="1"/>
    <col min="9" max="9" width="15.5703125" bestFit="1" customWidth="1"/>
    <col min="10" max="10" width="13.85546875" bestFit="1" customWidth="1"/>
    <col min="11" max="11" width="11.7109375" bestFit="1" customWidth="1"/>
    <col min="12" max="12" width="8.7109375" bestFit="1" customWidth="1"/>
  </cols>
  <sheetData>
    <row r="2" spans="2:5">
      <c r="B2" s="57" t="s">
        <v>162</v>
      </c>
      <c r="C2" s="58"/>
      <c r="D2" s="58"/>
    </row>
    <row r="3" spans="2:5">
      <c r="B3" s="14" t="s">
        <v>59</v>
      </c>
      <c r="C3" s="14" t="s">
        <v>8</v>
      </c>
      <c r="D3" s="14" t="s">
        <v>418</v>
      </c>
    </row>
    <row r="4" spans="2:5">
      <c r="B4" s="15" t="s">
        <v>57</v>
      </c>
      <c r="C4" s="15">
        <v>0</v>
      </c>
      <c r="D4" s="15">
        <v>0</v>
      </c>
    </row>
    <row r="5" spans="2:5">
      <c r="B5" s="15" t="s">
        <v>56</v>
      </c>
      <c r="C5" s="15">
        <v>0</v>
      </c>
      <c r="D5" s="15">
        <v>0</v>
      </c>
    </row>
    <row r="6" spans="2:5">
      <c r="B6" s="15" t="s">
        <v>55</v>
      </c>
      <c r="C6" s="15">
        <v>1</v>
      </c>
      <c r="D6" s="15">
        <v>2</v>
      </c>
    </row>
    <row r="7" spans="2:5">
      <c r="B7" s="15" t="s">
        <v>67</v>
      </c>
      <c r="C7" s="15">
        <f>E13</f>
        <v>782.4</v>
      </c>
      <c r="D7" s="15">
        <f>E18</f>
        <v>1564.8</v>
      </c>
    </row>
    <row r="9" spans="2:5">
      <c r="B9" s="52" t="s">
        <v>111</v>
      </c>
      <c r="C9" s="53"/>
      <c r="D9" s="53"/>
      <c r="E9" s="53"/>
    </row>
    <row r="10" spans="2:5">
      <c r="B10" s="54" t="s">
        <v>8</v>
      </c>
      <c r="C10" s="55"/>
      <c r="D10" s="55"/>
      <c r="E10" s="56"/>
    </row>
    <row r="11" spans="2:5">
      <c r="B11" s="15" t="s">
        <v>112</v>
      </c>
      <c r="C11" s="15" t="s">
        <v>113</v>
      </c>
      <c r="D11" s="15" t="s">
        <v>311</v>
      </c>
      <c r="E11" s="15" t="s">
        <v>114</v>
      </c>
    </row>
    <row r="12" spans="2:5">
      <c r="B12" s="15">
        <v>120</v>
      </c>
      <c r="C12" s="15">
        <v>1.63</v>
      </c>
      <c r="D12" s="15">
        <v>4</v>
      </c>
      <c r="E12" s="15">
        <f>B12*C12*D12</f>
        <v>782.4</v>
      </c>
    </row>
    <row r="13" spans="2:5">
      <c r="B13" s="15" t="s">
        <v>105</v>
      </c>
      <c r="C13" s="15"/>
      <c r="D13" s="15"/>
      <c r="E13" s="15">
        <f>SUM(E12:E12)</f>
        <v>782.4</v>
      </c>
    </row>
    <row r="14" spans="2:5">
      <c r="B14" s="54" t="s">
        <v>13</v>
      </c>
      <c r="C14" s="55"/>
      <c r="D14" s="55"/>
      <c r="E14" s="56"/>
    </row>
    <row r="15" spans="2:5">
      <c r="B15" s="15" t="s">
        <v>112</v>
      </c>
      <c r="C15" s="15" t="s">
        <v>113</v>
      </c>
      <c r="D15" s="15" t="s">
        <v>311</v>
      </c>
      <c r="E15" s="15" t="s">
        <v>114</v>
      </c>
    </row>
    <row r="16" spans="2:5">
      <c r="B16" s="15">
        <v>120</v>
      </c>
      <c r="C16" s="15">
        <v>1.63</v>
      </c>
      <c r="D16" s="15">
        <v>4</v>
      </c>
      <c r="E16" s="15">
        <f>B16*C16*D16</f>
        <v>782.4</v>
      </c>
    </row>
    <row r="17" spans="2:12">
      <c r="B17" s="15">
        <v>120</v>
      </c>
      <c r="C17" s="15">
        <v>1.63</v>
      </c>
      <c r="D17" s="15">
        <v>4</v>
      </c>
      <c r="E17" s="15">
        <f t="shared" ref="E17" si="0">B17*C17*D17</f>
        <v>782.4</v>
      </c>
    </row>
    <row r="18" spans="2:12">
      <c r="B18" s="15" t="s">
        <v>105</v>
      </c>
      <c r="C18" s="15"/>
      <c r="D18" s="15"/>
      <c r="E18" s="15">
        <f>SUM(SUM(E16:E17))</f>
        <v>1564.8</v>
      </c>
    </row>
    <row r="20" spans="2:12">
      <c r="B20" s="59" t="s">
        <v>312</v>
      </c>
      <c r="C20" s="60"/>
      <c r="D20" s="60"/>
      <c r="E20" s="60"/>
      <c r="F20" s="60"/>
      <c r="G20" s="60"/>
      <c r="H20" s="60"/>
      <c r="I20" s="60"/>
      <c r="J20" s="60"/>
      <c r="K20" s="60"/>
      <c r="L20" s="60"/>
    </row>
    <row r="21" spans="2:12">
      <c r="B21" s="14" t="s">
        <v>59</v>
      </c>
      <c r="C21" s="16" t="s">
        <v>103</v>
      </c>
      <c r="D21" s="16" t="s">
        <v>148</v>
      </c>
      <c r="E21" s="16" t="s">
        <v>104</v>
      </c>
      <c r="F21" s="16" t="s">
        <v>150</v>
      </c>
      <c r="G21" s="16" t="s">
        <v>322</v>
      </c>
      <c r="H21" s="31" t="s">
        <v>323</v>
      </c>
      <c r="I21" s="16" t="s">
        <v>321</v>
      </c>
      <c r="J21" s="16" t="s">
        <v>366</v>
      </c>
      <c r="K21" s="16" t="s">
        <v>363</v>
      </c>
      <c r="L21" s="31" t="s">
        <v>362</v>
      </c>
    </row>
    <row r="22" spans="2:12">
      <c r="B22" s="15" t="s">
        <v>419</v>
      </c>
      <c r="C22" s="15">
        <v>11.25</v>
      </c>
      <c r="D22" s="15" t="s">
        <v>13</v>
      </c>
      <c r="E22" s="15">
        <v>18.75</v>
      </c>
      <c r="F22" s="15" t="s">
        <v>8</v>
      </c>
      <c r="G22" s="15">
        <f>SUM(C22*I22)</f>
        <v>468</v>
      </c>
      <c r="H22" s="15">
        <f>E22*I22</f>
        <v>780</v>
      </c>
      <c r="I22" s="15">
        <v>41.6</v>
      </c>
      <c r="J22" s="15" t="s">
        <v>18</v>
      </c>
      <c r="K22" s="15">
        <v>26.25</v>
      </c>
      <c r="L22" s="15">
        <f>K22*I22</f>
        <v>1092</v>
      </c>
    </row>
    <row r="23" spans="2:12">
      <c r="B23" s="15" t="s">
        <v>18</v>
      </c>
      <c r="C23" s="15">
        <v>22.5</v>
      </c>
      <c r="D23" s="15" t="s">
        <v>421</v>
      </c>
      <c r="E23" s="15"/>
      <c r="F23" s="15"/>
      <c r="G23" s="15">
        <f>SUM(C23*I23)</f>
        <v>188.32499999999999</v>
      </c>
      <c r="H23" s="15"/>
      <c r="I23" s="15">
        <v>8.3699999999999992</v>
      </c>
      <c r="J23" s="15" t="s">
        <v>18</v>
      </c>
      <c r="K23" s="15">
        <v>37.5</v>
      </c>
      <c r="L23" s="15">
        <f>K23*I23</f>
        <v>313.87499999999994</v>
      </c>
    </row>
    <row r="24" spans="2:12">
      <c r="B24" s="15" t="s">
        <v>420</v>
      </c>
      <c r="C24" s="15">
        <v>67.5</v>
      </c>
      <c r="D24" s="15" t="s">
        <v>13</v>
      </c>
      <c r="E24" s="15">
        <v>37.5</v>
      </c>
      <c r="F24" s="15" t="s">
        <v>10</v>
      </c>
      <c r="G24" s="15">
        <f>SUM(C24*I24)</f>
        <v>903.82500000000005</v>
      </c>
      <c r="H24" s="15">
        <f t="shared" ref="H24" si="1">E24*I24</f>
        <v>502.125</v>
      </c>
      <c r="I24" s="15">
        <v>13.39</v>
      </c>
      <c r="J24" s="15" t="s">
        <v>192</v>
      </c>
      <c r="K24" s="15">
        <v>52.5</v>
      </c>
      <c r="L24" s="15">
        <f>K24*I24</f>
        <v>702.97500000000002</v>
      </c>
    </row>
    <row r="26" spans="2:12">
      <c r="B26" s="52" t="s">
        <v>334</v>
      </c>
      <c r="C26" s="53"/>
    </row>
    <row r="27" spans="2:12">
      <c r="B27" s="14" t="s">
        <v>18</v>
      </c>
      <c r="C27" s="75">
        <f>L23+L22</f>
        <v>1405.875</v>
      </c>
    </row>
    <row r="28" spans="2:12">
      <c r="B28" s="14" t="s">
        <v>192</v>
      </c>
      <c r="C28" s="75">
        <f>L24</f>
        <v>702.97500000000002</v>
      </c>
    </row>
  </sheetData>
  <mergeCells count="6">
    <mergeCell ref="B26:C26"/>
    <mergeCell ref="B2:D2"/>
    <mergeCell ref="B9:E9"/>
    <mergeCell ref="B10:E10"/>
    <mergeCell ref="B14:E14"/>
    <mergeCell ref="B20:L20"/>
  </mergeCells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E9EB0-3E23-4641-A58B-1165AA753DC6}">
  <dimension ref="K5:K19"/>
  <sheetViews>
    <sheetView workbookViewId="0">
      <selection activeCell="O28" sqref="O28"/>
    </sheetView>
  </sheetViews>
  <sheetFormatPr defaultRowHeight="15"/>
  <cols>
    <col min="11" max="11" width="28.28515625" bestFit="1" customWidth="1"/>
  </cols>
  <sheetData>
    <row r="5" spans="11:11">
      <c r="K5" t="s">
        <v>134</v>
      </c>
    </row>
    <row r="6" spans="11:11">
      <c r="K6" t="s">
        <v>408</v>
      </c>
    </row>
    <row r="7" spans="11:11">
      <c r="K7" t="s">
        <v>409</v>
      </c>
    </row>
    <row r="8" spans="11:11">
      <c r="K8" t="s">
        <v>410</v>
      </c>
    </row>
    <row r="9" spans="11:11">
      <c r="K9" t="s">
        <v>411</v>
      </c>
    </row>
    <row r="10" spans="11:11">
      <c r="K10" t="s">
        <v>412</v>
      </c>
    </row>
    <row r="13" spans="11:11">
      <c r="K13" t="s">
        <v>135</v>
      </c>
    </row>
    <row r="15" spans="11:11">
      <c r="K15" t="s">
        <v>413</v>
      </c>
    </row>
    <row r="16" spans="11:11">
      <c r="K16" t="s">
        <v>414</v>
      </c>
    </row>
    <row r="17" spans="11:11">
      <c r="K17" t="s">
        <v>415</v>
      </c>
    </row>
    <row r="18" spans="11:11">
      <c r="K18" t="s">
        <v>416</v>
      </c>
    </row>
    <row r="19" spans="11:11">
      <c r="K19" t="s">
        <v>417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AgendaToDo</vt:lpstr>
      <vt:lpstr>OverallResources</vt:lpstr>
      <vt:lpstr>TierLocationOrganization</vt:lpstr>
      <vt:lpstr>GrasslandRegionalProduction</vt:lpstr>
      <vt:lpstr>QuickwireCoast</vt:lpstr>
      <vt:lpstr>SteelLakeSite</vt:lpstr>
      <vt:lpstr>OffshoreMegaRefinery</vt:lpstr>
      <vt:lpstr>SilicaCaveSite</vt:lpstr>
      <vt:lpstr>SWNitrogenFacility</vt:lpstr>
      <vt:lpstr>Diagrams</vt:lpstr>
      <vt:lpstr>GrasslandTrainHubStations</vt:lpstr>
      <vt:lpstr>MinerOutputValues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Mjolnir</dc:creator>
  <cp:lastModifiedBy>Olson, Christopher M</cp:lastModifiedBy>
  <cp:lastPrinted>2022-03-04T20:14:29Z</cp:lastPrinted>
  <dcterms:created xsi:type="dcterms:W3CDTF">2022-02-21T19:44:59Z</dcterms:created>
  <dcterms:modified xsi:type="dcterms:W3CDTF">2022-04-26T20:27:47Z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599526-06ca-49cc-9fa9-5307800a949a_Enabled">
    <vt:lpwstr>true</vt:lpwstr>
  </property>
  <property fmtid="{D5CDD505-2E9C-101B-9397-08002B2CF9AE}" pid="3" name="MSIP_Label_67599526-06ca-49cc-9fa9-5307800a949a_SetDate">
    <vt:lpwstr>2022-03-04T17:45:04Z</vt:lpwstr>
  </property>
  <property fmtid="{D5CDD505-2E9C-101B-9397-08002B2CF9AE}" pid="4" name="MSIP_Label_67599526-06ca-49cc-9fa9-5307800a949a_Method">
    <vt:lpwstr>Standard</vt:lpwstr>
  </property>
  <property fmtid="{D5CDD505-2E9C-101B-9397-08002B2CF9AE}" pid="5" name="MSIP_Label_67599526-06ca-49cc-9fa9-5307800a949a_Name">
    <vt:lpwstr>67599526-06ca-49cc-9fa9-5307800a949a</vt:lpwstr>
  </property>
  <property fmtid="{D5CDD505-2E9C-101B-9397-08002B2CF9AE}" pid="6" name="MSIP_Label_67599526-06ca-49cc-9fa9-5307800a949a_SiteId">
    <vt:lpwstr>fabb61b8-3afe-4e75-b934-a47f782b8cd7</vt:lpwstr>
  </property>
  <property fmtid="{D5CDD505-2E9C-101B-9397-08002B2CF9AE}" pid="7" name="MSIP_Label_67599526-06ca-49cc-9fa9-5307800a949a_ActionId">
    <vt:lpwstr>f5ba4f68-bc60-41e0-b5a8-bb5b75f88428</vt:lpwstr>
  </property>
  <property fmtid="{D5CDD505-2E9C-101B-9397-08002B2CF9AE}" pid="8" name="MSIP_Label_67599526-06ca-49cc-9fa9-5307800a949a_ContentBits">
    <vt:lpwstr>0</vt:lpwstr>
  </property>
</Properties>
</file>