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<sst xmlns="http://schemas.openxmlformats.org/spreadsheetml/2006/main" count="1682" uniqueCount="1067">
  <si>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</si>
  <si>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</si>
  <si>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</si>
  <si>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</si>
  <si>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</si>
  <si>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</si>
  <si>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</si>
  <si>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</si>
  <si>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</si>
  <si>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</si>
  <si>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</si>
  <si>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percentual %</t>
  </si>
  <si>
    <t>Variação inicial (R$)</t>
  </si>
  <si>
    <t>Quantidade de ações</t>
  </si>
  <si>
    <t>Variação $</t>
  </si>
  <si>
    <t>Resultado</t>
  </si>
  <si>
    <t>Nome da empresa</t>
  </si>
  <si>
    <t>Segmento</t>
  </si>
  <si>
    <t>Idade em anos</t>
  </si>
  <si>
    <t>Categoria em idade</t>
  </si>
  <si>
    <t>Variação Mensal</t>
  </si>
  <si>
    <t>Valor inicial</t>
  </si>
  <si>
    <t>Variação Anual</t>
  </si>
  <si>
    <t>USIM5</t>
  </si>
  <si>
    <t>319,16 M</t>
  </si>
  <si>
    <t>Usiminas</t>
  </si>
  <si>
    <t>Siderurgia</t>
  </si>
  <si>
    <t>CMIN3</t>
  </si>
  <si>
    <t>32,65 M</t>
  </si>
  <si>
    <t>CSN Mineração</t>
  </si>
  <si>
    <t>Mineração</t>
  </si>
  <si>
    <t>PETR3</t>
  </si>
  <si>
    <t>436,69 M</t>
  </si>
  <si>
    <t>Petrobras</t>
  </si>
  <si>
    <t>Petróleo</t>
  </si>
  <si>
    <t>SUZB3</t>
  </si>
  <si>
    <t>162,55 M</t>
  </si>
  <si>
    <t>Suzano</t>
  </si>
  <si>
    <t>Papel e Celulose</t>
  </si>
  <si>
    <t>CPFE3</t>
  </si>
  <si>
    <t>73,42 M</t>
  </si>
  <si>
    <t>CPFL Energia</t>
  </si>
  <si>
    <t>Energia</t>
  </si>
  <si>
    <t>PRIO3</t>
  </si>
  <si>
    <t>319,92 M</t>
  </si>
  <si>
    <t>PetroRio</t>
  </si>
  <si>
    <t>PETR4</t>
  </si>
  <si>
    <t>1,64 B</t>
  </si>
  <si>
    <t>VALE3</t>
  </si>
  <si>
    <t>1,89 B</t>
  </si>
  <si>
    <t>Vale</t>
  </si>
  <si>
    <t>MULT3</t>
  </si>
  <si>
    <t>104,16 M</t>
  </si>
  <si>
    <t>Multiplan</t>
  </si>
  <si>
    <t>Shopping Centers</t>
  </si>
  <si>
    <t>ITUB4</t>
  </si>
  <si>
    <t>473,2 M</t>
  </si>
  <si>
    <t>Itaú Unibanco</t>
  </si>
  <si>
    <t>Financeiro</t>
  </si>
  <si>
    <t>RDOR3</t>
  </si>
  <si>
    <t>71,62 M</t>
  </si>
  <si>
    <t>Rede D'Or</t>
  </si>
  <si>
    <t>Saúde</t>
  </si>
  <si>
    <t>BRKM5</t>
  </si>
  <si>
    <t>43,31 M</t>
  </si>
  <si>
    <t>Braskem</t>
  </si>
  <si>
    <t>Química</t>
  </si>
  <si>
    <t>AZUL4</t>
  </si>
  <si>
    <t>270,24 M</t>
  </si>
  <si>
    <t>Azul</t>
  </si>
  <si>
    <t>Transporte Aéreo</t>
  </si>
  <si>
    <t>RRRP3</t>
  </si>
  <si>
    <t>78,44 M</t>
  </si>
  <si>
    <t>3R Petroleum</t>
  </si>
  <si>
    <t>EQTL3</t>
  </si>
  <si>
    <t>412,31 M</t>
  </si>
  <si>
    <t>Equatorial Energia</t>
  </si>
  <si>
    <t>CSNA3</t>
  </si>
  <si>
    <t>109,86 M</t>
  </si>
  <si>
    <t>Siderúrgica Nacional</t>
  </si>
  <si>
    <t>YDUQ3</t>
  </si>
  <si>
    <t>63,48 M</t>
  </si>
  <si>
    <t>YDUQS</t>
  </si>
  <si>
    <t>Educação</t>
  </si>
  <si>
    <t>UGPA3</t>
  </si>
  <si>
    <t>104,52 M</t>
  </si>
  <si>
    <t>Ultrapar</t>
  </si>
  <si>
    <t>MRVE3</t>
  </si>
  <si>
    <t>109,48 M</t>
  </si>
  <si>
    <t>MRV</t>
  </si>
  <si>
    <t>Construção Civil</t>
  </si>
  <si>
    <t>ARZZ3</t>
  </si>
  <si>
    <t>202,83 M</t>
  </si>
  <si>
    <t>Arezzo</t>
  </si>
  <si>
    <t>Calçados</t>
  </si>
  <si>
    <t>BBDC4</t>
  </si>
  <si>
    <t>354,3 M</t>
  </si>
  <si>
    <t>Banco Bradesco</t>
  </si>
  <si>
    <t>BEEF3</t>
  </si>
  <si>
    <t>42,44 M</t>
  </si>
  <si>
    <t>Minerva</t>
  </si>
  <si>
    <t>Alimentos</t>
  </si>
  <si>
    <t>PCAR3</t>
  </si>
  <si>
    <t>21,18 M</t>
  </si>
  <si>
    <t>Grupo Pão de Açúcar</t>
  </si>
  <si>
    <t>Varejo</t>
  </si>
  <si>
    <t>BRFS3</t>
  </si>
  <si>
    <t>101,38 M</t>
  </si>
  <si>
    <t>BRF</t>
  </si>
  <si>
    <t>VIVT3</t>
  </si>
  <si>
    <t>64,92 M</t>
  </si>
  <si>
    <t>Vivo</t>
  </si>
  <si>
    <t>Telecomunicações</t>
  </si>
  <si>
    <t>RAIL3</t>
  </si>
  <si>
    <t>178,44 M</t>
  </si>
  <si>
    <t>Rumo</t>
  </si>
  <si>
    <t>Transporte Ferroviário</t>
  </si>
  <si>
    <t>CIEL3</t>
  </si>
  <si>
    <t>144,47 M</t>
  </si>
  <si>
    <t>Cielo</t>
  </si>
  <si>
    <t>Meios de Pagamento</t>
  </si>
  <si>
    <t>DXCO3</t>
  </si>
  <si>
    <t>21,5 M</t>
  </si>
  <si>
    <t>Dexco</t>
  </si>
  <si>
    <t>Engenharia</t>
  </si>
  <si>
    <t>TIMS3</t>
  </si>
  <si>
    <t>62,54 M</t>
  </si>
  <si>
    <t>TIM</t>
  </si>
  <si>
    <t>BRAP4</t>
  </si>
  <si>
    <t>69,45 M</t>
  </si>
  <si>
    <t>Bradespar</t>
  </si>
  <si>
    <t>LWSA3</t>
  </si>
  <si>
    <t>56,4 M</t>
  </si>
  <si>
    <t>Locaweb</t>
  </si>
  <si>
    <t>Tecnologia</t>
  </si>
  <si>
    <t>RECV3</t>
  </si>
  <si>
    <t>58,9 M</t>
  </si>
  <si>
    <t>PetroRecôncavo</t>
  </si>
  <si>
    <t>ITSA4</t>
  </si>
  <si>
    <t>168,56 M</t>
  </si>
  <si>
    <t>Itaúsa</t>
  </si>
  <si>
    <t>Holding</t>
  </si>
  <si>
    <t>BBAS3</t>
  </si>
  <si>
    <t>465,62 M</t>
  </si>
  <si>
    <t>Banco do Brasil</t>
  </si>
  <si>
    <t>RADL3</t>
  </si>
  <si>
    <t>100,44 M</t>
  </si>
  <si>
    <t>RaiaDrogasil</t>
  </si>
  <si>
    <t>GOAU4</t>
  </si>
  <si>
    <t>37,01 M</t>
  </si>
  <si>
    <t>Metalúrgica Gerdau</t>
  </si>
  <si>
    <t>CSAN3</t>
  </si>
  <si>
    <t>43,43 M</t>
  </si>
  <si>
    <t>Cosan</t>
  </si>
  <si>
    <t>JBSS3</t>
  </si>
  <si>
    <t>40,71 M</t>
  </si>
  <si>
    <t>JBS</t>
  </si>
  <si>
    <t>MGLU3</t>
  </si>
  <si>
    <t>277,34 M</t>
  </si>
  <si>
    <t>Magazine Luiza</t>
  </si>
  <si>
    <t>BBDC3</t>
  </si>
  <si>
    <t>45,86 M</t>
  </si>
  <si>
    <t>GGBR4</t>
  </si>
  <si>
    <t>109,02 M</t>
  </si>
  <si>
    <t>Gerdau</t>
  </si>
  <si>
    <t>RAIZ4</t>
  </si>
  <si>
    <t>19,84 M</t>
  </si>
  <si>
    <t>Raízen</t>
  </si>
  <si>
    <t>CPLE6</t>
  </si>
  <si>
    <t>97,05 M</t>
  </si>
  <si>
    <t>Copel</t>
  </si>
  <si>
    <t>VAMO3</t>
  </si>
  <si>
    <t>41,64 M</t>
  </si>
  <si>
    <t>Grupo Vamos</t>
  </si>
  <si>
    <t>Transporte e Logística</t>
  </si>
  <si>
    <t>MRFG3</t>
  </si>
  <si>
    <t>39,65 M</t>
  </si>
  <si>
    <t>Marfrig</t>
  </si>
  <si>
    <t>ABEV3</t>
  </si>
  <si>
    <t>86,92 M</t>
  </si>
  <si>
    <t>Ambev</t>
  </si>
  <si>
    <t>Bebidas</t>
  </si>
  <si>
    <t>BBSE3</t>
  </si>
  <si>
    <t>99,61 M</t>
  </si>
  <si>
    <t>BB Seguridade</t>
  </si>
  <si>
    <t>Seguros e Previdência</t>
  </si>
  <si>
    <t>SBSP3</t>
  </si>
  <si>
    <t>128,66 M</t>
  </si>
  <si>
    <t>Sabesp</t>
  </si>
  <si>
    <t>Saneamento Básico</t>
  </si>
  <si>
    <t>TOTS3</t>
  </si>
  <si>
    <t>42,83 M</t>
  </si>
  <si>
    <t>Totvs</t>
  </si>
  <si>
    <t>CMIG4</t>
  </si>
  <si>
    <t>63,32 M</t>
  </si>
  <si>
    <t>CEMIG</t>
  </si>
  <si>
    <t>ELET6</t>
  </si>
  <si>
    <t>19,04 M</t>
  </si>
  <si>
    <t>Eletrobras</t>
  </si>
  <si>
    <t>ENEV3</t>
  </si>
  <si>
    <t>32,03 M</t>
  </si>
  <si>
    <t>Eneva</t>
  </si>
  <si>
    <t>WEGE3</t>
  </si>
  <si>
    <t>127,36 M</t>
  </si>
  <si>
    <t>WEG</t>
  </si>
  <si>
    <t>Eletroeletrônicos</t>
  </si>
  <si>
    <t>SLCE3</t>
  </si>
  <si>
    <t>29,74 M</t>
  </si>
  <si>
    <t>SLC Agrícola</t>
  </si>
  <si>
    <t>Agronegócio</t>
  </si>
  <si>
    <t>ALOS3</t>
  </si>
  <si>
    <t>34,33 M</t>
  </si>
  <si>
    <t>CCRO3</t>
  </si>
  <si>
    <t>32,04 M</t>
  </si>
  <si>
    <t>Grupo CCR</t>
  </si>
  <si>
    <t>COGN3</t>
  </si>
  <si>
    <t>56,12 M</t>
  </si>
  <si>
    <t>Cogna</t>
  </si>
  <si>
    <t>TRPL4</t>
  </si>
  <si>
    <t>27,59 M</t>
  </si>
  <si>
    <t>Transmissão Paulista</t>
  </si>
  <si>
    <t>EGIE3</t>
  </si>
  <si>
    <t>43,45 M</t>
  </si>
  <si>
    <t>Engie</t>
  </si>
  <si>
    <t>VBBR3</t>
  </si>
  <si>
    <t>58,22 M</t>
  </si>
  <si>
    <t>Vibra Energia</t>
  </si>
  <si>
    <t>IRBR3</t>
  </si>
  <si>
    <t>74,33 M</t>
  </si>
  <si>
    <t>IRB Brasil RE</t>
  </si>
  <si>
    <t>Seguros</t>
  </si>
  <si>
    <t>ELET3</t>
  </si>
  <si>
    <t>109,87 M</t>
  </si>
  <si>
    <t>Petz</t>
  </si>
  <si>
    <t>Pet Shop</t>
  </si>
  <si>
    <t>PETZ3</t>
  </si>
  <si>
    <t>49,03 M</t>
  </si>
  <si>
    <t>EZTEC</t>
  </si>
  <si>
    <t>EZTC3</t>
  </si>
  <si>
    <t>22,15 M</t>
  </si>
  <si>
    <t>Fleury</t>
  </si>
  <si>
    <t>FLRY3</t>
  </si>
  <si>
    <t>Grupo Soma</t>
  </si>
  <si>
    <t>SOMA3</t>
  </si>
  <si>
    <t>60,82 M</t>
  </si>
  <si>
    <t>Alpargatas</t>
  </si>
  <si>
    <t>ALPA4</t>
  </si>
  <si>
    <t>14 M</t>
  </si>
  <si>
    <t>Cyrela</t>
  </si>
  <si>
    <t>CYRE3</t>
  </si>
  <si>
    <t>104,26 M</t>
  </si>
  <si>
    <t>Embraer</t>
  </si>
  <si>
    <t>Aeronáutica</t>
  </si>
  <si>
    <t>EMBR3</t>
  </si>
  <si>
    <t>60,86 M</t>
  </si>
  <si>
    <t>Natura</t>
  </si>
  <si>
    <t>Cosméticos</t>
  </si>
  <si>
    <t>NTCO3</t>
  </si>
  <si>
    <t>213,23 M</t>
  </si>
  <si>
    <t>Assaí</t>
  </si>
  <si>
    <t>ASAI3</t>
  </si>
  <si>
    <t>79,67 M</t>
  </si>
  <si>
    <t>B3</t>
  </si>
  <si>
    <t>B3SA3</t>
  </si>
  <si>
    <t>487,27 M</t>
  </si>
  <si>
    <t>Hypera</t>
  </si>
  <si>
    <t>Farmacêutica</t>
  </si>
  <si>
    <t>HYPE3</t>
  </si>
  <si>
    <t>107,71 M</t>
  </si>
  <si>
    <t>São Martinho</t>
  </si>
  <si>
    <t>SMTO3</t>
  </si>
  <si>
    <t>73,55 M</t>
  </si>
  <si>
    <t>Hapvida</t>
  </si>
  <si>
    <t>HAPV3</t>
  </si>
  <si>
    <t>277,57 M</t>
  </si>
  <si>
    <t>Lojas Renner</t>
  </si>
  <si>
    <t>LREN3</t>
  </si>
  <si>
    <t>194,2 M</t>
  </si>
  <si>
    <t>Carrefour Brasil</t>
  </si>
  <si>
    <t>CRFB3</t>
  </si>
  <si>
    <t>38,19 M</t>
  </si>
  <si>
    <t>Casas Bahia</t>
  </si>
  <si>
    <t>BHIA3</t>
  </si>
  <si>
    <t>27,54 M</t>
  </si>
  <si>
    <t>Localiza</t>
  </si>
  <si>
    <t>Locação de Veículos</t>
  </si>
  <si>
    <t>RENT3</t>
  </si>
  <si>
    <t>624,74 M</t>
  </si>
  <si>
    <t>CVC</t>
  </si>
  <si>
    <t>Turismo</t>
  </si>
  <si>
    <t>CVCB3</t>
  </si>
  <si>
    <t>101,46 M</t>
  </si>
  <si>
    <t>GOL</t>
  </si>
  <si>
    <t>Variação Max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</si>
  <si>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</si>
  <si>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</si>
  <si>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</si>
  <si>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</si>
  <si>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</si>
  <si>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</si>
  <si>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de saldo</t>
  </si>
  <si>
    <t>Variação em dinheiro</t>
  </si>
  <si>
    <t>Análises por faixa etária</t>
  </si>
  <si>
    <t>Empresa</t>
  </si>
  <si>
    <t>Código</t>
  </si>
  <si>
    <t>Qtde. Teórica</t>
  </si>
  <si>
    <t>BPAC11</t>
  </si>
  <si>
    <t>ENGI11</t>
  </si>
  <si>
    <t>GOLL4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</si>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</sst>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00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9900"/>
        <bgColor rgb="FFFF99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4" fontId="5" numFmtId="0" xfId="0" applyAlignment="1" applyFill="1" applyFont="1">
      <alignment vertical="bottom"/>
    </xf>
    <xf borderId="0" fillId="4" fontId="5" numFmtId="14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5" fontId="5" numFmtId="0" xfId="0" applyAlignment="1" applyFill="1" applyFont="1">
      <alignment vertical="bottom"/>
    </xf>
    <xf borderId="0" fillId="5" fontId="5" numFmtId="14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0" fillId="0" fontId="4" numFmtId="4" xfId="0" applyFont="1" applyNumberFormat="1"/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4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dinheiro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'Análises'!$A$48:$A$50</c:f>
            </c:strRef>
          </c:cat>
          <c:val>
            <c:numRef>
              <c:f>'Análises'!$B$48:$B$50</c:f>
              <c:numCache/>
            </c:numRef>
          </c:val>
        </c:ser>
        <c:axId val="1466918970"/>
        <c:axId val="940483789"/>
      </c:barChart>
      <c:catAx>
        <c:axId val="14669189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483789"/>
      </c:catAx>
      <c:valAx>
        <c:axId val="940483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9189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'Análises'!$B$54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'Análises'!$A$55:$A$57</c:f>
            </c:strRef>
          </c:cat>
          <c:val>
            <c:numRef>
              <c:f>'Análises'!$B$55:$B$57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versus Análises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'Análises'!$A$55:$A$57</c:f>
            </c:strRef>
          </c:cat>
          <c:val>
            <c:numRef>
              <c:f>'Análises'!$B$55:$B$57</c:f>
              <c:numCache/>
            </c:numRef>
          </c:val>
        </c:ser>
        <c:axId val="1980812362"/>
        <c:axId val="1330440878"/>
      </c:barChart>
      <c:catAx>
        <c:axId val="198081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Análises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440878"/>
      </c:catAx>
      <c:valAx>
        <c:axId val="1330440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1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7</xdr:row>
      <xdr:rowOff>95250</xdr:rowOff>
    </xdr:from>
    <xdr:ext cx="6543675" cy="4038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809625</xdr:colOff>
      <xdr:row>39</xdr:row>
      <xdr:rowOff>47625</xdr:rowOff>
    </xdr:from>
    <xdr:ext cx="6972300" cy="4314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57</xdr:row>
      <xdr:rowOff>152400</xdr:rowOff>
    </xdr:from>
    <xdr:ext cx="5372100" cy="3324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1733550</xdr:colOff>
      <xdr:row>60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20.25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24.75"/>
    <col customWidth="1" min="13" max="13" width="20.38"/>
    <col customWidth="1" min="14" max="14" width="23.88"/>
    <col customWidth="1" min="15" max="15" width="18.0"/>
    <col customWidth="1" min="17" max="17" width="17.0"/>
    <col customWidth="1" min="19" max="19" width="17.0"/>
    <col customWidth="1" min="20" max="20" width="15.38"/>
    <col customWidth="1" min="21" max="21" width="15.13"/>
    <col customWidth="1" min="23" max="23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6" t="s">
        <v>21</v>
      </c>
      <c r="W1" s="6" t="s">
        <v>14</v>
      </c>
      <c r="X1" s="5" t="s">
        <v>15</v>
      </c>
      <c r="Y1" s="5" t="s">
        <v>22</v>
      </c>
      <c r="Z1" s="7" t="s">
        <v>21</v>
      </c>
    </row>
    <row r="2">
      <c r="A2" s="8" t="s">
        <v>23</v>
      </c>
      <c r="B2" s="9">
        <v>45317.0</v>
      </c>
      <c r="C2" s="10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8" t="s">
        <v>24</v>
      </c>
      <c r="L2" s="11">
        <f t="shared" ref="L2:L81" si="1">D2/100</f>
        <v>0.052</v>
      </c>
      <c r="M2" s="12">
        <f t="shared" ref="M2:M81" si="2">C2/(L2+1)</f>
        <v>9.030418251</v>
      </c>
      <c r="N2" s="13">
        <f>VLOOKUP(A2,Total_de_acoes!A:B,2,0)</f>
        <v>515117391</v>
      </c>
      <c r="O2" s="14">
        <f t="shared" ref="O2:O81" si="3">(C2-M2)*N2</f>
        <v>241889725.4</v>
      </c>
      <c r="P2" s="11" t="str">
        <f t="shared" ref="P2:P81" si="4">IF(O2&gt;0, "Subiu", IF(O2&lt;0,"Desceu", "Estável"))</f>
        <v>Subiu</v>
      </c>
      <c r="Q2" s="15" t="s">
        <v>25</v>
      </c>
      <c r="R2" s="15" t="s">
        <v>26</v>
      </c>
      <c r="S2" s="15">
        <v>59.0</v>
      </c>
      <c r="T2" s="11" t="str">
        <f t="shared" ref="T2:T81" si="5">IF(S2&gt;100,"Mais de 100 anos",IF(S2&lt;50,"Menos de 50", "Entre 50 e 100"))</f>
        <v>Entre 50 e 100</v>
      </c>
      <c r="U2" s="11">
        <f t="shared" ref="U2:U81" si="6">F2/100</f>
        <v>0.0226</v>
      </c>
      <c r="V2" s="14">
        <f t="shared" ref="V2:V81" si="7">C2/(U2+1)</f>
        <v>9.290044983</v>
      </c>
      <c r="W2" s="14">
        <f t="shared" ref="W2:W81" si="8">(C2-V2)*N2</f>
        <v>108151480.4</v>
      </c>
      <c r="X2" s="11" t="str">
        <f t="shared" ref="X2:X81" si="9">IF(W2&gt;0, "Subiu", IF(W2&lt;0,"Desceu", "Estável"))</f>
        <v>Subiu</v>
      </c>
      <c r="Y2" s="11">
        <f t="shared" ref="Y2:Y81" si="10">G2/100</f>
        <v>0.0226</v>
      </c>
      <c r="Z2" s="16">
        <f t="shared" ref="Z2:Z81" si="11">C2/(U2+1)</f>
        <v>9.290044983</v>
      </c>
    </row>
    <row r="3">
      <c r="A3" s="17" t="s">
        <v>27</v>
      </c>
      <c r="B3" s="18">
        <v>45317.0</v>
      </c>
      <c r="C3" s="19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7" t="s">
        <v>28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5" t="s">
        <v>29</v>
      </c>
      <c r="R3" s="15" t="s">
        <v>30</v>
      </c>
      <c r="S3" s="15">
        <v>5.0</v>
      </c>
      <c r="T3" s="11" t="str">
        <f t="shared" si="5"/>
        <v>Menos de 50</v>
      </c>
      <c r="U3" s="11">
        <f t="shared" si="6"/>
        <v>-0.1211</v>
      </c>
      <c r="V3" s="14">
        <f t="shared" si="7"/>
        <v>7.759699625</v>
      </c>
      <c r="W3" s="14">
        <f t="shared" si="8"/>
        <v>-1043592200</v>
      </c>
      <c r="X3" s="11" t="str">
        <f t="shared" si="9"/>
        <v>Desceu</v>
      </c>
      <c r="Y3" s="11">
        <f t="shared" si="10"/>
        <v>-0.1211</v>
      </c>
      <c r="Z3" s="16">
        <f t="shared" si="11"/>
        <v>7.759699625</v>
      </c>
    </row>
    <row r="4">
      <c r="A4" s="8" t="s">
        <v>31</v>
      </c>
      <c r="B4" s="9">
        <v>45317.0</v>
      </c>
      <c r="C4" s="10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8" t="s">
        <v>32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5" t="s">
        <v>33</v>
      </c>
      <c r="R4" s="15" t="s">
        <v>34</v>
      </c>
      <c r="S4" s="15">
        <v>69.0</v>
      </c>
      <c r="T4" s="11" t="str">
        <f t="shared" si="5"/>
        <v>Entre 50 e 100</v>
      </c>
      <c r="U4" s="11">
        <f t="shared" si="6"/>
        <v>0.0764</v>
      </c>
      <c r="V4" s="14">
        <f t="shared" si="7"/>
        <v>38.98179116</v>
      </c>
      <c r="W4" s="14">
        <f t="shared" si="8"/>
        <v>7087772680</v>
      </c>
      <c r="X4" s="11" t="str">
        <f t="shared" si="9"/>
        <v>Subiu</v>
      </c>
      <c r="Y4" s="11">
        <f t="shared" si="10"/>
        <v>0.0764</v>
      </c>
      <c r="Z4" s="16">
        <f t="shared" si="11"/>
        <v>38.98179116</v>
      </c>
    </row>
    <row r="5">
      <c r="A5" s="17" t="s">
        <v>35</v>
      </c>
      <c r="B5" s="18">
        <v>45317.0</v>
      </c>
      <c r="C5" s="19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7" t="s">
        <v>36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5" t="s">
        <v>37</v>
      </c>
      <c r="R5" s="15" t="s">
        <v>38</v>
      </c>
      <c r="S5" s="15">
        <v>98.0</v>
      </c>
      <c r="T5" s="11" t="str">
        <f t="shared" si="5"/>
        <v>Entre 50 e 100</v>
      </c>
      <c r="U5" s="11">
        <f t="shared" si="6"/>
        <v>-0.0489</v>
      </c>
      <c r="V5" s="14">
        <f t="shared" si="7"/>
        <v>55.63032278</v>
      </c>
      <c r="W5" s="14">
        <f t="shared" si="8"/>
        <v>-1859212322</v>
      </c>
      <c r="X5" s="11" t="str">
        <f t="shared" si="9"/>
        <v>Desceu</v>
      </c>
      <c r="Y5" s="11">
        <f t="shared" si="10"/>
        <v>-0.0489</v>
      </c>
      <c r="Z5" s="16">
        <f t="shared" si="11"/>
        <v>55.63032278</v>
      </c>
    </row>
    <row r="6">
      <c r="A6" s="8" t="s">
        <v>39</v>
      </c>
      <c r="B6" s="9">
        <v>45317.0</v>
      </c>
      <c r="C6" s="10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8" t="s">
        <v>40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5" t="s">
        <v>41</v>
      </c>
      <c r="R6" s="15" t="s">
        <v>42</v>
      </c>
      <c r="S6" s="15">
        <v>29.0</v>
      </c>
      <c r="T6" s="11" t="str">
        <f t="shared" si="5"/>
        <v>Menos de 50</v>
      </c>
      <c r="U6" s="11">
        <f t="shared" si="6"/>
        <v>-0.0366</v>
      </c>
      <c r="V6" s="14">
        <f t="shared" si="7"/>
        <v>38.50944571</v>
      </c>
      <c r="W6" s="14">
        <f t="shared" si="8"/>
        <v>-264598820.9</v>
      </c>
      <c r="X6" s="11" t="str">
        <f t="shared" si="9"/>
        <v>Desceu</v>
      </c>
      <c r="Y6" s="11">
        <f t="shared" si="10"/>
        <v>-0.0366</v>
      </c>
      <c r="Z6" s="16">
        <f t="shared" si="11"/>
        <v>38.50944571</v>
      </c>
    </row>
    <row r="7">
      <c r="A7" s="17" t="s">
        <v>43</v>
      </c>
      <c r="B7" s="18">
        <v>45317.0</v>
      </c>
      <c r="C7" s="19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7" t="s">
        <v>44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5" t="s">
        <v>45</v>
      </c>
      <c r="R7" s="15" t="s">
        <v>34</v>
      </c>
      <c r="S7" s="15">
        <v>13.0</v>
      </c>
      <c r="T7" s="11" t="str">
        <f t="shared" si="5"/>
        <v>Menos de 50</v>
      </c>
      <c r="U7" s="11">
        <f t="shared" si="6"/>
        <v>-0.0078</v>
      </c>
      <c r="V7" s="14">
        <f t="shared" si="7"/>
        <v>46.04918363</v>
      </c>
      <c r="W7" s="14">
        <f t="shared" si="8"/>
        <v>-287350761.3</v>
      </c>
      <c r="X7" s="11" t="str">
        <f t="shared" si="9"/>
        <v>Desceu</v>
      </c>
      <c r="Y7" s="11">
        <f t="shared" si="10"/>
        <v>-0.0078</v>
      </c>
      <c r="Z7" s="16">
        <f t="shared" si="11"/>
        <v>46.04918363</v>
      </c>
    </row>
    <row r="8">
      <c r="A8" s="8" t="s">
        <v>46</v>
      </c>
      <c r="B8" s="9">
        <v>45317.0</v>
      </c>
      <c r="C8" s="10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8" t="s">
        <v>47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5" t="s">
        <v>33</v>
      </c>
      <c r="R8" s="15" t="s">
        <v>34</v>
      </c>
      <c r="S8" s="15">
        <v>69.0</v>
      </c>
      <c r="T8" s="11" t="str">
        <f t="shared" si="5"/>
        <v>Entre 50 e 100</v>
      </c>
      <c r="U8" s="11">
        <f t="shared" si="6"/>
        <v>0.073</v>
      </c>
      <c r="V8" s="14">
        <f t="shared" si="7"/>
        <v>37.24137931</v>
      </c>
      <c r="W8" s="14">
        <f t="shared" si="8"/>
        <v>12414434171</v>
      </c>
      <c r="X8" s="11" t="str">
        <f t="shared" si="9"/>
        <v>Subiu</v>
      </c>
      <c r="Y8" s="11">
        <f t="shared" si="10"/>
        <v>0.073</v>
      </c>
      <c r="Z8" s="16">
        <f t="shared" si="11"/>
        <v>37.24137931</v>
      </c>
    </row>
    <row r="9">
      <c r="A9" s="17" t="s">
        <v>48</v>
      </c>
      <c r="B9" s="18">
        <v>45317.0</v>
      </c>
      <c r="C9" s="19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7" t="s">
        <v>49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5" t="s">
        <v>50</v>
      </c>
      <c r="R9" s="15" t="s">
        <v>30</v>
      </c>
      <c r="S9" s="15">
        <v>80.0</v>
      </c>
      <c r="T9" s="11" t="str">
        <f t="shared" si="5"/>
        <v>Entre 50 e 100</v>
      </c>
      <c r="U9" s="11">
        <f t="shared" si="6"/>
        <v>-0.0997</v>
      </c>
      <c r="V9" s="14">
        <f t="shared" si="7"/>
        <v>77.19649006</v>
      </c>
      <c r="W9" s="14">
        <f t="shared" si="8"/>
        <v>-32301586276</v>
      </c>
      <c r="X9" s="11" t="str">
        <f t="shared" si="9"/>
        <v>Desceu</v>
      </c>
      <c r="Y9" s="11">
        <f t="shared" si="10"/>
        <v>-0.0997</v>
      </c>
      <c r="Z9" s="16">
        <f t="shared" si="11"/>
        <v>77.19649006</v>
      </c>
    </row>
    <row r="10">
      <c r="A10" s="8" t="s">
        <v>51</v>
      </c>
      <c r="B10" s="9">
        <v>45317.0</v>
      </c>
      <c r="C10" s="10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8" t="s">
        <v>52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5" t="s">
        <v>53</v>
      </c>
      <c r="R10" s="15" t="s">
        <v>54</v>
      </c>
      <c r="S10" s="15">
        <v>51.0</v>
      </c>
      <c r="T10" s="11" t="str">
        <f t="shared" si="5"/>
        <v>Entre 50 e 100</v>
      </c>
      <c r="U10" s="11">
        <f t="shared" si="6"/>
        <v>-0.0081</v>
      </c>
      <c r="V10" s="14">
        <f t="shared" si="7"/>
        <v>28.42020365</v>
      </c>
      <c r="W10" s="14">
        <f t="shared" si="8"/>
        <v>-61810930.37</v>
      </c>
      <c r="X10" s="11" t="str">
        <f t="shared" si="9"/>
        <v>Desceu</v>
      </c>
      <c r="Y10" s="11">
        <f t="shared" si="10"/>
        <v>-0.0081</v>
      </c>
      <c r="Z10" s="16">
        <f t="shared" si="11"/>
        <v>28.42020365</v>
      </c>
    </row>
    <row r="11">
      <c r="A11" s="17" t="s">
        <v>55</v>
      </c>
      <c r="B11" s="18">
        <v>45317.0</v>
      </c>
      <c r="C11" s="19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7" t="s">
        <v>56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5" t="s">
        <v>57</v>
      </c>
      <c r="R11" s="15" t="s">
        <v>58</v>
      </c>
      <c r="S11" s="15">
        <v>13.0</v>
      </c>
      <c r="T11" s="11" t="str">
        <f t="shared" si="5"/>
        <v>Menos de 50</v>
      </c>
      <c r="U11" s="11">
        <f t="shared" si="6"/>
        <v>-0.0336</v>
      </c>
      <c r="V11" s="14">
        <f t="shared" si="7"/>
        <v>33.95074503</v>
      </c>
      <c r="W11" s="14">
        <f t="shared" si="8"/>
        <v>-5477394315</v>
      </c>
      <c r="X11" s="11" t="str">
        <f t="shared" si="9"/>
        <v>Desceu</v>
      </c>
      <c r="Y11" s="11">
        <f t="shared" si="10"/>
        <v>-0.0336</v>
      </c>
      <c r="Z11" s="16">
        <f t="shared" si="11"/>
        <v>33.95074503</v>
      </c>
    </row>
    <row r="12">
      <c r="A12" s="8" t="s">
        <v>59</v>
      </c>
      <c r="B12" s="9">
        <v>45317.0</v>
      </c>
      <c r="C12" s="10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8" t="s">
        <v>60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5" t="s">
        <v>61</v>
      </c>
      <c r="R12" s="15" t="s">
        <v>62</v>
      </c>
      <c r="S12" s="15">
        <v>44.0</v>
      </c>
      <c r="T12" s="11" t="str">
        <f t="shared" si="5"/>
        <v>Menos de 50</v>
      </c>
      <c r="U12" s="11">
        <f t="shared" si="6"/>
        <v>-0.0417</v>
      </c>
      <c r="V12" s="14">
        <f t="shared" si="7"/>
        <v>28.75926119</v>
      </c>
      <c r="W12" s="14">
        <f t="shared" si="8"/>
        <v>-1401013341</v>
      </c>
      <c r="X12" s="11" t="str">
        <f t="shared" si="9"/>
        <v>Desceu</v>
      </c>
      <c r="Y12" s="11">
        <f t="shared" si="10"/>
        <v>-0.0417</v>
      </c>
      <c r="Z12" s="16">
        <f t="shared" si="11"/>
        <v>28.75926119</v>
      </c>
    </row>
    <row r="13">
      <c r="A13" s="17" t="s">
        <v>63</v>
      </c>
      <c r="B13" s="18">
        <v>45317.0</v>
      </c>
      <c r="C13" s="19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7" t="s">
        <v>64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5" t="s">
        <v>65</v>
      </c>
      <c r="R13" s="15" t="s">
        <v>66</v>
      </c>
      <c r="S13" s="15">
        <v>50.0</v>
      </c>
      <c r="T13" s="11" t="str">
        <f t="shared" si="5"/>
        <v>Entre 50 e 100</v>
      </c>
      <c r="U13" s="11">
        <f t="shared" si="6"/>
        <v>-0.1514</v>
      </c>
      <c r="V13" s="14">
        <f t="shared" si="7"/>
        <v>21.85953335</v>
      </c>
      <c r="W13" s="14">
        <f t="shared" si="8"/>
        <v>-879931667.6</v>
      </c>
      <c r="X13" s="11" t="str">
        <f t="shared" si="9"/>
        <v>Desceu</v>
      </c>
      <c r="Y13" s="11">
        <f t="shared" si="10"/>
        <v>-0.1514</v>
      </c>
      <c r="Z13" s="16">
        <f t="shared" si="11"/>
        <v>21.85953335</v>
      </c>
    </row>
    <row r="14">
      <c r="A14" s="8" t="s">
        <v>67</v>
      </c>
      <c r="B14" s="9">
        <v>45317.0</v>
      </c>
      <c r="C14" s="10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8" t="s">
        <v>68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5" t="s">
        <v>69</v>
      </c>
      <c r="R14" s="15" t="s">
        <v>70</v>
      </c>
      <c r="S14" s="15">
        <v>14.0</v>
      </c>
      <c r="T14" s="11" t="str">
        <f t="shared" si="5"/>
        <v>Menos de 50</v>
      </c>
      <c r="U14" s="11">
        <f t="shared" si="6"/>
        <v>-0.1087</v>
      </c>
      <c r="V14" s="14">
        <f t="shared" si="7"/>
        <v>16.010322</v>
      </c>
      <c r="W14" s="14">
        <f t="shared" si="8"/>
        <v>-570118567.2</v>
      </c>
      <c r="X14" s="11" t="str">
        <f t="shared" si="9"/>
        <v>Desceu</v>
      </c>
      <c r="Y14" s="11">
        <f t="shared" si="10"/>
        <v>-0.1087</v>
      </c>
      <c r="Z14" s="16">
        <f t="shared" si="11"/>
        <v>16.010322</v>
      </c>
    </row>
    <row r="15">
      <c r="A15" s="17" t="s">
        <v>71</v>
      </c>
      <c r="B15" s="18">
        <v>45317.0</v>
      </c>
      <c r="C15" s="19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7" t="s">
        <v>72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5" t="s">
        <v>73</v>
      </c>
      <c r="R15" s="15" t="s">
        <v>34</v>
      </c>
      <c r="S15" s="15">
        <v>9.0</v>
      </c>
      <c r="T15" s="11" t="str">
        <f t="shared" si="5"/>
        <v>Menos de 50</v>
      </c>
      <c r="U15" s="11">
        <f t="shared" si="6"/>
        <v>0.094</v>
      </c>
      <c r="V15" s="14">
        <f t="shared" si="7"/>
        <v>26.2797075</v>
      </c>
      <c r="W15" s="14">
        <f t="shared" si="8"/>
        <v>582162881.3</v>
      </c>
      <c r="X15" s="11" t="str">
        <f t="shared" si="9"/>
        <v>Subiu</v>
      </c>
      <c r="Y15" s="11">
        <f t="shared" si="10"/>
        <v>0.094</v>
      </c>
      <c r="Z15" s="16">
        <f t="shared" si="11"/>
        <v>26.2797075</v>
      </c>
    </row>
    <row r="16">
      <c r="A16" s="8" t="s">
        <v>74</v>
      </c>
      <c r="B16" s="9">
        <v>45317.0</v>
      </c>
      <c r="C16" s="10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8" t="s">
        <v>75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5" t="s">
        <v>76</v>
      </c>
      <c r="R16" s="15" t="s">
        <v>42</v>
      </c>
      <c r="S16" s="15">
        <v>25.0</v>
      </c>
      <c r="T16" s="11" t="str">
        <f t="shared" si="5"/>
        <v>Menos de 50</v>
      </c>
      <c r="U16" s="11">
        <f t="shared" si="6"/>
        <v>-0.0112</v>
      </c>
      <c r="V16" s="14">
        <f t="shared" si="7"/>
        <v>35.72006472</v>
      </c>
      <c r="W16" s="14">
        <f t="shared" si="8"/>
        <v>-438305812.2</v>
      </c>
      <c r="X16" s="11" t="str">
        <f t="shared" si="9"/>
        <v>Desceu</v>
      </c>
      <c r="Y16" s="11">
        <f t="shared" si="10"/>
        <v>-0.0112</v>
      </c>
      <c r="Z16" s="16">
        <f t="shared" si="11"/>
        <v>35.72006472</v>
      </c>
    </row>
    <row r="17">
      <c r="A17" s="17" t="s">
        <v>77</v>
      </c>
      <c r="B17" s="18">
        <v>45317.0</v>
      </c>
      <c r="C17" s="19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7" t="s">
        <v>78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5" t="s">
        <v>79</v>
      </c>
      <c r="R17" s="15" t="s">
        <v>26</v>
      </c>
      <c r="S17" s="15">
        <v>81.0</v>
      </c>
      <c r="T17" s="11" t="str">
        <f t="shared" si="5"/>
        <v>Entre 50 e 100</v>
      </c>
      <c r="U17" s="11">
        <f t="shared" si="6"/>
        <v>-0.0763</v>
      </c>
      <c r="V17" s="14">
        <f t="shared" si="7"/>
        <v>19.66006279</v>
      </c>
      <c r="W17" s="14">
        <f t="shared" si="8"/>
        <v>-901335905.4</v>
      </c>
      <c r="X17" s="11" t="str">
        <f t="shared" si="9"/>
        <v>Desceu</v>
      </c>
      <c r="Y17" s="11">
        <f t="shared" si="10"/>
        <v>-0.0763</v>
      </c>
      <c r="Z17" s="16">
        <f t="shared" si="11"/>
        <v>19.66006279</v>
      </c>
    </row>
    <row r="18">
      <c r="A18" s="8" t="s">
        <v>80</v>
      </c>
      <c r="B18" s="9">
        <v>45317.0</v>
      </c>
      <c r="C18" s="10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8" t="s">
        <v>81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5" t="s">
        <v>82</v>
      </c>
      <c r="R18" s="15" t="s">
        <v>83</v>
      </c>
      <c r="S18" s="15">
        <v>59.0</v>
      </c>
      <c r="T18" s="11" t="str">
        <f t="shared" si="5"/>
        <v>Entre 50 e 100</v>
      </c>
      <c r="U18" s="11">
        <f t="shared" si="6"/>
        <v>-0.1182</v>
      </c>
      <c r="V18" s="14">
        <f t="shared" si="7"/>
        <v>22.4200499</v>
      </c>
      <c r="W18" s="14">
        <f t="shared" si="8"/>
        <v>-766786410</v>
      </c>
      <c r="X18" s="11" t="str">
        <f t="shared" si="9"/>
        <v>Desceu</v>
      </c>
      <c r="Y18" s="11">
        <f t="shared" si="10"/>
        <v>-0.1182</v>
      </c>
      <c r="Z18" s="16">
        <f t="shared" si="11"/>
        <v>22.4200499</v>
      </c>
    </row>
    <row r="19">
      <c r="A19" s="17" t="s">
        <v>84</v>
      </c>
      <c r="B19" s="18">
        <v>45317.0</v>
      </c>
      <c r="C19" s="19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7" t="s">
        <v>85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5" t="s">
        <v>86</v>
      </c>
      <c r="R19" s="15" t="s">
        <v>34</v>
      </c>
      <c r="S19" s="15">
        <v>84.0</v>
      </c>
      <c r="T19" s="11" t="str">
        <f t="shared" si="5"/>
        <v>Entre 50 e 100</v>
      </c>
      <c r="U19" s="11">
        <f t="shared" si="6"/>
        <v>0.0679</v>
      </c>
      <c r="V19" s="14">
        <f t="shared" si="7"/>
        <v>26.50997284</v>
      </c>
      <c r="W19" s="14">
        <f t="shared" si="8"/>
        <v>1955569648</v>
      </c>
      <c r="X19" s="11" t="str">
        <f t="shared" si="9"/>
        <v>Subiu</v>
      </c>
      <c r="Y19" s="11">
        <f t="shared" si="10"/>
        <v>0.0679</v>
      </c>
      <c r="Z19" s="16">
        <f t="shared" si="11"/>
        <v>26.50997284</v>
      </c>
    </row>
    <row r="20">
      <c r="A20" s="8" t="s">
        <v>87</v>
      </c>
      <c r="B20" s="9">
        <v>45317.0</v>
      </c>
      <c r="C20" s="10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8" t="s">
        <v>88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5" t="s">
        <v>89</v>
      </c>
      <c r="R20" s="15" t="s">
        <v>90</v>
      </c>
      <c r="S20" s="15">
        <v>48.0</v>
      </c>
      <c r="T20" s="11" t="str">
        <f t="shared" si="5"/>
        <v>Menos de 50</v>
      </c>
      <c r="U20" s="11">
        <f t="shared" si="6"/>
        <v>-0.2805</v>
      </c>
      <c r="V20" s="14">
        <f t="shared" si="7"/>
        <v>11.23002085</v>
      </c>
      <c r="W20" s="14">
        <f t="shared" si="8"/>
        <v>-1184998726</v>
      </c>
      <c r="X20" s="11" t="str">
        <f t="shared" si="9"/>
        <v>Desceu</v>
      </c>
      <c r="Y20" s="11">
        <f t="shared" si="10"/>
        <v>-0.2805</v>
      </c>
      <c r="Z20" s="16">
        <f t="shared" si="11"/>
        <v>11.23002085</v>
      </c>
    </row>
    <row r="21">
      <c r="A21" s="17" t="s">
        <v>91</v>
      </c>
      <c r="B21" s="18">
        <v>45317.0</v>
      </c>
      <c r="C21" s="19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7" t="s">
        <v>92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5" t="s">
        <v>93</v>
      </c>
      <c r="R21" s="15" t="s">
        <v>94</v>
      </c>
      <c r="S21" s="15">
        <v>50.0</v>
      </c>
      <c r="T21" s="11" t="str">
        <f t="shared" si="5"/>
        <v>Entre 50 e 100</v>
      </c>
      <c r="U21" s="11">
        <f t="shared" si="6"/>
        <v>-0.1026</v>
      </c>
      <c r="V21" s="14">
        <f t="shared" si="7"/>
        <v>64.53086695</v>
      </c>
      <c r="W21" s="14">
        <f t="shared" si="8"/>
        <v>-412519014.4</v>
      </c>
      <c r="X21" s="11" t="str">
        <f t="shared" si="9"/>
        <v>Desceu</v>
      </c>
      <c r="Y21" s="11">
        <f t="shared" si="10"/>
        <v>-0.1026</v>
      </c>
      <c r="Z21" s="16">
        <f t="shared" si="11"/>
        <v>64.53086695</v>
      </c>
    </row>
    <row r="22">
      <c r="A22" s="8" t="s">
        <v>95</v>
      </c>
      <c r="B22" s="9">
        <v>45317.0</v>
      </c>
      <c r="C22" s="10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8" t="s">
        <v>96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5" t="s">
        <v>97</v>
      </c>
      <c r="R22" s="15" t="s">
        <v>58</v>
      </c>
      <c r="S22" s="15">
        <v>78.0</v>
      </c>
      <c r="T22" s="11" t="str">
        <f t="shared" si="5"/>
        <v>Entre 50 e 100</v>
      </c>
      <c r="U22" s="11">
        <f t="shared" si="6"/>
        <v>-0.0908</v>
      </c>
      <c r="V22" s="14">
        <f t="shared" si="7"/>
        <v>17.06995161</v>
      </c>
      <c r="W22" s="14">
        <f t="shared" si="8"/>
        <v>-7976945081</v>
      </c>
      <c r="X22" s="11" t="str">
        <f t="shared" si="9"/>
        <v>Desceu</v>
      </c>
      <c r="Y22" s="11">
        <f t="shared" si="10"/>
        <v>-0.0908</v>
      </c>
      <c r="Z22" s="16">
        <f t="shared" si="11"/>
        <v>17.06995161</v>
      </c>
    </row>
    <row r="23">
      <c r="A23" s="17" t="s">
        <v>98</v>
      </c>
      <c r="B23" s="18">
        <v>45317.0</v>
      </c>
      <c r="C23" s="19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7" t="s">
        <v>99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5" t="s">
        <v>100</v>
      </c>
      <c r="R23" s="15" t="s">
        <v>101</v>
      </c>
      <c r="S23" s="15">
        <v>30.0</v>
      </c>
      <c r="T23" s="11" t="str">
        <f t="shared" si="5"/>
        <v>Menos de 50</v>
      </c>
      <c r="U23" s="11">
        <f t="shared" si="6"/>
        <v>-0.0375</v>
      </c>
      <c r="V23" s="14">
        <f t="shared" si="7"/>
        <v>7.47012987</v>
      </c>
      <c r="W23" s="14">
        <f t="shared" si="8"/>
        <v>-73124031.76</v>
      </c>
      <c r="X23" s="11" t="str">
        <f t="shared" si="9"/>
        <v>Desceu</v>
      </c>
      <c r="Y23" s="11">
        <f t="shared" si="10"/>
        <v>-0.0375</v>
      </c>
      <c r="Z23" s="16">
        <f t="shared" si="11"/>
        <v>7.47012987</v>
      </c>
    </row>
    <row r="24">
      <c r="A24" s="8" t="s">
        <v>102</v>
      </c>
      <c r="B24" s="9">
        <v>45317.0</v>
      </c>
      <c r="C24" s="10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8" t="s">
        <v>103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5" t="s">
        <v>104</v>
      </c>
      <c r="R24" s="15" t="s">
        <v>105</v>
      </c>
      <c r="S24" s="15">
        <v>76.0</v>
      </c>
      <c r="T24" s="11" t="str">
        <f t="shared" si="5"/>
        <v>Entre 50 e 100</v>
      </c>
      <c r="U24" s="11">
        <f t="shared" si="6"/>
        <v>0.0197</v>
      </c>
      <c r="V24" s="14">
        <f t="shared" si="7"/>
        <v>4.060017652</v>
      </c>
      <c r="W24" s="14">
        <f t="shared" si="8"/>
        <v>12751651.77</v>
      </c>
      <c r="X24" s="11" t="str">
        <f t="shared" si="9"/>
        <v>Subiu</v>
      </c>
      <c r="Y24" s="11">
        <f t="shared" si="10"/>
        <v>0.0197</v>
      </c>
      <c r="Z24" s="16">
        <f t="shared" si="11"/>
        <v>4.060017652</v>
      </c>
    </row>
    <row r="25">
      <c r="A25" s="17" t="s">
        <v>106</v>
      </c>
      <c r="B25" s="18">
        <v>45317.0</v>
      </c>
      <c r="C25" s="19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7" t="s">
        <v>107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5" t="s">
        <v>108</v>
      </c>
      <c r="R25" s="15" t="s">
        <v>101</v>
      </c>
      <c r="S25" s="15">
        <v>34.0</v>
      </c>
      <c r="T25" s="11" t="str">
        <f t="shared" si="5"/>
        <v>Menos de 50</v>
      </c>
      <c r="U25" s="11">
        <f t="shared" si="6"/>
        <v>0.0579</v>
      </c>
      <c r="V25" s="14">
        <f t="shared" si="7"/>
        <v>13.81037905</v>
      </c>
      <c r="W25" s="14">
        <f t="shared" si="8"/>
        <v>1341384486</v>
      </c>
      <c r="X25" s="11" t="str">
        <f t="shared" si="9"/>
        <v>Subiu</v>
      </c>
      <c r="Y25" s="11">
        <f t="shared" si="10"/>
        <v>0.0579</v>
      </c>
      <c r="Z25" s="16">
        <f t="shared" si="11"/>
        <v>13.81037905</v>
      </c>
    </row>
    <row r="26">
      <c r="A26" s="8" t="s">
        <v>109</v>
      </c>
      <c r="B26" s="9">
        <v>45317.0</v>
      </c>
      <c r="C26" s="10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8" t="s">
        <v>110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5" t="s">
        <v>111</v>
      </c>
      <c r="R26" s="15" t="s">
        <v>112</v>
      </c>
      <c r="S26" s="15">
        <v>23.0</v>
      </c>
      <c r="T26" s="11" t="str">
        <f t="shared" si="5"/>
        <v>Menos de 50</v>
      </c>
      <c r="U26" s="11">
        <f t="shared" si="6"/>
        <v>-0.0419</v>
      </c>
      <c r="V26" s="14">
        <f t="shared" si="7"/>
        <v>53.43909822</v>
      </c>
      <c r="W26" s="14">
        <f t="shared" si="8"/>
        <v>-947343897.2</v>
      </c>
      <c r="X26" s="11" t="str">
        <f t="shared" si="9"/>
        <v>Desceu</v>
      </c>
      <c r="Y26" s="11">
        <f t="shared" si="10"/>
        <v>-0.0419</v>
      </c>
      <c r="Z26" s="16">
        <f t="shared" si="11"/>
        <v>53.43909822</v>
      </c>
    </row>
    <row r="27">
      <c r="A27" s="17" t="s">
        <v>113</v>
      </c>
      <c r="B27" s="18">
        <v>45317.0</v>
      </c>
      <c r="C27" s="19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7" t="s">
        <v>114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5" t="s">
        <v>115</v>
      </c>
      <c r="R27" s="15" t="s">
        <v>116</v>
      </c>
      <c r="S27" s="15">
        <v>12.0</v>
      </c>
      <c r="T27" s="11" t="str">
        <f t="shared" si="5"/>
        <v>Menos de 50</v>
      </c>
      <c r="U27" s="11">
        <f t="shared" si="6"/>
        <v>-0.0135</v>
      </c>
      <c r="V27" s="14">
        <f t="shared" si="7"/>
        <v>22.94982261</v>
      </c>
      <c r="W27" s="14">
        <f t="shared" si="8"/>
        <v>-377473158.3</v>
      </c>
      <c r="X27" s="11" t="str">
        <f t="shared" si="9"/>
        <v>Desceu</v>
      </c>
      <c r="Y27" s="11">
        <f t="shared" si="10"/>
        <v>-0.0135</v>
      </c>
      <c r="Z27" s="16">
        <f t="shared" si="11"/>
        <v>22.94982261</v>
      </c>
    </row>
    <row r="28">
      <c r="A28" s="8" t="s">
        <v>117</v>
      </c>
      <c r="B28" s="9">
        <v>45317.0</v>
      </c>
      <c r="C28" s="10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8" t="s">
        <v>118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5" t="s">
        <v>119</v>
      </c>
      <c r="R28" s="15" t="s">
        <v>120</v>
      </c>
      <c r="S28" s="15">
        <v>23.0</v>
      </c>
      <c r="T28" s="11" t="str">
        <f t="shared" si="5"/>
        <v>Menos de 50</v>
      </c>
      <c r="U28" s="11">
        <f t="shared" si="6"/>
        <v>0.0583</v>
      </c>
      <c r="V28" s="14">
        <f t="shared" si="7"/>
        <v>4.630067089</v>
      </c>
      <c r="W28" s="14">
        <f t="shared" si="8"/>
        <v>295701335.7</v>
      </c>
      <c r="X28" s="11" t="str">
        <f t="shared" si="9"/>
        <v>Subiu</v>
      </c>
      <c r="Y28" s="11">
        <f t="shared" si="10"/>
        <v>0.0583</v>
      </c>
      <c r="Z28" s="16">
        <f t="shared" si="11"/>
        <v>4.630067089</v>
      </c>
    </row>
    <row r="29">
      <c r="A29" s="17" t="s">
        <v>121</v>
      </c>
      <c r="B29" s="18">
        <v>45317.0</v>
      </c>
      <c r="C29" s="19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7" t="s">
        <v>122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5" t="s">
        <v>123</v>
      </c>
      <c r="R29" s="15" t="s">
        <v>124</v>
      </c>
      <c r="S29" s="15">
        <v>8.0</v>
      </c>
      <c r="T29" s="11" t="str">
        <f t="shared" si="5"/>
        <v>Menos de 50</v>
      </c>
      <c r="U29" s="11">
        <f t="shared" si="6"/>
        <v>-0.0322</v>
      </c>
      <c r="V29" s="14">
        <f t="shared" si="7"/>
        <v>8.069849142</v>
      </c>
      <c r="W29" s="14">
        <f t="shared" si="8"/>
        <v>-78674067.51</v>
      </c>
      <c r="X29" s="11" t="str">
        <f t="shared" si="9"/>
        <v>Desceu</v>
      </c>
      <c r="Y29" s="11">
        <f t="shared" si="10"/>
        <v>-0.0322</v>
      </c>
      <c r="Z29" s="16">
        <f t="shared" si="11"/>
        <v>8.069849142</v>
      </c>
    </row>
    <row r="30">
      <c r="A30" s="8" t="s">
        <v>125</v>
      </c>
      <c r="B30" s="9">
        <v>45317.0</v>
      </c>
      <c r="C30" s="10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8" t="s">
        <v>126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5" t="s">
        <v>127</v>
      </c>
      <c r="R30" s="15" t="s">
        <v>112</v>
      </c>
      <c r="S30" s="15">
        <v>27.0</v>
      </c>
      <c r="T30" s="11" t="str">
        <f t="shared" si="5"/>
        <v>Menos de 50</v>
      </c>
      <c r="U30" s="11">
        <f t="shared" si="6"/>
        <v>-0.0229</v>
      </c>
      <c r="V30" s="14">
        <f t="shared" si="7"/>
        <v>17.93061099</v>
      </c>
      <c r="W30" s="14">
        <f t="shared" si="8"/>
        <v>-331731312</v>
      </c>
      <c r="X30" s="11" t="str">
        <f t="shared" si="9"/>
        <v>Desceu</v>
      </c>
      <c r="Y30" s="11">
        <f t="shared" si="10"/>
        <v>-0.0229</v>
      </c>
      <c r="Z30" s="16">
        <f t="shared" si="11"/>
        <v>17.93061099</v>
      </c>
    </row>
    <row r="31">
      <c r="A31" s="17" t="s">
        <v>128</v>
      </c>
      <c r="B31" s="18">
        <v>45317.0</v>
      </c>
      <c r="C31" s="19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7" t="s">
        <v>129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5" t="s">
        <v>130</v>
      </c>
      <c r="R31" s="15" t="s">
        <v>58</v>
      </c>
      <c r="S31" s="15">
        <v>19.0</v>
      </c>
      <c r="T31" s="11" t="str">
        <f t="shared" si="5"/>
        <v>Menos de 50</v>
      </c>
      <c r="U31" s="11">
        <f t="shared" si="6"/>
        <v>-0.0951</v>
      </c>
      <c r="V31" s="14">
        <f t="shared" si="7"/>
        <v>25.66029396</v>
      </c>
      <c r="W31" s="14">
        <f t="shared" si="8"/>
        <v>-612522172.5</v>
      </c>
      <c r="X31" s="11" t="str">
        <f t="shared" si="9"/>
        <v>Desceu</v>
      </c>
      <c r="Y31" s="11">
        <f t="shared" si="10"/>
        <v>-0.0951</v>
      </c>
      <c r="Z31" s="16">
        <f t="shared" si="11"/>
        <v>25.66029396</v>
      </c>
    </row>
    <row r="32">
      <c r="A32" s="8" t="s">
        <v>131</v>
      </c>
      <c r="B32" s="9">
        <v>45317.0</v>
      </c>
      <c r="C32" s="10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8" t="s">
        <v>132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5" t="s">
        <v>133</v>
      </c>
      <c r="R32" s="15" t="s">
        <v>134</v>
      </c>
      <c r="S32" s="15">
        <v>23.0</v>
      </c>
      <c r="T32" s="11" t="str">
        <f t="shared" si="5"/>
        <v>Menos de 50</v>
      </c>
      <c r="U32" s="11">
        <f t="shared" si="6"/>
        <v>-0.0765</v>
      </c>
      <c r="V32" s="14">
        <f t="shared" si="7"/>
        <v>6.009745533</v>
      </c>
      <c r="W32" s="14">
        <f t="shared" si="8"/>
        <v>-180759594.5</v>
      </c>
      <c r="X32" s="11" t="str">
        <f t="shared" si="9"/>
        <v>Desceu</v>
      </c>
      <c r="Y32" s="11">
        <f t="shared" si="10"/>
        <v>-0.0765</v>
      </c>
      <c r="Z32" s="16">
        <f t="shared" si="11"/>
        <v>6.009745533</v>
      </c>
    </row>
    <row r="33">
      <c r="A33" s="17" t="s">
        <v>135</v>
      </c>
      <c r="B33" s="18">
        <v>45317.0</v>
      </c>
      <c r="C33" s="19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7" t="s">
        <v>136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5" t="s">
        <v>137</v>
      </c>
      <c r="R33" s="15" t="s">
        <v>34</v>
      </c>
      <c r="S33" s="15">
        <v>7.0</v>
      </c>
      <c r="T33" s="11" t="str">
        <f t="shared" si="5"/>
        <v>Menos de 50</v>
      </c>
      <c r="U33" s="11">
        <f t="shared" si="6"/>
        <v>0.0971</v>
      </c>
      <c r="V33" s="14">
        <f t="shared" si="7"/>
        <v>21.72090056</v>
      </c>
      <c r="W33" s="14">
        <f t="shared" si="8"/>
        <v>580014290.9</v>
      </c>
      <c r="X33" s="11" t="str">
        <f t="shared" si="9"/>
        <v>Subiu</v>
      </c>
      <c r="Y33" s="11">
        <f t="shared" si="10"/>
        <v>0.0971</v>
      </c>
      <c r="Z33" s="16">
        <f t="shared" si="11"/>
        <v>21.72090056</v>
      </c>
    </row>
    <row r="34">
      <c r="A34" s="8" t="s">
        <v>138</v>
      </c>
      <c r="B34" s="9">
        <v>45317.0</v>
      </c>
      <c r="C34" s="10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8" t="s">
        <v>139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5" t="s">
        <v>140</v>
      </c>
      <c r="R34" s="15" t="s">
        <v>141</v>
      </c>
      <c r="S34" s="15">
        <v>56.0</v>
      </c>
      <c r="T34" s="11" t="str">
        <f t="shared" si="5"/>
        <v>Entre 50 e 100</v>
      </c>
      <c r="U34" s="11">
        <f t="shared" si="6"/>
        <v>-0.0347</v>
      </c>
      <c r="V34" s="14">
        <f t="shared" si="7"/>
        <v>10.36983321</v>
      </c>
      <c r="W34" s="14">
        <f t="shared" si="8"/>
        <v>-1933306116</v>
      </c>
      <c r="X34" s="11" t="str">
        <f t="shared" si="9"/>
        <v>Desceu</v>
      </c>
      <c r="Y34" s="11">
        <f t="shared" si="10"/>
        <v>-0.0347</v>
      </c>
      <c r="Z34" s="16">
        <f t="shared" si="11"/>
        <v>10.36983321</v>
      </c>
    </row>
    <row r="35">
      <c r="A35" s="17" t="s">
        <v>142</v>
      </c>
      <c r="B35" s="18">
        <v>45317.0</v>
      </c>
      <c r="C35" s="19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7" t="s">
        <v>143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5" t="s">
        <v>144</v>
      </c>
      <c r="R35" s="15" t="s">
        <v>58</v>
      </c>
      <c r="S35" s="15">
        <v>213.0</v>
      </c>
      <c r="T35" s="11" t="str">
        <f t="shared" si="5"/>
        <v>Mais de 100 anos</v>
      </c>
      <c r="U35" s="11">
        <f t="shared" si="6"/>
        <v>0.0285</v>
      </c>
      <c r="V35" s="14">
        <f t="shared" si="7"/>
        <v>55.39134662</v>
      </c>
      <c r="W35" s="14">
        <f t="shared" si="8"/>
        <v>2243186117</v>
      </c>
      <c r="X35" s="11" t="str">
        <f t="shared" si="9"/>
        <v>Subiu</v>
      </c>
      <c r="Y35" s="11">
        <f t="shared" si="10"/>
        <v>0.0285</v>
      </c>
      <c r="Z35" s="16">
        <f t="shared" si="11"/>
        <v>55.39134662</v>
      </c>
    </row>
    <row r="36">
      <c r="A36" s="8" t="s">
        <v>145</v>
      </c>
      <c r="B36" s="9">
        <v>45317.0</v>
      </c>
      <c r="C36" s="10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8" t="s">
        <v>146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5" t="s">
        <v>147</v>
      </c>
      <c r="R36" s="15" t="s">
        <v>62</v>
      </c>
      <c r="S36" s="15">
        <v>116.0</v>
      </c>
      <c r="T36" s="11" t="str">
        <f t="shared" si="5"/>
        <v>Mais de 100 anos</v>
      </c>
      <c r="U36" s="11">
        <f t="shared" si="6"/>
        <v>-0.1102</v>
      </c>
      <c r="V36" s="14">
        <f t="shared" si="7"/>
        <v>29.39986514</v>
      </c>
      <c r="W36" s="14">
        <f t="shared" si="8"/>
        <v>-4133415132</v>
      </c>
      <c r="X36" s="11" t="str">
        <f t="shared" si="9"/>
        <v>Desceu</v>
      </c>
      <c r="Y36" s="11">
        <f t="shared" si="10"/>
        <v>-0.1102</v>
      </c>
      <c r="Z36" s="16">
        <f t="shared" si="11"/>
        <v>29.39986514</v>
      </c>
    </row>
    <row r="37">
      <c r="A37" s="17" t="s">
        <v>148</v>
      </c>
      <c r="B37" s="18">
        <v>45317.0</v>
      </c>
      <c r="C37" s="19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7" t="s">
        <v>149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5" t="s">
        <v>150</v>
      </c>
      <c r="R37" s="15" t="s">
        <v>26</v>
      </c>
      <c r="S37" s="15">
        <v>120.0</v>
      </c>
      <c r="T37" s="11" t="str">
        <f t="shared" si="5"/>
        <v>Mais de 100 anos</v>
      </c>
      <c r="U37" s="11">
        <f t="shared" si="6"/>
        <v>-0.0718</v>
      </c>
      <c r="V37" s="14">
        <f t="shared" si="7"/>
        <v>10.85972851</v>
      </c>
      <c r="W37" s="14">
        <f t="shared" si="8"/>
        <v>-514941453.7</v>
      </c>
      <c r="X37" s="11" t="str">
        <f t="shared" si="9"/>
        <v>Desceu</v>
      </c>
      <c r="Y37" s="11">
        <f t="shared" si="10"/>
        <v>-0.0718</v>
      </c>
      <c r="Z37" s="16">
        <f t="shared" si="11"/>
        <v>10.85972851</v>
      </c>
    </row>
    <row r="38">
      <c r="A38" s="8" t="s">
        <v>151</v>
      </c>
      <c r="B38" s="9">
        <v>45317.0</v>
      </c>
      <c r="C38" s="10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8" t="s">
        <v>152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5" t="s">
        <v>153</v>
      </c>
      <c r="R38" s="15" t="s">
        <v>42</v>
      </c>
      <c r="S38" s="15">
        <v>19.0</v>
      </c>
      <c r="T38" s="11" t="str">
        <f t="shared" si="5"/>
        <v>Menos de 50</v>
      </c>
      <c r="U38" s="11">
        <f t="shared" si="6"/>
        <v>-0.0408</v>
      </c>
      <c r="V38" s="14">
        <f t="shared" si="7"/>
        <v>19.35988324</v>
      </c>
      <c r="W38" s="14">
        <f t="shared" si="8"/>
        <v>-922660934.2</v>
      </c>
      <c r="X38" s="11" t="str">
        <f t="shared" si="9"/>
        <v>Desceu</v>
      </c>
      <c r="Y38" s="11">
        <f t="shared" si="10"/>
        <v>-0.0408</v>
      </c>
      <c r="Z38" s="16">
        <f t="shared" si="11"/>
        <v>19.35988324</v>
      </c>
    </row>
    <row r="39">
      <c r="A39" s="17" t="s">
        <v>154</v>
      </c>
      <c r="B39" s="18">
        <v>45317.0</v>
      </c>
      <c r="C39" s="19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7" t="s">
        <v>155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5" t="s">
        <v>156</v>
      </c>
      <c r="R39" s="15" t="s">
        <v>101</v>
      </c>
      <c r="S39" s="15">
        <v>68.0</v>
      </c>
      <c r="T39" s="11" t="str">
        <f t="shared" si="5"/>
        <v>Entre 50 e 100</v>
      </c>
      <c r="U39" s="11">
        <f t="shared" si="6"/>
        <v>-0.0229</v>
      </c>
      <c r="V39" s="14">
        <f t="shared" si="7"/>
        <v>24.91044929</v>
      </c>
      <c r="W39" s="14">
        <f t="shared" si="8"/>
        <v>-647452225.6</v>
      </c>
      <c r="X39" s="11" t="str">
        <f t="shared" si="9"/>
        <v>Desceu</v>
      </c>
      <c r="Y39" s="11">
        <f t="shared" si="10"/>
        <v>-0.0229</v>
      </c>
      <c r="Z39" s="16">
        <f t="shared" si="11"/>
        <v>24.91044929</v>
      </c>
    </row>
    <row r="40">
      <c r="A40" s="8" t="s">
        <v>157</v>
      </c>
      <c r="B40" s="9">
        <v>45317.0</v>
      </c>
      <c r="C40" s="10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8" t="s">
        <v>158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5" t="s">
        <v>159</v>
      </c>
      <c r="R40" s="15" t="s">
        <v>105</v>
      </c>
      <c r="S40" s="15">
        <v>64.0</v>
      </c>
      <c r="T40" s="11" t="str">
        <f t="shared" si="5"/>
        <v>Entre 50 e 100</v>
      </c>
      <c r="U40" s="11">
        <f t="shared" si="6"/>
        <v>-0.037</v>
      </c>
      <c r="V40" s="14">
        <f t="shared" si="7"/>
        <v>2.159916926</v>
      </c>
      <c r="W40" s="14">
        <f t="shared" si="8"/>
        <v>-229171941</v>
      </c>
      <c r="X40" s="11" t="str">
        <f t="shared" si="9"/>
        <v>Desceu</v>
      </c>
      <c r="Y40" s="11">
        <f t="shared" si="10"/>
        <v>-0.037</v>
      </c>
      <c r="Z40" s="16">
        <f t="shared" si="11"/>
        <v>2.159916926</v>
      </c>
    </row>
    <row r="41">
      <c r="A41" s="17" t="s">
        <v>160</v>
      </c>
      <c r="B41" s="18">
        <v>45317.0</v>
      </c>
      <c r="C41" s="19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7" t="s">
        <v>161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5" t="s">
        <v>97</v>
      </c>
      <c r="R41" s="15" t="s">
        <v>58</v>
      </c>
      <c r="S41" s="15">
        <v>78.0</v>
      </c>
      <c r="T41" s="11" t="str">
        <f t="shared" si="5"/>
        <v>Entre 50 e 100</v>
      </c>
      <c r="U41" s="11">
        <f t="shared" si="6"/>
        <v>-0.0995</v>
      </c>
      <c r="V41" s="14">
        <f t="shared" si="7"/>
        <v>15.26929484</v>
      </c>
      <c r="W41" s="14">
        <f t="shared" si="8"/>
        <v>-2280049671</v>
      </c>
      <c r="X41" s="11" t="str">
        <f t="shared" si="9"/>
        <v>Desceu</v>
      </c>
      <c r="Y41" s="11">
        <f t="shared" si="10"/>
        <v>-0.0995</v>
      </c>
      <c r="Z41" s="16">
        <f t="shared" si="11"/>
        <v>15.26929484</v>
      </c>
    </row>
    <row r="42">
      <c r="A42" s="8" t="s">
        <v>162</v>
      </c>
      <c r="B42" s="9">
        <v>45317.0</v>
      </c>
      <c r="C42" s="10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8" t="s">
        <v>163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5" t="s">
        <v>164</v>
      </c>
      <c r="R42" s="15" t="s">
        <v>26</v>
      </c>
      <c r="S42" s="15">
        <v>120.0</v>
      </c>
      <c r="T42" s="11" t="str">
        <f t="shared" si="5"/>
        <v>Mais de 100 anos</v>
      </c>
      <c r="U42" s="11">
        <f t="shared" si="6"/>
        <v>-0.0808</v>
      </c>
      <c r="V42" s="14">
        <f t="shared" si="7"/>
        <v>23.75979112</v>
      </c>
      <c r="W42" s="14">
        <f t="shared" si="8"/>
        <v>-2147335337</v>
      </c>
      <c r="X42" s="11" t="str">
        <f t="shared" si="9"/>
        <v>Desceu</v>
      </c>
      <c r="Y42" s="11">
        <f t="shared" si="10"/>
        <v>-0.0808</v>
      </c>
      <c r="Z42" s="16">
        <f t="shared" si="11"/>
        <v>23.75979112</v>
      </c>
    </row>
    <row r="43">
      <c r="A43" s="17" t="s">
        <v>165</v>
      </c>
      <c r="B43" s="18">
        <v>45317.0</v>
      </c>
      <c r="C43" s="19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7" t="s">
        <v>166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5" t="s">
        <v>167</v>
      </c>
      <c r="R43" s="15" t="s">
        <v>42</v>
      </c>
      <c r="S43" s="15">
        <v>9.0</v>
      </c>
      <c r="T43" s="11" t="str">
        <f t="shared" si="5"/>
        <v>Menos de 50</v>
      </c>
      <c r="U43" s="11">
        <f t="shared" si="6"/>
        <v>-0.072</v>
      </c>
      <c r="V43" s="14">
        <f t="shared" si="7"/>
        <v>4.030172414</v>
      </c>
      <c r="W43" s="14">
        <f t="shared" si="8"/>
        <v>-346189395.4</v>
      </c>
      <c r="X43" s="11" t="str">
        <f t="shared" si="9"/>
        <v>Desceu</v>
      </c>
      <c r="Y43" s="11">
        <f t="shared" si="10"/>
        <v>-0.072</v>
      </c>
      <c r="Z43" s="16">
        <f t="shared" si="11"/>
        <v>4.030172414</v>
      </c>
    </row>
    <row r="44">
      <c r="A44" s="8" t="s">
        <v>168</v>
      </c>
      <c r="B44" s="9">
        <v>45317.0</v>
      </c>
      <c r="C44" s="10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8" t="s">
        <v>169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5" t="s">
        <v>170</v>
      </c>
      <c r="R44" s="15" t="s">
        <v>42</v>
      </c>
      <c r="S44" s="15">
        <v>66.0</v>
      </c>
      <c r="T44" s="11" t="str">
        <f t="shared" si="5"/>
        <v>Entre 50 e 100</v>
      </c>
      <c r="U44" s="11">
        <f t="shared" si="6"/>
        <v>-0.028</v>
      </c>
      <c r="V44" s="14">
        <f t="shared" si="7"/>
        <v>10.3600823</v>
      </c>
      <c r="W44" s="14">
        <f t="shared" si="8"/>
        <v>-487145451</v>
      </c>
      <c r="X44" s="11" t="str">
        <f t="shared" si="9"/>
        <v>Desceu</v>
      </c>
      <c r="Y44" s="11">
        <f t="shared" si="10"/>
        <v>-0.028</v>
      </c>
      <c r="Z44" s="16">
        <f t="shared" si="11"/>
        <v>10.3600823</v>
      </c>
    </row>
    <row r="45">
      <c r="A45" s="17" t="s">
        <v>171</v>
      </c>
      <c r="B45" s="18">
        <v>45317.0</v>
      </c>
      <c r="C45" s="19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7" t="s">
        <v>172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5" t="s">
        <v>173</v>
      </c>
      <c r="R45" s="15" t="s">
        <v>174</v>
      </c>
      <c r="S45" s="15">
        <v>24.0</v>
      </c>
      <c r="T45" s="11" t="str">
        <f t="shared" si="5"/>
        <v>Menos de 50</v>
      </c>
      <c r="U45" s="11">
        <f t="shared" si="6"/>
        <v>-0.1877</v>
      </c>
      <c r="V45" s="14">
        <f t="shared" si="7"/>
        <v>10.07017112</v>
      </c>
      <c r="W45" s="14">
        <f t="shared" si="8"/>
        <v>-796486600.4</v>
      </c>
      <c r="X45" s="11" t="str">
        <f t="shared" si="9"/>
        <v>Desceu</v>
      </c>
      <c r="Y45" s="11">
        <f t="shared" si="10"/>
        <v>-0.1877</v>
      </c>
      <c r="Z45" s="16">
        <f t="shared" si="11"/>
        <v>10.07017112</v>
      </c>
    </row>
    <row r="46">
      <c r="A46" s="8" t="s">
        <v>175</v>
      </c>
      <c r="B46" s="9">
        <v>45317.0</v>
      </c>
      <c r="C46" s="10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8" t="s">
        <v>176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5" t="s">
        <v>177</v>
      </c>
      <c r="R46" s="15" t="s">
        <v>101</v>
      </c>
      <c r="S46" s="15">
        <v>14.0</v>
      </c>
      <c r="T46" s="11" t="str">
        <f t="shared" si="5"/>
        <v>Menos de 50</v>
      </c>
      <c r="U46" s="11">
        <f t="shared" si="6"/>
        <v>0.0041</v>
      </c>
      <c r="V46" s="14">
        <f t="shared" si="7"/>
        <v>9.700229061</v>
      </c>
      <c r="W46" s="14">
        <f t="shared" si="8"/>
        <v>13195985.16</v>
      </c>
      <c r="X46" s="11" t="str">
        <f t="shared" si="9"/>
        <v>Subiu</v>
      </c>
      <c r="Y46" s="11">
        <f t="shared" si="10"/>
        <v>0.0041</v>
      </c>
      <c r="Z46" s="16">
        <f t="shared" si="11"/>
        <v>9.700229061</v>
      </c>
    </row>
    <row r="47">
      <c r="A47" s="17" t="s">
        <v>178</v>
      </c>
      <c r="B47" s="18">
        <v>45317.0</v>
      </c>
      <c r="C47" s="19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7" t="s">
        <v>179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5" t="s">
        <v>180</v>
      </c>
      <c r="R47" s="15" t="s">
        <v>181</v>
      </c>
      <c r="S47" s="15">
        <v>31.0</v>
      </c>
      <c r="T47" s="11" t="str">
        <f t="shared" si="5"/>
        <v>Menos de 50</v>
      </c>
      <c r="U47" s="11">
        <f t="shared" si="6"/>
        <v>-0.0386</v>
      </c>
      <c r="V47" s="14">
        <f t="shared" si="7"/>
        <v>13.72997712</v>
      </c>
      <c r="W47" s="14">
        <f t="shared" si="8"/>
        <v>-2328849761</v>
      </c>
      <c r="X47" s="11" t="str">
        <f t="shared" si="9"/>
        <v>Desceu</v>
      </c>
      <c r="Y47" s="11">
        <f t="shared" si="10"/>
        <v>-0.0386</v>
      </c>
      <c r="Z47" s="16">
        <f t="shared" si="11"/>
        <v>13.72997712</v>
      </c>
    </row>
    <row r="48">
      <c r="A48" s="8" t="s">
        <v>182</v>
      </c>
      <c r="B48" s="9">
        <v>45317.0</v>
      </c>
      <c r="C48" s="10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8" t="s">
        <v>183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5" t="s">
        <v>184</v>
      </c>
      <c r="R48" s="15" t="s">
        <v>185</v>
      </c>
      <c r="S48" s="15">
        <v>8.0</v>
      </c>
      <c r="T48" s="11" t="str">
        <f t="shared" si="5"/>
        <v>Menos de 50</v>
      </c>
      <c r="U48" s="11">
        <f t="shared" si="6"/>
        <v>0.0024</v>
      </c>
      <c r="V48" s="14">
        <f t="shared" si="7"/>
        <v>33.64924182</v>
      </c>
      <c r="W48" s="14">
        <f t="shared" si="8"/>
        <v>54249369.68</v>
      </c>
      <c r="X48" s="11" t="str">
        <f t="shared" si="9"/>
        <v>Subiu</v>
      </c>
      <c r="Y48" s="11">
        <f t="shared" si="10"/>
        <v>0.0024</v>
      </c>
      <c r="Z48" s="16">
        <f t="shared" si="11"/>
        <v>33.64924182</v>
      </c>
    </row>
    <row r="49">
      <c r="A49" s="17" t="s">
        <v>186</v>
      </c>
      <c r="B49" s="18">
        <v>45317.0</v>
      </c>
      <c r="C49" s="19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7" t="s">
        <v>187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5" t="s">
        <v>188</v>
      </c>
      <c r="R49" s="15" t="s">
        <v>189</v>
      </c>
      <c r="S49" s="15">
        <v>48.0</v>
      </c>
      <c r="T49" s="11" t="str">
        <f t="shared" si="5"/>
        <v>Menos de 50</v>
      </c>
      <c r="U49" s="11">
        <f t="shared" si="6"/>
        <v>0.0222</v>
      </c>
      <c r="V49" s="14">
        <f t="shared" si="7"/>
        <v>75.3668558</v>
      </c>
      <c r="W49" s="14">
        <f t="shared" si="8"/>
        <v>568872037.6</v>
      </c>
      <c r="X49" s="11" t="str">
        <f t="shared" si="9"/>
        <v>Subiu</v>
      </c>
      <c r="Y49" s="11">
        <f t="shared" si="10"/>
        <v>0.0222</v>
      </c>
      <c r="Z49" s="16">
        <f t="shared" si="11"/>
        <v>75.3668558</v>
      </c>
    </row>
    <row r="50">
      <c r="A50" s="8" t="s">
        <v>190</v>
      </c>
      <c r="B50" s="9">
        <v>45317.0</v>
      </c>
      <c r="C50" s="10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8" t="s">
        <v>191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5" t="s">
        <v>192</v>
      </c>
      <c r="R50" s="15" t="s">
        <v>134</v>
      </c>
      <c r="S50" s="15">
        <v>57.0</v>
      </c>
      <c r="T50" s="11" t="str">
        <f t="shared" si="5"/>
        <v>Entre 50 e 100</v>
      </c>
      <c r="U50" s="11">
        <f t="shared" si="6"/>
        <v>-0.0834</v>
      </c>
      <c r="V50" s="14">
        <f t="shared" si="7"/>
        <v>33.68972289</v>
      </c>
      <c r="W50" s="14">
        <f t="shared" si="8"/>
        <v>-1444541337</v>
      </c>
      <c r="X50" s="11" t="str">
        <f t="shared" si="9"/>
        <v>Desceu</v>
      </c>
      <c r="Y50" s="11">
        <f t="shared" si="10"/>
        <v>-0.0834</v>
      </c>
      <c r="Z50" s="16">
        <f t="shared" si="11"/>
        <v>33.68972289</v>
      </c>
    </row>
    <row r="51">
      <c r="A51" s="17" t="s">
        <v>193</v>
      </c>
      <c r="B51" s="18">
        <v>45317.0</v>
      </c>
      <c r="C51" s="19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7" t="s">
        <v>194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5" t="s">
        <v>195</v>
      </c>
      <c r="R51" s="15" t="s">
        <v>42</v>
      </c>
      <c r="S51" s="15">
        <v>68.0</v>
      </c>
      <c r="T51" s="11" t="str">
        <f t="shared" si="5"/>
        <v>Entre 50 e 100</v>
      </c>
      <c r="U51" s="11">
        <f t="shared" si="6"/>
        <v>0.0139</v>
      </c>
      <c r="V51" s="14">
        <f t="shared" si="7"/>
        <v>11.48042213</v>
      </c>
      <c r="W51" s="14">
        <f t="shared" si="8"/>
        <v>229379744.6</v>
      </c>
      <c r="X51" s="11" t="str">
        <f t="shared" si="9"/>
        <v>Subiu</v>
      </c>
      <c r="Y51" s="11">
        <f t="shared" si="10"/>
        <v>0.0139</v>
      </c>
      <c r="Z51" s="16">
        <f t="shared" si="11"/>
        <v>11.48042213</v>
      </c>
    </row>
    <row r="52">
      <c r="A52" s="8" t="s">
        <v>196</v>
      </c>
      <c r="B52" s="9">
        <v>45317.0</v>
      </c>
      <c r="C52" s="10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8" t="s">
        <v>197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5" t="s">
        <v>198</v>
      </c>
      <c r="R52" s="15" t="s">
        <v>42</v>
      </c>
      <c r="S52" s="15">
        <v>59.0</v>
      </c>
      <c r="T52" s="11" t="str">
        <f t="shared" si="5"/>
        <v>Entre 50 e 100</v>
      </c>
      <c r="U52" s="11">
        <f t="shared" si="6"/>
        <v>-0.02</v>
      </c>
      <c r="V52" s="14">
        <f t="shared" si="7"/>
        <v>46.97959184</v>
      </c>
      <c r="W52" s="14">
        <f t="shared" si="8"/>
        <v>-252321763.4</v>
      </c>
      <c r="X52" s="11" t="str">
        <f t="shared" si="9"/>
        <v>Desceu</v>
      </c>
      <c r="Y52" s="11">
        <f t="shared" si="10"/>
        <v>-0.02</v>
      </c>
      <c r="Z52" s="16">
        <f t="shared" si="11"/>
        <v>46.97959184</v>
      </c>
    </row>
    <row r="53">
      <c r="A53" s="17" t="s">
        <v>199</v>
      </c>
      <c r="B53" s="18">
        <v>45317.0</v>
      </c>
      <c r="C53" s="19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7" t="s">
        <v>200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5" t="s">
        <v>201</v>
      </c>
      <c r="R53" s="15" t="s">
        <v>42</v>
      </c>
      <c r="S53" s="15">
        <v>9.0</v>
      </c>
      <c r="T53" s="11" t="str">
        <f t="shared" si="5"/>
        <v>Menos de 50</v>
      </c>
      <c r="U53" s="11">
        <f t="shared" si="6"/>
        <v>-0.0544</v>
      </c>
      <c r="V53" s="14">
        <f t="shared" si="7"/>
        <v>13.61040609</v>
      </c>
      <c r="W53" s="14">
        <f t="shared" si="8"/>
        <v>-1169197595</v>
      </c>
      <c r="X53" s="11" t="str">
        <f t="shared" si="9"/>
        <v>Desceu</v>
      </c>
      <c r="Y53" s="11">
        <f t="shared" si="10"/>
        <v>-0.0544</v>
      </c>
      <c r="Z53" s="16">
        <f t="shared" si="11"/>
        <v>13.61040609</v>
      </c>
    </row>
    <row r="54">
      <c r="A54" s="8" t="s">
        <v>202</v>
      </c>
      <c r="B54" s="9">
        <v>45317.0</v>
      </c>
      <c r="C54" s="10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8" t="s">
        <v>203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5" t="s">
        <v>204</v>
      </c>
      <c r="R54" s="15" t="s">
        <v>205</v>
      </c>
      <c r="S54" s="15">
        <v>58.0</v>
      </c>
      <c r="T54" s="11" t="str">
        <f t="shared" si="5"/>
        <v>Entre 50 e 100</v>
      </c>
      <c r="U54" s="11">
        <f t="shared" si="6"/>
        <v>-0.1013</v>
      </c>
      <c r="V54" s="14">
        <f t="shared" si="7"/>
        <v>36.90886837</v>
      </c>
      <c r="W54" s="14">
        <f t="shared" si="8"/>
        <v>-5539481288</v>
      </c>
      <c r="X54" s="11" t="str">
        <f t="shared" si="9"/>
        <v>Desceu</v>
      </c>
      <c r="Y54" s="11">
        <f t="shared" si="10"/>
        <v>-0.1013</v>
      </c>
      <c r="Z54" s="16">
        <f t="shared" si="11"/>
        <v>36.90886837</v>
      </c>
    </row>
    <row r="55">
      <c r="A55" s="17" t="s">
        <v>206</v>
      </c>
      <c r="B55" s="18">
        <v>45317.0</v>
      </c>
      <c r="C55" s="19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7" t="s">
        <v>207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5" t="s">
        <v>208</v>
      </c>
      <c r="R55" s="15" t="s">
        <v>209</v>
      </c>
      <c r="S55" s="15">
        <v>42.0</v>
      </c>
      <c r="T55" s="11" t="str">
        <f t="shared" si="5"/>
        <v>Menos de 50</v>
      </c>
      <c r="U55" s="11">
        <f t="shared" si="6"/>
        <v>0.0255</v>
      </c>
      <c r="V55" s="14">
        <f t="shared" si="7"/>
        <v>18.82008776</v>
      </c>
      <c r="W55" s="14">
        <f t="shared" si="8"/>
        <v>93943362.88</v>
      </c>
      <c r="X55" s="11" t="str">
        <f t="shared" si="9"/>
        <v>Subiu</v>
      </c>
      <c r="Y55" s="11">
        <f t="shared" si="10"/>
        <v>0.0255</v>
      </c>
      <c r="Z55" s="16">
        <f t="shared" si="11"/>
        <v>18.82008776</v>
      </c>
    </row>
    <row r="56">
      <c r="A56" s="8" t="s">
        <v>210</v>
      </c>
      <c r="B56" s="9">
        <v>45317.0</v>
      </c>
      <c r="C56" s="10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8" t="s">
        <v>211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5" t="s">
        <v>210</v>
      </c>
      <c r="R56" s="15" t="s">
        <v>42</v>
      </c>
      <c r="S56" s="15">
        <v>3.0</v>
      </c>
      <c r="T56" s="11" t="str">
        <f t="shared" si="5"/>
        <v>Menos de 50</v>
      </c>
      <c r="U56" s="11">
        <f t="shared" si="6"/>
        <v>-0.0727</v>
      </c>
      <c r="V56" s="14">
        <f t="shared" si="7"/>
        <v>26.5501995</v>
      </c>
      <c r="W56" s="14">
        <f t="shared" si="8"/>
        <v>-1028056287</v>
      </c>
      <c r="X56" s="11" t="str">
        <f t="shared" si="9"/>
        <v>Desceu</v>
      </c>
      <c r="Y56" s="11">
        <f t="shared" si="10"/>
        <v>-0.0727</v>
      </c>
      <c r="Z56" s="16">
        <f t="shared" si="11"/>
        <v>26.5501995</v>
      </c>
    </row>
    <row r="57">
      <c r="A57" s="17" t="s">
        <v>212</v>
      </c>
      <c r="B57" s="18">
        <v>45317.0</v>
      </c>
      <c r="C57" s="19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7" t="s">
        <v>213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5" t="s">
        <v>214</v>
      </c>
      <c r="R57" s="15" t="s">
        <v>174</v>
      </c>
      <c r="S57" s="15">
        <v>23.0</v>
      </c>
      <c r="T57" s="11" t="str">
        <f t="shared" si="5"/>
        <v>Menos de 50</v>
      </c>
      <c r="U57" s="11">
        <f t="shared" si="6"/>
        <v>-0.0642</v>
      </c>
      <c r="V57" s="14">
        <f t="shared" si="7"/>
        <v>14.18038042</v>
      </c>
      <c r="W57" s="14">
        <f t="shared" si="8"/>
        <v>-906134351.5</v>
      </c>
      <c r="X57" s="11" t="str">
        <f t="shared" si="9"/>
        <v>Desceu</v>
      </c>
      <c r="Y57" s="11">
        <f t="shared" si="10"/>
        <v>-0.0642</v>
      </c>
      <c r="Z57" s="16">
        <f t="shared" si="11"/>
        <v>14.18038042</v>
      </c>
    </row>
    <row r="58">
      <c r="A58" s="8" t="s">
        <v>215</v>
      </c>
      <c r="B58" s="9">
        <v>45317.0</v>
      </c>
      <c r="C58" s="10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8" t="s">
        <v>216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5" t="s">
        <v>217</v>
      </c>
      <c r="R58" s="15" t="s">
        <v>83</v>
      </c>
      <c r="S58" s="15">
        <v>24.0</v>
      </c>
      <c r="T58" s="11" t="str">
        <f t="shared" si="5"/>
        <v>Menos de 50</v>
      </c>
      <c r="U58" s="11">
        <f t="shared" si="6"/>
        <v>-0.1318</v>
      </c>
      <c r="V58" s="14">
        <f t="shared" si="7"/>
        <v>3.489979267</v>
      </c>
      <c r="W58" s="14">
        <f t="shared" si="8"/>
        <v>-834826022.9</v>
      </c>
      <c r="X58" s="11" t="str">
        <f t="shared" si="9"/>
        <v>Desceu</v>
      </c>
      <c r="Y58" s="11">
        <f t="shared" si="10"/>
        <v>-0.1318</v>
      </c>
      <c r="Z58" s="16">
        <f t="shared" si="11"/>
        <v>3.489979267</v>
      </c>
    </row>
    <row r="59">
      <c r="A59" s="17" t="s">
        <v>218</v>
      </c>
      <c r="B59" s="18">
        <v>45317.0</v>
      </c>
      <c r="C59" s="19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7" t="s">
        <v>219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5" t="s">
        <v>220</v>
      </c>
      <c r="R59" s="15" t="s">
        <v>42</v>
      </c>
      <c r="S59" s="15">
        <v>21.0</v>
      </c>
      <c r="T59" s="11" t="str">
        <f t="shared" si="5"/>
        <v>Menos de 50</v>
      </c>
      <c r="U59" s="11">
        <f t="shared" si="6"/>
        <v>-0.0143</v>
      </c>
      <c r="V59" s="14">
        <f t="shared" si="7"/>
        <v>26.49893477</v>
      </c>
      <c r="W59" s="14">
        <f t="shared" si="8"/>
        <v>-149982776.5</v>
      </c>
      <c r="X59" s="11" t="str">
        <f t="shared" si="9"/>
        <v>Desceu</v>
      </c>
      <c r="Y59" s="11">
        <f t="shared" si="10"/>
        <v>-0.0143</v>
      </c>
      <c r="Z59" s="16">
        <f t="shared" si="11"/>
        <v>26.49893477</v>
      </c>
    </row>
    <row r="60">
      <c r="A60" s="8" t="s">
        <v>221</v>
      </c>
      <c r="B60" s="9">
        <v>45317.0</v>
      </c>
      <c r="C60" s="10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8" t="s">
        <v>222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5" t="s">
        <v>223</v>
      </c>
      <c r="R60" s="15" t="s">
        <v>42</v>
      </c>
      <c r="S60" s="15">
        <v>30.0</v>
      </c>
      <c r="T60" s="11" t="str">
        <f t="shared" si="5"/>
        <v>Menos de 50</v>
      </c>
      <c r="U60" s="11">
        <f t="shared" si="6"/>
        <v>-0.0946</v>
      </c>
      <c r="V60" s="14">
        <f t="shared" si="7"/>
        <v>45.32803181</v>
      </c>
      <c r="W60" s="14">
        <f t="shared" si="8"/>
        <v>-1094464208</v>
      </c>
      <c r="X60" s="11" t="str">
        <f t="shared" si="9"/>
        <v>Desceu</v>
      </c>
      <c r="Y60" s="11">
        <f t="shared" si="10"/>
        <v>-0.0946</v>
      </c>
      <c r="Z60" s="16">
        <f t="shared" si="11"/>
        <v>45.32803181</v>
      </c>
    </row>
    <row r="61">
      <c r="A61" s="17" t="s">
        <v>224</v>
      </c>
      <c r="B61" s="18">
        <v>45317.0</v>
      </c>
      <c r="C61" s="19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7" t="s">
        <v>225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5" t="s">
        <v>226</v>
      </c>
      <c r="R61" s="15" t="s">
        <v>42</v>
      </c>
      <c r="S61" s="15">
        <v>11.0</v>
      </c>
      <c r="T61" s="11" t="str">
        <f t="shared" si="5"/>
        <v>Menos de 50</v>
      </c>
      <c r="U61" s="11">
        <f t="shared" si="6"/>
        <v>0.0207</v>
      </c>
      <c r="V61" s="14">
        <f t="shared" si="7"/>
        <v>22.75889096</v>
      </c>
      <c r="W61" s="14">
        <f t="shared" si="8"/>
        <v>525009821.3</v>
      </c>
      <c r="X61" s="11" t="str">
        <f t="shared" si="9"/>
        <v>Subiu</v>
      </c>
      <c r="Y61" s="11">
        <f t="shared" si="10"/>
        <v>0.0207</v>
      </c>
      <c r="Z61" s="16">
        <f t="shared" si="11"/>
        <v>22.75889096</v>
      </c>
    </row>
    <row r="62">
      <c r="A62" s="8" t="s">
        <v>227</v>
      </c>
      <c r="B62" s="9">
        <v>45317.0</v>
      </c>
      <c r="C62" s="10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8" t="s">
        <v>228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5" t="s">
        <v>229</v>
      </c>
      <c r="R62" s="15" t="s">
        <v>230</v>
      </c>
      <c r="S62" s="15">
        <v>83.0</v>
      </c>
      <c r="T62" s="11" t="str">
        <f t="shared" si="5"/>
        <v>Entre 50 e 100</v>
      </c>
      <c r="U62" s="11">
        <f t="shared" si="6"/>
        <v>-0.0824</v>
      </c>
      <c r="V62" s="14">
        <f t="shared" si="7"/>
        <v>44.30034874</v>
      </c>
      <c r="W62" s="14">
        <f t="shared" si="8"/>
        <v>-298740317.1</v>
      </c>
      <c r="X62" s="11" t="str">
        <f t="shared" si="9"/>
        <v>Desceu</v>
      </c>
      <c r="Y62" s="11">
        <f t="shared" si="10"/>
        <v>-0.0824</v>
      </c>
      <c r="Z62" s="16">
        <f t="shared" si="11"/>
        <v>44.30034874</v>
      </c>
    </row>
    <row r="63">
      <c r="A63" s="17" t="s">
        <v>231</v>
      </c>
      <c r="B63" s="18">
        <v>45317.0</v>
      </c>
      <c r="C63" s="19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7" t="s">
        <v>232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5" t="s">
        <v>233</v>
      </c>
      <c r="R63" s="15" t="s">
        <v>234</v>
      </c>
      <c r="S63" s="15">
        <v>8.0</v>
      </c>
      <c r="T63" s="11" t="str">
        <f t="shared" si="5"/>
        <v>Menos de 50</v>
      </c>
      <c r="U63" s="11">
        <f t="shared" si="6"/>
        <v>-0.037</v>
      </c>
      <c r="V63" s="14">
        <f t="shared" si="7"/>
        <v>42.42990654</v>
      </c>
      <c r="W63" s="14">
        <f t="shared" si="8"/>
        <v>-3109307263</v>
      </c>
      <c r="X63" s="11" t="str">
        <f t="shared" si="9"/>
        <v>Desceu</v>
      </c>
      <c r="Y63" s="11">
        <f t="shared" si="10"/>
        <v>-0.037</v>
      </c>
      <c r="Z63" s="16">
        <f t="shared" si="11"/>
        <v>42.42990654</v>
      </c>
    </row>
    <row r="64">
      <c r="A64" s="8" t="s">
        <v>235</v>
      </c>
      <c r="B64" s="9">
        <v>45317.0</v>
      </c>
      <c r="C64" s="10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8" t="s">
        <v>236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5" t="s">
        <v>237</v>
      </c>
      <c r="R64" s="15" t="s">
        <v>90</v>
      </c>
      <c r="S64" s="15">
        <v>43.0</v>
      </c>
      <c r="T64" s="11" t="str">
        <f t="shared" si="5"/>
        <v>Menos de 50</v>
      </c>
      <c r="U64" s="11">
        <f t="shared" si="6"/>
        <v>-0.1392</v>
      </c>
      <c r="V64" s="14">
        <f t="shared" si="7"/>
        <v>3.949814126</v>
      </c>
      <c r="W64" s="14">
        <f t="shared" si="8"/>
        <v>-170293614.9</v>
      </c>
      <c r="X64" s="11" t="str">
        <f t="shared" si="9"/>
        <v>Desceu</v>
      </c>
      <c r="Y64" s="11">
        <f t="shared" si="10"/>
        <v>-0.1392</v>
      </c>
      <c r="Z64" s="16">
        <f t="shared" si="11"/>
        <v>3.949814126</v>
      </c>
    </row>
    <row r="65">
      <c r="A65" s="17" t="s">
        <v>238</v>
      </c>
      <c r="B65" s="18">
        <v>45317.0</v>
      </c>
      <c r="C65" s="19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7" t="s">
        <v>239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5" t="s">
        <v>240</v>
      </c>
      <c r="R65" s="15" t="s">
        <v>62</v>
      </c>
      <c r="S65" s="15">
        <v>92.0</v>
      </c>
      <c r="T65" s="11" t="str">
        <f t="shared" si="5"/>
        <v>Entre 50 e 100</v>
      </c>
      <c r="U65" s="11">
        <f t="shared" si="6"/>
        <v>-0.1492</v>
      </c>
      <c r="V65" s="14">
        <f t="shared" si="7"/>
        <v>18.70004701</v>
      </c>
      <c r="W65" s="14">
        <f t="shared" si="8"/>
        <v>-255329219</v>
      </c>
      <c r="X65" s="11" t="str">
        <f t="shared" si="9"/>
        <v>Desceu</v>
      </c>
      <c r="Y65" s="11">
        <f t="shared" si="10"/>
        <v>-0.1492</v>
      </c>
      <c r="Z65" s="16">
        <f t="shared" si="11"/>
        <v>18.70004701</v>
      </c>
    </row>
    <row r="66">
      <c r="A66" s="8" t="s">
        <v>241</v>
      </c>
      <c r="B66" s="9">
        <v>45317.0</v>
      </c>
      <c r="C66" s="10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8" t="s">
        <v>149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5" t="s">
        <v>242</v>
      </c>
      <c r="R66" s="15" t="s">
        <v>141</v>
      </c>
      <c r="S66" s="15">
        <v>8.0</v>
      </c>
      <c r="T66" s="11" t="str">
        <f t="shared" si="5"/>
        <v>Menos de 50</v>
      </c>
      <c r="U66" s="11">
        <f t="shared" si="6"/>
        <v>-0.0859</v>
      </c>
      <c r="V66" s="14">
        <f t="shared" si="7"/>
        <v>18.03960179</v>
      </c>
      <c r="W66" s="14">
        <f t="shared" si="8"/>
        <v>-373179212.1</v>
      </c>
      <c r="X66" s="11" t="str">
        <f t="shared" si="9"/>
        <v>Desceu</v>
      </c>
      <c r="Y66" s="11">
        <f t="shared" si="10"/>
        <v>-0.0859</v>
      </c>
      <c r="Z66" s="16">
        <f t="shared" si="11"/>
        <v>18.03960179</v>
      </c>
    </row>
    <row r="67">
      <c r="A67" s="17" t="s">
        <v>243</v>
      </c>
      <c r="B67" s="18">
        <v>45317.0</v>
      </c>
      <c r="C67" s="19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7" t="s">
        <v>244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5" t="s">
        <v>245</v>
      </c>
      <c r="R67" s="15" t="s">
        <v>94</v>
      </c>
      <c r="S67" s="15">
        <v>104.0</v>
      </c>
      <c r="T67" s="11" t="str">
        <f t="shared" si="5"/>
        <v>Mais de 100 anos</v>
      </c>
      <c r="U67" s="11">
        <f t="shared" si="6"/>
        <v>-0.0671</v>
      </c>
      <c r="V67" s="14">
        <f t="shared" si="7"/>
        <v>7.449887448</v>
      </c>
      <c r="W67" s="14">
        <f t="shared" si="8"/>
        <v>-247959154.2</v>
      </c>
      <c r="X67" s="11" t="str">
        <f t="shared" si="9"/>
        <v>Desceu</v>
      </c>
      <c r="Y67" s="11">
        <f t="shared" si="10"/>
        <v>-0.0671</v>
      </c>
      <c r="Z67" s="16">
        <f t="shared" si="11"/>
        <v>7.449887448</v>
      </c>
    </row>
    <row r="68">
      <c r="A68" s="8" t="s">
        <v>246</v>
      </c>
      <c r="B68" s="9">
        <v>45317.0</v>
      </c>
      <c r="C68" s="10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8" t="s">
        <v>247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5" t="s">
        <v>248</v>
      </c>
      <c r="R68" s="15" t="s">
        <v>90</v>
      </c>
      <c r="S68" s="15">
        <v>55.0</v>
      </c>
      <c r="T68" s="11" t="str">
        <f t="shared" si="5"/>
        <v>Entre 50 e 100</v>
      </c>
      <c r="U68" s="11">
        <f t="shared" si="6"/>
        <v>-0.1433</v>
      </c>
      <c r="V68" s="14">
        <f t="shared" si="7"/>
        <v>10.12022878</v>
      </c>
      <c r="W68" s="14">
        <f t="shared" si="8"/>
        <v>-256304687.7</v>
      </c>
      <c r="X68" s="11" t="str">
        <f t="shared" si="9"/>
        <v>Desceu</v>
      </c>
      <c r="Y68" s="11">
        <f t="shared" si="10"/>
        <v>-0.1433</v>
      </c>
      <c r="Z68" s="16">
        <f t="shared" si="11"/>
        <v>10.12022878</v>
      </c>
    </row>
    <row r="69">
      <c r="A69" s="17" t="s">
        <v>249</v>
      </c>
      <c r="B69" s="18">
        <v>45317.0</v>
      </c>
      <c r="C69" s="19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7" t="s">
        <v>250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5" t="s">
        <v>251</v>
      </c>
      <c r="R69" s="15" t="s">
        <v>252</v>
      </c>
      <c r="S69" s="15">
        <v>53.0</v>
      </c>
      <c r="T69" s="11" t="str">
        <f t="shared" si="5"/>
        <v>Entre 50 e 100</v>
      </c>
      <c r="U69" s="11">
        <f t="shared" si="6"/>
        <v>-0.0515</v>
      </c>
      <c r="V69" s="14">
        <f t="shared" si="7"/>
        <v>24.08012652</v>
      </c>
      <c r="W69" s="14">
        <f t="shared" si="8"/>
        <v>-329606549.7</v>
      </c>
      <c r="X69" s="11" t="str">
        <f t="shared" si="9"/>
        <v>Desceu</v>
      </c>
      <c r="Y69" s="11">
        <f t="shared" si="10"/>
        <v>-0.0515</v>
      </c>
      <c r="Z69" s="16">
        <f t="shared" si="11"/>
        <v>24.08012652</v>
      </c>
    </row>
    <row r="70">
      <c r="A70" s="8" t="s">
        <v>253</v>
      </c>
      <c r="B70" s="9">
        <v>45317.0</v>
      </c>
      <c r="C70" s="10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8" t="s">
        <v>254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5" t="s">
        <v>255</v>
      </c>
      <c r="R70" s="15" t="s">
        <v>256</v>
      </c>
      <c r="S70" s="15">
        <v>55.0</v>
      </c>
      <c r="T70" s="11" t="str">
        <f t="shared" si="5"/>
        <v>Entre 50 e 100</v>
      </c>
      <c r="U70" s="11">
        <f t="shared" si="6"/>
        <v>0.0004</v>
      </c>
      <c r="V70" s="14">
        <f t="shared" si="7"/>
        <v>22.39104358</v>
      </c>
      <c r="W70" s="14">
        <f t="shared" si="8"/>
        <v>6579677.166</v>
      </c>
      <c r="X70" s="11" t="str">
        <f t="shared" si="9"/>
        <v>Subiu</v>
      </c>
      <c r="Y70" s="11">
        <f t="shared" si="10"/>
        <v>0.0004</v>
      </c>
      <c r="Z70" s="16">
        <f t="shared" si="11"/>
        <v>22.39104358</v>
      </c>
    </row>
    <row r="71">
      <c r="A71" s="17" t="s">
        <v>257</v>
      </c>
      <c r="B71" s="18">
        <v>45317.0</v>
      </c>
      <c r="C71" s="19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7" t="s">
        <v>258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5" t="s">
        <v>259</v>
      </c>
      <c r="R71" s="15" t="s">
        <v>105</v>
      </c>
      <c r="S71" s="15">
        <v>55.0</v>
      </c>
      <c r="T71" s="11" t="str">
        <f t="shared" si="5"/>
        <v>Entre 50 e 100</v>
      </c>
      <c r="U71" s="11">
        <f t="shared" si="6"/>
        <v>-0.0545</v>
      </c>
      <c r="V71" s="14">
        <f t="shared" si="7"/>
        <v>16.89053411</v>
      </c>
      <c r="W71" s="14">
        <f t="shared" si="8"/>
        <v>-778996744.5</v>
      </c>
      <c r="X71" s="11" t="str">
        <f t="shared" si="9"/>
        <v>Desceu</v>
      </c>
      <c r="Y71" s="11">
        <f t="shared" si="10"/>
        <v>-0.0545</v>
      </c>
      <c r="Z71" s="16">
        <f t="shared" si="11"/>
        <v>16.89053411</v>
      </c>
    </row>
    <row r="72">
      <c r="A72" s="8" t="s">
        <v>260</v>
      </c>
      <c r="B72" s="9">
        <v>45317.0</v>
      </c>
      <c r="C72" s="10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8" t="s">
        <v>261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5" t="s">
        <v>262</v>
      </c>
      <c r="R72" s="15" t="s">
        <v>58</v>
      </c>
      <c r="S72" s="15">
        <v>124.0</v>
      </c>
      <c r="T72" s="11" t="str">
        <f t="shared" si="5"/>
        <v>Mais de 100 anos</v>
      </c>
      <c r="U72" s="11">
        <f t="shared" si="6"/>
        <v>0.02</v>
      </c>
      <c r="V72" s="14">
        <f t="shared" si="7"/>
        <v>13.52941176</v>
      </c>
      <c r="W72" s="14">
        <f t="shared" si="8"/>
        <v>365082488.4</v>
      </c>
      <c r="X72" s="11" t="str">
        <f t="shared" si="9"/>
        <v>Subiu</v>
      </c>
      <c r="Y72" s="11">
        <f t="shared" si="10"/>
        <v>0.02</v>
      </c>
      <c r="Z72" s="16">
        <f t="shared" si="11"/>
        <v>13.52941176</v>
      </c>
    </row>
    <row r="73">
      <c r="A73" s="17" t="s">
        <v>263</v>
      </c>
      <c r="B73" s="18">
        <v>45317.0</v>
      </c>
      <c r="C73" s="19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7" t="s">
        <v>264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5" t="s">
        <v>265</v>
      </c>
      <c r="R73" s="15" t="s">
        <v>266</v>
      </c>
      <c r="S73" s="15">
        <v>20.0</v>
      </c>
      <c r="T73" s="11" t="str">
        <f t="shared" si="5"/>
        <v>Menos de 50</v>
      </c>
      <c r="U73" s="11">
        <f t="shared" si="6"/>
        <v>-0.0858</v>
      </c>
      <c r="V73" s="14">
        <f t="shared" si="7"/>
        <v>14.46073069</v>
      </c>
      <c r="W73" s="14">
        <f t="shared" si="8"/>
        <v>-6951553659</v>
      </c>
      <c r="X73" s="11" t="str">
        <f t="shared" si="9"/>
        <v>Desceu</v>
      </c>
      <c r="Y73" s="11">
        <f t="shared" si="10"/>
        <v>-0.0858</v>
      </c>
      <c r="Z73" s="16">
        <f t="shared" si="11"/>
        <v>14.46073069</v>
      </c>
    </row>
    <row r="74">
      <c r="A74" s="8" t="s">
        <v>267</v>
      </c>
      <c r="B74" s="9">
        <v>45317.0</v>
      </c>
      <c r="C74" s="10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8" t="s">
        <v>268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5" t="s">
        <v>269</v>
      </c>
      <c r="R74" s="15" t="s">
        <v>209</v>
      </c>
      <c r="S74" s="15">
        <v>84.0</v>
      </c>
      <c r="T74" s="11" t="str">
        <f t="shared" si="5"/>
        <v>Entre 50 e 100</v>
      </c>
      <c r="U74" s="11">
        <f t="shared" si="6"/>
        <v>-0.1306</v>
      </c>
      <c r="V74" s="14">
        <f t="shared" si="7"/>
        <v>35.74879227</v>
      </c>
      <c r="W74" s="14">
        <f t="shared" si="8"/>
        <v>-1911825558</v>
      </c>
      <c r="X74" s="11" t="str">
        <f t="shared" si="9"/>
        <v>Desceu</v>
      </c>
      <c r="Y74" s="11">
        <f t="shared" si="10"/>
        <v>-0.1306</v>
      </c>
      <c r="Z74" s="16">
        <f t="shared" si="11"/>
        <v>35.74879227</v>
      </c>
    </row>
    <row r="75">
      <c r="A75" s="17" t="s">
        <v>270</v>
      </c>
      <c r="B75" s="18">
        <v>45317.0</v>
      </c>
      <c r="C75" s="19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7" t="s">
        <v>271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5" t="s">
        <v>272</v>
      </c>
      <c r="R75" s="15" t="s">
        <v>62</v>
      </c>
      <c r="S75" s="15">
        <v>44.0</v>
      </c>
      <c r="T75" s="11" t="str">
        <f t="shared" si="5"/>
        <v>Menos de 50</v>
      </c>
      <c r="U75" s="11">
        <f t="shared" si="6"/>
        <v>-0.0379</v>
      </c>
      <c r="V75" s="14">
        <f t="shared" si="7"/>
        <v>29.31088244</v>
      </c>
      <c r="W75" s="14">
        <f t="shared" si="8"/>
        <v>-158164476.4</v>
      </c>
      <c r="X75" s="11" t="str">
        <f t="shared" si="9"/>
        <v>Desceu</v>
      </c>
      <c r="Y75" s="11">
        <f t="shared" si="10"/>
        <v>-0.0379</v>
      </c>
      <c r="Z75" s="16">
        <f t="shared" si="11"/>
        <v>29.31088244</v>
      </c>
    </row>
    <row r="76">
      <c r="A76" s="8" t="s">
        <v>273</v>
      </c>
      <c r="B76" s="9">
        <v>45317.0</v>
      </c>
      <c r="C76" s="10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8" t="s">
        <v>274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5" t="s">
        <v>275</v>
      </c>
      <c r="R76" s="15" t="s">
        <v>105</v>
      </c>
      <c r="S76" s="15">
        <v>104.0</v>
      </c>
      <c r="T76" s="11" t="str">
        <f t="shared" si="5"/>
        <v>Mais de 100 anos</v>
      </c>
      <c r="U76" s="11">
        <f t="shared" si="6"/>
        <v>-0.1169</v>
      </c>
      <c r="V76" s="14">
        <f t="shared" si="7"/>
        <v>4.450232137</v>
      </c>
      <c r="W76" s="14">
        <f t="shared" si="8"/>
        <v>-2286072885</v>
      </c>
      <c r="X76" s="11" t="str">
        <f t="shared" si="9"/>
        <v>Desceu</v>
      </c>
      <c r="Y76" s="11">
        <f t="shared" si="10"/>
        <v>-0.1169</v>
      </c>
      <c r="Z76" s="16">
        <f t="shared" si="11"/>
        <v>4.450232137</v>
      </c>
    </row>
    <row r="77">
      <c r="A77" s="17" t="s">
        <v>276</v>
      </c>
      <c r="B77" s="18">
        <v>45317.0</v>
      </c>
      <c r="C77" s="19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7" t="s">
        <v>277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5" t="s">
        <v>278</v>
      </c>
      <c r="R77" s="15" t="s">
        <v>105</v>
      </c>
      <c r="S77" s="15">
        <v>47.0</v>
      </c>
      <c r="T77" s="11" t="str">
        <f t="shared" si="5"/>
        <v>Menos de 50</v>
      </c>
      <c r="U77" s="11">
        <f t="shared" si="6"/>
        <v>-0.0941</v>
      </c>
      <c r="V77" s="14">
        <f t="shared" si="7"/>
        <v>17.41914119</v>
      </c>
      <c r="W77" s="14">
        <f t="shared" si="8"/>
        <v>-1559363807</v>
      </c>
      <c r="X77" s="11" t="str">
        <f t="shared" si="9"/>
        <v>Desceu</v>
      </c>
      <c r="Y77" s="11">
        <f t="shared" si="10"/>
        <v>-0.0941</v>
      </c>
      <c r="Z77" s="16">
        <f t="shared" si="11"/>
        <v>17.41914119</v>
      </c>
    </row>
    <row r="78">
      <c r="A78" s="8" t="s">
        <v>279</v>
      </c>
      <c r="B78" s="9">
        <v>45317.0</v>
      </c>
      <c r="C78" s="10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8" t="s">
        <v>280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5" t="s">
        <v>281</v>
      </c>
      <c r="R78" s="15" t="s">
        <v>105</v>
      </c>
      <c r="S78" s="15">
        <v>68.0</v>
      </c>
      <c r="T78" s="11" t="str">
        <f t="shared" si="5"/>
        <v>Entre 50 e 100</v>
      </c>
      <c r="U78" s="11">
        <f t="shared" si="6"/>
        <v>-0.1398</v>
      </c>
      <c r="V78" s="14">
        <f t="shared" si="7"/>
        <v>12.45059289</v>
      </c>
      <c r="W78" s="14">
        <f t="shared" si="8"/>
        <v>-929460216.6</v>
      </c>
      <c r="X78" s="11" t="str">
        <f t="shared" si="9"/>
        <v>Desceu</v>
      </c>
      <c r="Y78" s="11">
        <f t="shared" si="10"/>
        <v>-0.1398</v>
      </c>
      <c r="Z78" s="16">
        <f t="shared" si="11"/>
        <v>12.45059289</v>
      </c>
    </row>
    <row r="79">
      <c r="A79" s="17" t="s">
        <v>282</v>
      </c>
      <c r="B79" s="18">
        <v>45317.0</v>
      </c>
      <c r="C79" s="19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7" t="s">
        <v>283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5" t="s">
        <v>284</v>
      </c>
      <c r="R79" s="15" t="s">
        <v>285</v>
      </c>
      <c r="S79" s="15">
        <v>48.0</v>
      </c>
      <c r="T79" s="11" t="str">
        <f t="shared" si="5"/>
        <v>Menos de 50</v>
      </c>
      <c r="U79" s="11">
        <f t="shared" si="6"/>
        <v>-0.2355</v>
      </c>
      <c r="V79" s="14">
        <f t="shared" si="7"/>
        <v>11.37998692</v>
      </c>
      <c r="W79" s="14">
        <f t="shared" si="8"/>
        <v>-254178125.4</v>
      </c>
      <c r="X79" s="11" t="str">
        <f t="shared" si="9"/>
        <v>Desceu</v>
      </c>
      <c r="Y79" s="11">
        <f t="shared" si="10"/>
        <v>-0.2355</v>
      </c>
      <c r="Z79" s="16">
        <f t="shared" si="11"/>
        <v>11.37998692</v>
      </c>
    </row>
    <row r="80">
      <c r="A80" s="8" t="s">
        <v>286</v>
      </c>
      <c r="B80" s="9">
        <v>45317.0</v>
      </c>
      <c r="C80" s="10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8" t="s">
        <v>287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5" t="s">
        <v>288</v>
      </c>
      <c r="R80" s="15" t="s">
        <v>289</v>
      </c>
      <c r="S80" s="15">
        <v>50.0</v>
      </c>
      <c r="T80" s="11" t="str">
        <f t="shared" si="5"/>
        <v>Entre 50 e 100</v>
      </c>
      <c r="U80" s="11">
        <f t="shared" si="6"/>
        <v>-0.1157</v>
      </c>
      <c r="V80" s="14">
        <f t="shared" si="7"/>
        <v>63.59832636</v>
      </c>
      <c r="W80" s="14">
        <f t="shared" si="8"/>
        <v>-6278141320</v>
      </c>
      <c r="X80" s="11" t="str">
        <f t="shared" si="9"/>
        <v>Desceu</v>
      </c>
      <c r="Y80" s="11">
        <f t="shared" si="10"/>
        <v>-0.1157</v>
      </c>
      <c r="Z80" s="16">
        <f t="shared" si="11"/>
        <v>63.59832636</v>
      </c>
    </row>
    <row r="81">
      <c r="A81" s="17" t="s">
        <v>290</v>
      </c>
      <c r="B81" s="18">
        <v>45317.0</v>
      </c>
      <c r="C81" s="19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7" t="s">
        <v>291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5" t="s">
        <v>292</v>
      </c>
      <c r="R81" s="15" t="s">
        <v>70</v>
      </c>
      <c r="S81" s="15">
        <v>21.0</v>
      </c>
      <c r="T81" s="11" t="str">
        <f t="shared" si="5"/>
        <v>Menos de 50</v>
      </c>
      <c r="U81" s="11">
        <f t="shared" si="6"/>
        <v>-0.1229</v>
      </c>
      <c r="V81" s="14">
        <f t="shared" si="7"/>
        <v>3.500171018</v>
      </c>
      <c r="W81" s="14">
        <f t="shared" si="8"/>
        <v>-226090475.7</v>
      </c>
      <c r="X81" s="11" t="str">
        <f t="shared" si="9"/>
        <v>Desceu</v>
      </c>
      <c r="Y81" s="11">
        <f t="shared" si="10"/>
        <v>-0.1229</v>
      </c>
      <c r="Z81" s="16">
        <f t="shared" si="11"/>
        <v>3.500171018</v>
      </c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O82" s="14"/>
      <c r="V82" s="14"/>
      <c r="W82" s="14"/>
      <c r="Z82" s="16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O83" s="14"/>
      <c r="V83" s="14"/>
      <c r="W83" s="14"/>
      <c r="Z83" s="16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O84" s="14"/>
      <c r="V84" s="14"/>
      <c r="W84" s="14"/>
      <c r="Z84" s="16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O85" s="14"/>
      <c r="V85" s="14"/>
      <c r="W85" s="14"/>
      <c r="Z85" s="16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O86" s="14"/>
      <c r="V86" s="14"/>
      <c r="W86" s="14"/>
      <c r="Z86" s="16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O87" s="14"/>
      <c r="V87" s="14"/>
      <c r="W87" s="14"/>
      <c r="Z87" s="16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O88" s="14"/>
      <c r="V88" s="14"/>
      <c r="W88" s="14"/>
      <c r="Z88" s="16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O89" s="14"/>
      <c r="V89" s="14"/>
      <c r="W89" s="14"/>
      <c r="Z89" s="16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O90" s="14"/>
      <c r="V90" s="14"/>
      <c r="W90" s="14"/>
      <c r="Z90" s="16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O91" s="14"/>
      <c r="V91" s="14"/>
      <c r="W91" s="14"/>
      <c r="Z91" s="16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O92" s="14"/>
      <c r="V92" s="14"/>
      <c r="W92" s="14"/>
      <c r="Z92" s="16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O93" s="14"/>
      <c r="V93" s="14"/>
      <c r="W93" s="14"/>
      <c r="Z93" s="16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O94" s="14"/>
      <c r="V94" s="14"/>
      <c r="W94" s="14"/>
      <c r="Z94" s="16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O95" s="14"/>
      <c r="V95" s="14"/>
      <c r="W95" s="14"/>
      <c r="Z95" s="16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O96" s="14"/>
      <c r="V96" s="14"/>
      <c r="W96" s="14"/>
      <c r="Z96" s="16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O97" s="14"/>
      <c r="V97" s="14"/>
      <c r="W97" s="14"/>
      <c r="Z97" s="16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O98" s="14"/>
      <c r="V98" s="14"/>
      <c r="W98" s="14"/>
      <c r="Z98" s="16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O99" s="14"/>
      <c r="V99" s="14"/>
      <c r="W99" s="14"/>
      <c r="Z99" s="16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O100" s="14"/>
      <c r="V100" s="14"/>
      <c r="W100" s="14"/>
      <c r="Z100" s="16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O101" s="14"/>
      <c r="V101" s="14"/>
      <c r="W101" s="14"/>
      <c r="Z101" s="16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O102" s="14"/>
      <c r="V102" s="14"/>
      <c r="W102" s="14"/>
      <c r="Z102" s="16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O103" s="14"/>
      <c r="V103" s="14"/>
      <c r="W103" s="14"/>
      <c r="Z103" s="16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O104" s="14"/>
      <c r="V104" s="14"/>
      <c r="W104" s="14"/>
      <c r="Z104" s="16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O105" s="14"/>
      <c r="V105" s="14"/>
      <c r="W105" s="14"/>
      <c r="Z105" s="16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O106" s="14"/>
      <c r="V106" s="14"/>
      <c r="W106" s="14"/>
      <c r="Z106" s="16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O107" s="14"/>
      <c r="V107" s="14"/>
      <c r="W107" s="14"/>
      <c r="Z107" s="16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O108" s="14"/>
      <c r="V108" s="14"/>
      <c r="W108" s="14"/>
      <c r="Z108" s="16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O109" s="14"/>
      <c r="V109" s="14"/>
      <c r="W109" s="14"/>
      <c r="Z109" s="16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O110" s="14"/>
      <c r="V110" s="14"/>
      <c r="W110" s="14"/>
      <c r="Z110" s="16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O111" s="14"/>
      <c r="V111" s="14"/>
      <c r="W111" s="14"/>
      <c r="Z111" s="16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O112" s="14"/>
      <c r="V112" s="14"/>
      <c r="W112" s="14"/>
      <c r="Z112" s="16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O113" s="14"/>
      <c r="V113" s="14"/>
      <c r="W113" s="14"/>
      <c r="Z113" s="16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O114" s="14"/>
      <c r="V114" s="14"/>
      <c r="W114" s="14"/>
      <c r="Z114" s="16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O115" s="14"/>
      <c r="V115" s="14"/>
      <c r="W115" s="14"/>
      <c r="Z115" s="16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O116" s="14"/>
      <c r="V116" s="14"/>
      <c r="W116" s="14"/>
      <c r="Z116" s="16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O117" s="14"/>
      <c r="V117" s="14"/>
      <c r="W117" s="14"/>
      <c r="Z117" s="16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O118" s="14"/>
      <c r="V118" s="14"/>
      <c r="W118" s="14"/>
      <c r="Z118" s="16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O119" s="14"/>
      <c r="V119" s="14"/>
      <c r="W119" s="14"/>
      <c r="Z119" s="16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O120" s="14"/>
      <c r="V120" s="14"/>
      <c r="W120" s="14"/>
      <c r="Z120" s="16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O121" s="14"/>
      <c r="V121" s="14"/>
      <c r="W121" s="14"/>
      <c r="Z121" s="16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O122" s="14"/>
      <c r="V122" s="14"/>
      <c r="W122" s="14"/>
      <c r="Z122" s="16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O123" s="14"/>
      <c r="V123" s="14"/>
      <c r="W123" s="14"/>
      <c r="Z123" s="16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O124" s="14"/>
      <c r="V124" s="14"/>
      <c r="W124" s="14"/>
      <c r="Z124" s="16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O125" s="14"/>
      <c r="V125" s="14"/>
      <c r="W125" s="14"/>
      <c r="Z125" s="16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O126" s="14"/>
      <c r="V126" s="14"/>
      <c r="W126" s="14"/>
      <c r="Z126" s="16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O127" s="14"/>
      <c r="V127" s="14"/>
      <c r="W127" s="14"/>
      <c r="Z127" s="16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O128" s="14"/>
      <c r="V128" s="14"/>
      <c r="W128" s="14"/>
      <c r="Z128" s="16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O129" s="14"/>
      <c r="V129" s="14"/>
      <c r="W129" s="14"/>
      <c r="Z129" s="16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O130" s="14"/>
      <c r="V130" s="14"/>
      <c r="W130" s="14"/>
      <c r="Z130" s="16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O131" s="14"/>
      <c r="V131" s="14"/>
      <c r="W131" s="14"/>
      <c r="Z131" s="16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O132" s="14"/>
      <c r="V132" s="14"/>
      <c r="W132" s="14"/>
      <c r="Z132" s="16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O133" s="14"/>
      <c r="V133" s="14"/>
      <c r="W133" s="14"/>
      <c r="Z133" s="16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O134" s="14"/>
      <c r="V134" s="14"/>
      <c r="W134" s="14"/>
      <c r="Z134" s="16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O135" s="14"/>
      <c r="V135" s="14"/>
      <c r="W135" s="14"/>
      <c r="Z135" s="16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O136" s="14"/>
      <c r="V136" s="14"/>
      <c r="W136" s="14"/>
      <c r="Z136" s="16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O137" s="14"/>
      <c r="V137" s="14"/>
      <c r="W137" s="14"/>
      <c r="Z137" s="16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O138" s="14"/>
      <c r="V138" s="14"/>
      <c r="W138" s="14"/>
      <c r="Z138" s="16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O139" s="14"/>
      <c r="V139" s="14"/>
      <c r="W139" s="14"/>
      <c r="Z139" s="16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O140" s="14"/>
      <c r="V140" s="14"/>
      <c r="W140" s="14"/>
      <c r="Z140" s="16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O141" s="14"/>
      <c r="V141" s="14"/>
      <c r="W141" s="14"/>
      <c r="Z141" s="16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O142" s="14"/>
      <c r="V142" s="14"/>
      <c r="W142" s="14"/>
      <c r="Z142" s="16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O143" s="14"/>
      <c r="V143" s="14"/>
      <c r="W143" s="14"/>
      <c r="Z143" s="16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O144" s="14"/>
      <c r="V144" s="14"/>
      <c r="W144" s="14"/>
      <c r="Z144" s="16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O145" s="14"/>
      <c r="V145" s="14"/>
      <c r="W145" s="14"/>
      <c r="Z145" s="16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O146" s="14"/>
      <c r="V146" s="14"/>
      <c r="W146" s="14"/>
      <c r="Z146" s="16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O147" s="14"/>
      <c r="V147" s="14"/>
      <c r="W147" s="14"/>
      <c r="Z147" s="16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O148" s="14"/>
      <c r="V148" s="14"/>
      <c r="W148" s="14"/>
      <c r="Z148" s="16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O149" s="14"/>
      <c r="V149" s="14"/>
      <c r="W149" s="14"/>
      <c r="Z149" s="16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O150" s="14"/>
      <c r="V150" s="14"/>
      <c r="W150" s="14"/>
      <c r="Z150" s="16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O151" s="14"/>
      <c r="V151" s="14"/>
      <c r="W151" s="14"/>
      <c r="Z151" s="16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O152" s="14"/>
      <c r="V152" s="14"/>
      <c r="W152" s="14"/>
      <c r="Z152" s="16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O153" s="14"/>
      <c r="V153" s="14"/>
      <c r="W153" s="14"/>
      <c r="Z153" s="16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O154" s="14"/>
      <c r="V154" s="14"/>
      <c r="W154" s="14"/>
      <c r="Z154" s="16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O155" s="14"/>
      <c r="V155" s="14"/>
      <c r="W155" s="14"/>
      <c r="Z155" s="16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O156" s="14"/>
      <c r="V156" s="14"/>
      <c r="W156" s="14"/>
      <c r="Z156" s="16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O157" s="14"/>
      <c r="V157" s="14"/>
      <c r="W157" s="14"/>
      <c r="Z157" s="16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O158" s="14"/>
      <c r="V158" s="14"/>
      <c r="W158" s="14"/>
      <c r="Z158" s="16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O159" s="14"/>
      <c r="V159" s="14"/>
      <c r="W159" s="14"/>
      <c r="Z159" s="16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O160" s="14"/>
      <c r="V160" s="14"/>
      <c r="W160" s="14"/>
      <c r="Z160" s="16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O161" s="14"/>
      <c r="V161" s="14"/>
      <c r="W161" s="14"/>
      <c r="Z161" s="16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O162" s="14"/>
      <c r="V162" s="14"/>
      <c r="W162" s="14"/>
      <c r="Z162" s="16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O163" s="14"/>
      <c r="V163" s="14"/>
      <c r="W163" s="14"/>
      <c r="Z163" s="16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O164" s="14"/>
      <c r="V164" s="14"/>
      <c r="W164" s="14"/>
      <c r="Z164" s="16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O165" s="14"/>
      <c r="V165" s="14"/>
      <c r="W165" s="14"/>
      <c r="Z165" s="16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O166" s="14"/>
      <c r="V166" s="14"/>
      <c r="W166" s="14"/>
      <c r="Z166" s="16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O167" s="14"/>
      <c r="V167" s="14"/>
      <c r="W167" s="14"/>
      <c r="Z167" s="16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O168" s="14"/>
      <c r="V168" s="14"/>
      <c r="W168" s="14"/>
      <c r="Z168" s="16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O169" s="14"/>
      <c r="V169" s="14"/>
      <c r="W169" s="14"/>
      <c r="Z169" s="16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O170" s="14"/>
      <c r="V170" s="14"/>
      <c r="W170" s="14"/>
      <c r="Z170" s="16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O171" s="14"/>
      <c r="V171" s="14"/>
      <c r="W171" s="14"/>
      <c r="Z171" s="16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O172" s="14"/>
      <c r="V172" s="14"/>
      <c r="W172" s="14"/>
      <c r="Z172" s="16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O173" s="14"/>
      <c r="V173" s="14"/>
      <c r="W173" s="14"/>
      <c r="Z173" s="16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O174" s="14"/>
      <c r="V174" s="14"/>
      <c r="W174" s="14"/>
      <c r="Z174" s="16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O175" s="14"/>
      <c r="V175" s="14"/>
      <c r="W175" s="14"/>
      <c r="Z175" s="16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O176" s="14"/>
      <c r="V176" s="14"/>
      <c r="W176" s="14"/>
      <c r="Z176" s="16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O177" s="14"/>
      <c r="V177" s="14"/>
      <c r="W177" s="14"/>
      <c r="Z177" s="16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O178" s="14"/>
      <c r="V178" s="14"/>
      <c r="W178" s="14"/>
      <c r="Z178" s="16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O179" s="14"/>
      <c r="V179" s="14"/>
      <c r="W179" s="14"/>
      <c r="Z179" s="16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O180" s="14"/>
      <c r="V180" s="14"/>
      <c r="W180" s="14"/>
      <c r="Z180" s="16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O181" s="14"/>
      <c r="V181" s="14"/>
      <c r="W181" s="14"/>
      <c r="Z181" s="16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O182" s="14"/>
      <c r="V182" s="14"/>
      <c r="W182" s="14"/>
      <c r="Z182" s="16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O183" s="14"/>
      <c r="V183" s="14"/>
      <c r="W183" s="14"/>
      <c r="Z183" s="16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O184" s="14"/>
      <c r="V184" s="14"/>
      <c r="W184" s="14"/>
      <c r="Z184" s="16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O185" s="14"/>
      <c r="V185" s="14"/>
      <c r="W185" s="14"/>
      <c r="Z185" s="16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O186" s="14"/>
      <c r="V186" s="14"/>
      <c r="W186" s="14"/>
      <c r="Z186" s="16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O187" s="14"/>
      <c r="V187" s="14"/>
      <c r="W187" s="14"/>
      <c r="Z187" s="16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O188" s="14"/>
      <c r="V188" s="14"/>
      <c r="W188" s="14"/>
      <c r="Z188" s="16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O189" s="14"/>
      <c r="V189" s="14"/>
      <c r="W189" s="14"/>
      <c r="Z189" s="16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O190" s="14"/>
      <c r="V190" s="14"/>
      <c r="W190" s="14"/>
      <c r="Z190" s="16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O191" s="14"/>
      <c r="V191" s="14"/>
      <c r="W191" s="14"/>
      <c r="Z191" s="16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O192" s="14"/>
      <c r="V192" s="14"/>
      <c r="W192" s="14"/>
      <c r="Z192" s="16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O193" s="14"/>
      <c r="V193" s="14"/>
      <c r="W193" s="14"/>
      <c r="Z193" s="16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O194" s="14"/>
      <c r="V194" s="14"/>
      <c r="W194" s="14"/>
      <c r="Z194" s="16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O195" s="14"/>
      <c r="V195" s="14"/>
      <c r="W195" s="14"/>
      <c r="Z195" s="16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O196" s="14"/>
      <c r="V196" s="14"/>
      <c r="W196" s="14"/>
      <c r="Z196" s="16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O197" s="14"/>
      <c r="V197" s="14"/>
      <c r="W197" s="14"/>
      <c r="Z197" s="16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O198" s="14"/>
      <c r="V198" s="14"/>
      <c r="W198" s="14"/>
      <c r="Z198" s="16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O199" s="14"/>
      <c r="V199" s="14"/>
      <c r="W199" s="14"/>
      <c r="Z199" s="16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O200" s="14"/>
      <c r="V200" s="14"/>
      <c r="W200" s="14"/>
      <c r="Z200" s="16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O201" s="14"/>
      <c r="V201" s="14"/>
      <c r="W201" s="14"/>
      <c r="Z201" s="16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O202" s="14"/>
      <c r="V202" s="14"/>
      <c r="W202" s="14"/>
      <c r="Z202" s="16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O203" s="14"/>
      <c r="V203" s="14"/>
      <c r="W203" s="14"/>
      <c r="Z203" s="16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O204" s="14"/>
      <c r="V204" s="14"/>
      <c r="W204" s="14"/>
      <c r="Z204" s="16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O205" s="14"/>
      <c r="V205" s="14"/>
      <c r="W205" s="14"/>
      <c r="Z205" s="16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O206" s="14"/>
      <c r="V206" s="14"/>
      <c r="W206" s="14"/>
      <c r="Z206" s="16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O207" s="14"/>
      <c r="V207" s="14"/>
      <c r="W207" s="14"/>
      <c r="Z207" s="16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O208" s="14"/>
      <c r="V208" s="14"/>
      <c r="W208" s="14"/>
      <c r="Z208" s="16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O209" s="14"/>
      <c r="V209" s="14"/>
      <c r="W209" s="14"/>
      <c r="Z209" s="16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O210" s="14"/>
      <c r="V210" s="14"/>
      <c r="W210" s="14"/>
      <c r="Z210" s="16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O211" s="14"/>
      <c r="V211" s="14"/>
      <c r="W211" s="14"/>
      <c r="Z211" s="16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O212" s="14"/>
      <c r="V212" s="14"/>
      <c r="W212" s="14"/>
      <c r="Z212" s="16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O213" s="14"/>
      <c r="V213" s="14"/>
      <c r="W213" s="14"/>
      <c r="Z213" s="16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O214" s="14"/>
      <c r="V214" s="14"/>
      <c r="W214" s="14"/>
      <c r="Z214" s="16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O215" s="14"/>
      <c r="V215" s="14"/>
      <c r="W215" s="14"/>
      <c r="Z215" s="16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O216" s="14"/>
      <c r="V216" s="14"/>
      <c r="W216" s="14"/>
      <c r="Z216" s="16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O217" s="14"/>
      <c r="V217" s="14"/>
      <c r="W217" s="14"/>
      <c r="Z217" s="16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O218" s="14"/>
      <c r="V218" s="14"/>
      <c r="W218" s="14"/>
      <c r="Z218" s="16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O219" s="14"/>
      <c r="V219" s="14"/>
      <c r="W219" s="14"/>
      <c r="Z219" s="16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O220" s="14"/>
      <c r="V220" s="14"/>
      <c r="W220" s="14"/>
      <c r="Z220" s="16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O221" s="14"/>
      <c r="V221" s="14"/>
      <c r="W221" s="14"/>
      <c r="Z221" s="16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O222" s="14"/>
      <c r="V222" s="14"/>
      <c r="W222" s="14"/>
      <c r="Z222" s="16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O223" s="14"/>
      <c r="V223" s="14"/>
      <c r="W223" s="14"/>
      <c r="Z223" s="16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O224" s="14"/>
      <c r="V224" s="14"/>
      <c r="W224" s="14"/>
      <c r="Z224" s="16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O225" s="14"/>
      <c r="V225" s="14"/>
      <c r="W225" s="14"/>
      <c r="Z225" s="16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O226" s="14"/>
      <c r="V226" s="14"/>
      <c r="W226" s="14"/>
      <c r="Z226" s="16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O227" s="14"/>
      <c r="V227" s="14"/>
      <c r="W227" s="14"/>
      <c r="Z227" s="16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O228" s="14"/>
      <c r="V228" s="14"/>
      <c r="W228" s="14"/>
      <c r="Z228" s="16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O229" s="14"/>
      <c r="V229" s="14"/>
      <c r="W229" s="14"/>
      <c r="Z229" s="16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O230" s="14"/>
      <c r="V230" s="14"/>
      <c r="W230" s="14"/>
      <c r="Z230" s="16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O231" s="14"/>
      <c r="V231" s="14"/>
      <c r="W231" s="14"/>
      <c r="Z231" s="16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O232" s="14"/>
      <c r="V232" s="14"/>
      <c r="W232" s="14"/>
      <c r="Z232" s="16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O233" s="14"/>
      <c r="V233" s="14"/>
      <c r="W233" s="14"/>
      <c r="Z233" s="16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O234" s="14"/>
      <c r="V234" s="14"/>
      <c r="W234" s="14"/>
      <c r="Z234" s="16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O235" s="14"/>
      <c r="V235" s="14"/>
      <c r="W235" s="14"/>
      <c r="Z235" s="16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O236" s="14"/>
      <c r="V236" s="14"/>
      <c r="W236" s="14"/>
      <c r="Z236" s="16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O237" s="14"/>
      <c r="V237" s="14"/>
      <c r="W237" s="14"/>
      <c r="Z237" s="16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O238" s="14"/>
      <c r="V238" s="14"/>
      <c r="W238" s="14"/>
      <c r="Z238" s="16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O239" s="14"/>
      <c r="V239" s="14"/>
      <c r="W239" s="14"/>
      <c r="Z239" s="16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O240" s="14"/>
      <c r="V240" s="14"/>
      <c r="W240" s="14"/>
      <c r="Z240" s="16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O241" s="14"/>
      <c r="V241" s="14"/>
      <c r="W241" s="14"/>
      <c r="Z241" s="16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O242" s="14"/>
      <c r="V242" s="14"/>
      <c r="W242" s="14"/>
      <c r="Z242" s="16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O243" s="14"/>
      <c r="V243" s="14"/>
      <c r="W243" s="14"/>
      <c r="Z243" s="16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O244" s="14"/>
      <c r="V244" s="14"/>
      <c r="W244" s="14"/>
      <c r="Z244" s="16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O245" s="14"/>
      <c r="V245" s="14"/>
      <c r="W245" s="14"/>
      <c r="Z245" s="16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O246" s="14"/>
      <c r="V246" s="14"/>
      <c r="W246" s="14"/>
      <c r="Z246" s="16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O247" s="14"/>
      <c r="V247" s="14"/>
      <c r="W247" s="14"/>
      <c r="Z247" s="16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O248" s="14"/>
      <c r="V248" s="14"/>
      <c r="W248" s="14"/>
      <c r="Z248" s="16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O249" s="14"/>
      <c r="V249" s="14"/>
      <c r="W249" s="14"/>
      <c r="Z249" s="16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O250" s="14"/>
      <c r="V250" s="14"/>
      <c r="W250" s="14"/>
      <c r="Z250" s="16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O251" s="14"/>
      <c r="V251" s="14"/>
      <c r="W251" s="14"/>
      <c r="Z251" s="16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O252" s="14"/>
      <c r="V252" s="14"/>
      <c r="W252" s="14"/>
      <c r="Z252" s="16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O253" s="14"/>
      <c r="V253" s="14"/>
      <c r="W253" s="14"/>
      <c r="Z253" s="16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O254" s="14"/>
      <c r="V254" s="14"/>
      <c r="W254" s="14"/>
      <c r="Z254" s="16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O255" s="14"/>
      <c r="V255" s="14"/>
      <c r="W255" s="14"/>
      <c r="Z255" s="16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O256" s="14"/>
      <c r="V256" s="14"/>
      <c r="W256" s="14"/>
      <c r="Z256" s="16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O257" s="14"/>
      <c r="V257" s="14"/>
      <c r="W257" s="14"/>
      <c r="Z257" s="16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O258" s="14"/>
      <c r="V258" s="14"/>
      <c r="W258" s="14"/>
      <c r="Z258" s="16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O259" s="14"/>
      <c r="V259" s="14"/>
      <c r="W259" s="14"/>
      <c r="Z259" s="16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O260" s="14"/>
      <c r="V260" s="14"/>
      <c r="W260" s="14"/>
      <c r="Z260" s="16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O261" s="14"/>
      <c r="V261" s="14"/>
      <c r="W261" s="14"/>
      <c r="Z261" s="16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O262" s="14"/>
      <c r="V262" s="14"/>
      <c r="W262" s="14"/>
      <c r="Z262" s="16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O263" s="14"/>
      <c r="V263" s="14"/>
      <c r="W263" s="14"/>
      <c r="Z263" s="16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O264" s="14"/>
      <c r="V264" s="14"/>
      <c r="W264" s="14"/>
      <c r="Z264" s="16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O265" s="14"/>
      <c r="V265" s="14"/>
      <c r="W265" s="14"/>
      <c r="Z265" s="16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O266" s="14"/>
      <c r="V266" s="14"/>
      <c r="W266" s="14"/>
      <c r="Z266" s="16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O267" s="14"/>
      <c r="V267" s="14"/>
      <c r="W267" s="14"/>
      <c r="Z267" s="16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O268" s="14"/>
      <c r="V268" s="14"/>
      <c r="W268" s="14"/>
      <c r="Z268" s="16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O269" s="14"/>
      <c r="V269" s="14"/>
      <c r="W269" s="14"/>
      <c r="Z269" s="16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O270" s="14"/>
      <c r="V270" s="14"/>
      <c r="W270" s="14"/>
      <c r="Z270" s="16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O271" s="14"/>
      <c r="V271" s="14"/>
      <c r="W271" s="14"/>
      <c r="Z271" s="16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O272" s="14"/>
      <c r="V272" s="14"/>
      <c r="W272" s="14"/>
      <c r="Z272" s="16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O273" s="14"/>
      <c r="V273" s="14"/>
      <c r="W273" s="14"/>
      <c r="Z273" s="16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O274" s="14"/>
      <c r="V274" s="14"/>
      <c r="W274" s="14"/>
      <c r="Z274" s="16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O275" s="14"/>
      <c r="V275" s="14"/>
      <c r="W275" s="14"/>
      <c r="Z275" s="16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O276" s="14"/>
      <c r="V276" s="14"/>
      <c r="W276" s="14"/>
      <c r="Z276" s="16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O277" s="14"/>
      <c r="V277" s="14"/>
      <c r="W277" s="14"/>
      <c r="Z277" s="16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O278" s="14"/>
      <c r="V278" s="14"/>
      <c r="W278" s="14"/>
      <c r="Z278" s="16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O279" s="14"/>
      <c r="V279" s="14"/>
      <c r="W279" s="14"/>
      <c r="Z279" s="16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O280" s="14"/>
      <c r="V280" s="14"/>
      <c r="W280" s="14"/>
      <c r="Z280" s="16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O281" s="14"/>
      <c r="V281" s="14"/>
      <c r="W281" s="14"/>
      <c r="Z281" s="16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O282" s="14"/>
      <c r="V282" s="14"/>
      <c r="W282" s="14"/>
      <c r="Z282" s="16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O283" s="14"/>
      <c r="V283" s="14"/>
      <c r="W283" s="14"/>
      <c r="Z283" s="16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O284" s="14"/>
      <c r="V284" s="14"/>
      <c r="W284" s="14"/>
      <c r="Z284" s="16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O285" s="14"/>
      <c r="V285" s="14"/>
      <c r="W285" s="14"/>
      <c r="Z285" s="16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O286" s="14"/>
      <c r="V286" s="14"/>
      <c r="W286" s="14"/>
      <c r="Z286" s="16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O287" s="14"/>
      <c r="V287" s="14"/>
      <c r="W287" s="14"/>
      <c r="Z287" s="16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O288" s="14"/>
      <c r="V288" s="14"/>
      <c r="W288" s="14"/>
      <c r="Z288" s="16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O289" s="14"/>
      <c r="V289" s="14"/>
      <c r="W289" s="14"/>
      <c r="Z289" s="16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O290" s="14"/>
      <c r="V290" s="14"/>
      <c r="W290" s="14"/>
      <c r="Z290" s="16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O291" s="14"/>
      <c r="V291" s="14"/>
      <c r="W291" s="14"/>
      <c r="Z291" s="16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O292" s="14"/>
      <c r="V292" s="14"/>
      <c r="W292" s="14"/>
      <c r="Z292" s="16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O293" s="14"/>
      <c r="V293" s="14"/>
      <c r="W293" s="14"/>
      <c r="Z293" s="16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O294" s="14"/>
      <c r="V294" s="14"/>
      <c r="W294" s="14"/>
      <c r="Z294" s="16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O295" s="14"/>
      <c r="V295" s="14"/>
      <c r="W295" s="14"/>
      <c r="Z295" s="16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O296" s="14"/>
      <c r="V296" s="14"/>
      <c r="W296" s="14"/>
      <c r="Z296" s="16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O297" s="14"/>
      <c r="V297" s="14"/>
      <c r="W297" s="14"/>
      <c r="Z297" s="16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O298" s="14"/>
      <c r="V298" s="14"/>
      <c r="W298" s="14"/>
      <c r="Z298" s="16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O299" s="14"/>
      <c r="V299" s="14"/>
      <c r="W299" s="14"/>
      <c r="Z299" s="16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O300" s="14"/>
      <c r="V300" s="14"/>
      <c r="W300" s="14"/>
      <c r="Z300" s="16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O301" s="14"/>
      <c r="V301" s="14"/>
      <c r="W301" s="14"/>
      <c r="Z301" s="16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O302" s="14"/>
      <c r="V302" s="14"/>
      <c r="W302" s="14"/>
      <c r="Z302" s="16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O303" s="14"/>
      <c r="V303" s="14"/>
      <c r="W303" s="14"/>
      <c r="Z303" s="16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O304" s="14"/>
      <c r="V304" s="14"/>
      <c r="W304" s="14"/>
      <c r="Z304" s="16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O305" s="14"/>
      <c r="V305" s="14"/>
      <c r="W305" s="14"/>
      <c r="Z305" s="16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O306" s="14"/>
      <c r="V306" s="14"/>
      <c r="W306" s="14"/>
      <c r="Z306" s="16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O307" s="14"/>
      <c r="V307" s="14"/>
      <c r="W307" s="14"/>
      <c r="Z307" s="16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O308" s="14"/>
      <c r="V308" s="14"/>
      <c r="W308" s="14"/>
      <c r="Z308" s="16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O309" s="14"/>
      <c r="V309" s="14"/>
      <c r="W309" s="14"/>
      <c r="Z309" s="16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O310" s="14"/>
      <c r="V310" s="14"/>
      <c r="W310" s="14"/>
      <c r="Z310" s="16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O311" s="14"/>
      <c r="V311" s="14"/>
      <c r="W311" s="14"/>
      <c r="Z311" s="16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O312" s="14"/>
      <c r="V312" s="14"/>
      <c r="W312" s="14"/>
      <c r="Z312" s="16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O313" s="14"/>
      <c r="V313" s="14"/>
      <c r="W313" s="14"/>
      <c r="Z313" s="16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O314" s="14"/>
      <c r="V314" s="14"/>
      <c r="W314" s="14"/>
      <c r="Z314" s="16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O315" s="14"/>
      <c r="V315" s="14"/>
      <c r="W315" s="14"/>
      <c r="Z315" s="16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O316" s="14"/>
      <c r="V316" s="14"/>
      <c r="W316" s="14"/>
      <c r="Z316" s="16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O317" s="14"/>
      <c r="V317" s="14"/>
      <c r="W317" s="14"/>
      <c r="Z317" s="16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O318" s="14"/>
      <c r="V318" s="14"/>
      <c r="W318" s="14"/>
      <c r="Z318" s="16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O319" s="14"/>
      <c r="V319" s="14"/>
      <c r="W319" s="14"/>
      <c r="Z319" s="16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O320" s="14"/>
      <c r="V320" s="14"/>
      <c r="W320" s="14"/>
      <c r="Z320" s="16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O321" s="14"/>
      <c r="V321" s="14"/>
      <c r="W321" s="14"/>
      <c r="Z321" s="16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O322" s="14"/>
      <c r="V322" s="14"/>
      <c r="W322" s="14"/>
      <c r="Z322" s="16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O323" s="14"/>
      <c r="V323" s="14"/>
      <c r="W323" s="14"/>
      <c r="Z323" s="16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O324" s="14"/>
      <c r="V324" s="14"/>
      <c r="W324" s="14"/>
      <c r="Z324" s="16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O325" s="14"/>
      <c r="V325" s="14"/>
      <c r="W325" s="14"/>
      <c r="Z325" s="16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O326" s="14"/>
      <c r="V326" s="14"/>
      <c r="W326" s="14"/>
      <c r="Z326" s="16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O327" s="14"/>
      <c r="V327" s="14"/>
      <c r="W327" s="14"/>
      <c r="Z327" s="16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O328" s="14"/>
      <c r="V328" s="14"/>
      <c r="W328" s="14"/>
      <c r="Z328" s="16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O329" s="14"/>
      <c r="V329" s="14"/>
      <c r="W329" s="14"/>
      <c r="Z329" s="16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O330" s="14"/>
      <c r="V330" s="14"/>
      <c r="W330" s="14"/>
      <c r="Z330" s="16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O331" s="14"/>
      <c r="V331" s="14"/>
      <c r="W331" s="14"/>
      <c r="Z331" s="16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O332" s="14"/>
      <c r="V332" s="14"/>
      <c r="W332" s="14"/>
      <c r="Z332" s="16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O333" s="14"/>
      <c r="V333" s="14"/>
      <c r="W333" s="14"/>
      <c r="Z333" s="16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O334" s="14"/>
      <c r="V334" s="14"/>
      <c r="W334" s="14"/>
      <c r="Z334" s="16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O335" s="14"/>
      <c r="V335" s="14"/>
      <c r="W335" s="14"/>
      <c r="Z335" s="16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O336" s="14"/>
      <c r="V336" s="14"/>
      <c r="W336" s="14"/>
      <c r="Z336" s="16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O337" s="14"/>
      <c r="V337" s="14"/>
      <c r="W337" s="14"/>
      <c r="Z337" s="16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O338" s="14"/>
      <c r="V338" s="14"/>
      <c r="W338" s="14"/>
      <c r="Z338" s="16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O339" s="14"/>
      <c r="V339" s="14"/>
      <c r="W339" s="14"/>
      <c r="Z339" s="16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O340" s="14"/>
      <c r="V340" s="14"/>
      <c r="W340" s="14"/>
      <c r="Z340" s="16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O341" s="14"/>
      <c r="V341" s="14"/>
      <c r="W341" s="14"/>
      <c r="Z341" s="16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O342" s="14"/>
      <c r="V342" s="14"/>
      <c r="W342" s="14"/>
      <c r="Z342" s="16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O343" s="14"/>
      <c r="V343" s="14"/>
      <c r="W343" s="14"/>
      <c r="Z343" s="16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O344" s="14"/>
      <c r="V344" s="14"/>
      <c r="W344" s="14"/>
      <c r="Z344" s="16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O345" s="14"/>
      <c r="V345" s="14"/>
      <c r="W345" s="14"/>
      <c r="Z345" s="16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O346" s="14"/>
      <c r="V346" s="14"/>
      <c r="W346" s="14"/>
      <c r="Z346" s="16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O347" s="14"/>
      <c r="V347" s="14"/>
      <c r="W347" s="14"/>
      <c r="Z347" s="16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O348" s="14"/>
      <c r="V348" s="14"/>
      <c r="W348" s="14"/>
      <c r="Z348" s="16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O349" s="14"/>
      <c r="V349" s="14"/>
      <c r="W349" s="14"/>
      <c r="Z349" s="16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O350" s="14"/>
      <c r="V350" s="14"/>
      <c r="W350" s="14"/>
      <c r="Z350" s="16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O351" s="14"/>
      <c r="V351" s="14"/>
      <c r="W351" s="14"/>
      <c r="Z351" s="16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O352" s="14"/>
      <c r="V352" s="14"/>
      <c r="W352" s="14"/>
      <c r="Z352" s="16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O353" s="14"/>
      <c r="V353" s="14"/>
      <c r="W353" s="14"/>
      <c r="Z353" s="16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O354" s="14"/>
      <c r="V354" s="14"/>
      <c r="W354" s="14"/>
      <c r="Z354" s="16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O355" s="14"/>
      <c r="V355" s="14"/>
      <c r="W355" s="14"/>
      <c r="Z355" s="16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O356" s="14"/>
      <c r="V356" s="14"/>
      <c r="W356" s="14"/>
      <c r="Z356" s="16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O357" s="14"/>
      <c r="V357" s="14"/>
      <c r="W357" s="14"/>
      <c r="Z357" s="16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O358" s="14"/>
      <c r="V358" s="14"/>
      <c r="W358" s="14"/>
      <c r="Z358" s="16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O359" s="14"/>
      <c r="V359" s="14"/>
      <c r="W359" s="14"/>
      <c r="Z359" s="16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O360" s="14"/>
      <c r="V360" s="14"/>
      <c r="W360" s="14"/>
      <c r="Z360" s="16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O361" s="14"/>
      <c r="V361" s="14"/>
      <c r="W361" s="14"/>
      <c r="Z361" s="16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O362" s="14"/>
      <c r="V362" s="14"/>
      <c r="W362" s="14"/>
      <c r="Z362" s="16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O363" s="14"/>
      <c r="V363" s="14"/>
      <c r="W363" s="14"/>
      <c r="Z363" s="16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O364" s="14"/>
      <c r="V364" s="14"/>
      <c r="W364" s="14"/>
      <c r="Z364" s="16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O365" s="14"/>
      <c r="V365" s="14"/>
      <c r="W365" s="14"/>
      <c r="Z365" s="16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O366" s="14"/>
      <c r="V366" s="14"/>
      <c r="W366" s="14"/>
      <c r="Z366" s="16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O367" s="14"/>
      <c r="V367" s="14"/>
      <c r="W367" s="14"/>
      <c r="Z367" s="16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O368" s="14"/>
      <c r="V368" s="14"/>
      <c r="W368" s="14"/>
      <c r="Z368" s="16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O369" s="14"/>
      <c r="V369" s="14"/>
      <c r="W369" s="14"/>
      <c r="Z369" s="16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O370" s="14"/>
      <c r="V370" s="14"/>
      <c r="W370" s="14"/>
      <c r="Z370" s="16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O371" s="14"/>
      <c r="V371" s="14"/>
      <c r="W371" s="14"/>
      <c r="Z371" s="16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O372" s="14"/>
      <c r="V372" s="14"/>
      <c r="W372" s="14"/>
      <c r="Z372" s="16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O373" s="14"/>
      <c r="V373" s="14"/>
      <c r="W373" s="14"/>
      <c r="Z373" s="16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O374" s="14"/>
      <c r="V374" s="14"/>
      <c r="W374" s="14"/>
      <c r="Z374" s="16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O375" s="14"/>
      <c r="V375" s="14"/>
      <c r="W375" s="14"/>
      <c r="Z375" s="16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O376" s="14"/>
      <c r="V376" s="14"/>
      <c r="W376" s="14"/>
      <c r="Z376" s="16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O377" s="14"/>
      <c r="V377" s="14"/>
      <c r="W377" s="14"/>
      <c r="Z377" s="16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O378" s="14"/>
      <c r="V378" s="14"/>
      <c r="W378" s="14"/>
      <c r="Z378" s="16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O379" s="14"/>
      <c r="V379" s="14"/>
      <c r="W379" s="14"/>
      <c r="Z379" s="16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O380" s="14"/>
      <c r="V380" s="14"/>
      <c r="W380" s="14"/>
      <c r="Z380" s="16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O381" s="14"/>
      <c r="V381" s="14"/>
      <c r="W381" s="14"/>
      <c r="Z381" s="16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O382" s="14"/>
      <c r="V382" s="14"/>
      <c r="W382" s="14"/>
      <c r="Z382" s="16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O383" s="14"/>
      <c r="V383" s="14"/>
      <c r="W383" s="14"/>
      <c r="Z383" s="16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O384" s="14"/>
      <c r="V384" s="14"/>
      <c r="W384" s="14"/>
      <c r="Z384" s="16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O385" s="14"/>
      <c r="V385" s="14"/>
      <c r="W385" s="14"/>
      <c r="Z385" s="16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O386" s="14"/>
      <c r="V386" s="14"/>
      <c r="W386" s="14"/>
      <c r="Z386" s="16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O387" s="14"/>
      <c r="V387" s="14"/>
      <c r="W387" s="14"/>
      <c r="Z387" s="16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O388" s="14"/>
      <c r="V388" s="14"/>
      <c r="W388" s="14"/>
      <c r="Z388" s="16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O389" s="14"/>
      <c r="V389" s="14"/>
      <c r="W389" s="14"/>
      <c r="Z389" s="16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O390" s="14"/>
      <c r="V390" s="14"/>
      <c r="W390" s="14"/>
      <c r="Z390" s="16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O391" s="14"/>
      <c r="V391" s="14"/>
      <c r="W391" s="14"/>
      <c r="Z391" s="16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O392" s="14"/>
      <c r="V392" s="14"/>
      <c r="W392" s="14"/>
      <c r="Z392" s="16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O393" s="14"/>
      <c r="V393" s="14"/>
      <c r="W393" s="14"/>
      <c r="Z393" s="16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O394" s="14"/>
      <c r="V394" s="14"/>
      <c r="W394" s="14"/>
      <c r="Z394" s="16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O395" s="14"/>
      <c r="V395" s="14"/>
      <c r="W395" s="14"/>
      <c r="Z395" s="16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O396" s="14"/>
      <c r="V396" s="14"/>
      <c r="W396" s="14"/>
      <c r="Z396" s="16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O397" s="14"/>
      <c r="V397" s="14"/>
      <c r="W397" s="14"/>
      <c r="Z397" s="16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O398" s="14"/>
      <c r="V398" s="14"/>
      <c r="W398" s="14"/>
      <c r="Z398" s="16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O399" s="14"/>
      <c r="V399" s="14"/>
      <c r="W399" s="14"/>
      <c r="Z399" s="16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O400" s="14"/>
      <c r="V400" s="14"/>
      <c r="W400" s="14"/>
      <c r="Z400" s="16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O401" s="14"/>
      <c r="V401" s="14"/>
      <c r="W401" s="14"/>
      <c r="Z401" s="16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O402" s="14"/>
      <c r="V402" s="14"/>
      <c r="W402" s="14"/>
      <c r="Z402" s="16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O403" s="14"/>
      <c r="V403" s="14"/>
      <c r="W403" s="14"/>
      <c r="Z403" s="16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O404" s="14"/>
      <c r="V404" s="14"/>
      <c r="W404" s="14"/>
      <c r="Z404" s="16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O405" s="14"/>
      <c r="V405" s="14"/>
      <c r="W405" s="14"/>
      <c r="Z405" s="16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O406" s="14"/>
      <c r="V406" s="14"/>
      <c r="W406" s="14"/>
      <c r="Z406" s="16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O407" s="14"/>
      <c r="V407" s="14"/>
      <c r="W407" s="14"/>
      <c r="Z407" s="16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O408" s="14"/>
      <c r="V408" s="14"/>
      <c r="W408" s="14"/>
      <c r="Z408" s="16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O409" s="14"/>
      <c r="V409" s="14"/>
      <c r="W409" s="14"/>
      <c r="Z409" s="16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O410" s="14"/>
      <c r="V410" s="14"/>
      <c r="W410" s="14"/>
      <c r="Z410" s="16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O411" s="14"/>
      <c r="V411" s="14"/>
      <c r="W411" s="14"/>
      <c r="Z411" s="16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O412" s="14"/>
      <c r="V412" s="14"/>
      <c r="W412" s="14"/>
      <c r="Z412" s="16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O413" s="14"/>
      <c r="V413" s="14"/>
      <c r="W413" s="14"/>
      <c r="Z413" s="16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O414" s="14"/>
      <c r="V414" s="14"/>
      <c r="W414" s="14"/>
      <c r="Z414" s="16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O415" s="14"/>
      <c r="V415" s="14"/>
      <c r="W415" s="14"/>
      <c r="Z415" s="16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O416" s="14"/>
      <c r="V416" s="14"/>
      <c r="W416" s="14"/>
      <c r="Z416" s="16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O417" s="14"/>
      <c r="V417" s="14"/>
      <c r="W417" s="14"/>
      <c r="Z417" s="16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O418" s="14"/>
      <c r="V418" s="14"/>
      <c r="W418" s="14"/>
      <c r="Z418" s="16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O419" s="14"/>
      <c r="V419" s="14"/>
      <c r="W419" s="14"/>
      <c r="Z419" s="16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O420" s="14"/>
      <c r="V420" s="14"/>
      <c r="W420" s="14"/>
      <c r="Z420" s="16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O421" s="14"/>
      <c r="V421" s="14"/>
      <c r="W421" s="14"/>
      <c r="Z421" s="16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O422" s="14"/>
      <c r="V422" s="14"/>
      <c r="W422" s="14"/>
      <c r="Z422" s="16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O423" s="14"/>
      <c r="V423" s="14"/>
      <c r="W423" s="14"/>
      <c r="Z423" s="16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O424" s="14"/>
      <c r="V424" s="14"/>
      <c r="W424" s="14"/>
      <c r="Z424" s="16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O425" s="14"/>
      <c r="V425" s="14"/>
      <c r="W425" s="14"/>
      <c r="Z425" s="16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O426" s="14"/>
      <c r="V426" s="14"/>
      <c r="W426" s="14"/>
      <c r="Z426" s="16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O427" s="14"/>
      <c r="V427" s="14"/>
      <c r="W427" s="14"/>
      <c r="Z427" s="16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O428" s="14"/>
      <c r="V428" s="14"/>
      <c r="W428" s="14"/>
      <c r="Z428" s="16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O429" s="14"/>
      <c r="V429" s="14"/>
      <c r="W429" s="14"/>
      <c r="Z429" s="16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O430" s="14"/>
      <c r="V430" s="14"/>
      <c r="W430" s="14"/>
      <c r="Z430" s="16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O431" s="14"/>
      <c r="V431" s="14"/>
      <c r="W431" s="14"/>
      <c r="Z431" s="16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O432" s="14"/>
      <c r="V432" s="14"/>
      <c r="W432" s="14"/>
      <c r="Z432" s="16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O433" s="14"/>
      <c r="V433" s="14"/>
      <c r="W433" s="14"/>
      <c r="Z433" s="16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O434" s="14"/>
      <c r="V434" s="14"/>
      <c r="W434" s="14"/>
      <c r="Z434" s="16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O435" s="14"/>
      <c r="V435" s="14"/>
      <c r="W435" s="14"/>
      <c r="Z435" s="16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O436" s="14"/>
      <c r="V436" s="14"/>
      <c r="W436" s="14"/>
      <c r="Z436" s="16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O437" s="14"/>
      <c r="V437" s="14"/>
      <c r="W437" s="14"/>
      <c r="Z437" s="16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O438" s="14"/>
      <c r="V438" s="14"/>
      <c r="W438" s="14"/>
      <c r="Z438" s="16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O439" s="14"/>
      <c r="V439" s="14"/>
      <c r="W439" s="14"/>
      <c r="Z439" s="16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O440" s="14"/>
      <c r="V440" s="14"/>
      <c r="W440" s="14"/>
      <c r="Z440" s="16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O441" s="14"/>
      <c r="V441" s="14"/>
      <c r="W441" s="14"/>
      <c r="Z441" s="16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O442" s="14"/>
      <c r="V442" s="14"/>
      <c r="W442" s="14"/>
      <c r="Z442" s="16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O443" s="14"/>
      <c r="V443" s="14"/>
      <c r="W443" s="14"/>
      <c r="Z443" s="16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O444" s="14"/>
      <c r="V444" s="14"/>
      <c r="W444" s="14"/>
      <c r="Z444" s="16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O445" s="14"/>
      <c r="V445" s="14"/>
      <c r="W445" s="14"/>
      <c r="Z445" s="16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O446" s="14"/>
      <c r="V446" s="14"/>
      <c r="W446" s="14"/>
      <c r="Z446" s="16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O447" s="14"/>
      <c r="V447" s="14"/>
      <c r="W447" s="14"/>
      <c r="Z447" s="16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O448" s="14"/>
      <c r="V448" s="14"/>
      <c r="W448" s="14"/>
      <c r="Z448" s="16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O449" s="14"/>
      <c r="V449" s="14"/>
      <c r="W449" s="14"/>
      <c r="Z449" s="16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O450" s="14"/>
      <c r="V450" s="14"/>
      <c r="W450" s="14"/>
      <c r="Z450" s="16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O451" s="14"/>
      <c r="V451" s="14"/>
      <c r="W451" s="14"/>
      <c r="Z451" s="16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O452" s="14"/>
      <c r="V452" s="14"/>
      <c r="W452" s="14"/>
      <c r="Z452" s="16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O453" s="14"/>
      <c r="V453" s="14"/>
      <c r="W453" s="14"/>
      <c r="Z453" s="16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O454" s="14"/>
      <c r="V454" s="14"/>
      <c r="W454" s="14"/>
      <c r="Z454" s="16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O455" s="14"/>
      <c r="V455" s="14"/>
      <c r="W455" s="14"/>
      <c r="Z455" s="16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O456" s="14"/>
      <c r="V456" s="14"/>
      <c r="W456" s="14"/>
      <c r="Z456" s="16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O457" s="14"/>
      <c r="V457" s="14"/>
      <c r="W457" s="14"/>
      <c r="Z457" s="16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O458" s="14"/>
      <c r="V458" s="14"/>
      <c r="W458" s="14"/>
      <c r="Z458" s="16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O459" s="14"/>
      <c r="V459" s="14"/>
      <c r="W459" s="14"/>
      <c r="Z459" s="16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O460" s="14"/>
      <c r="V460" s="14"/>
      <c r="W460" s="14"/>
      <c r="Z460" s="16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O461" s="14"/>
      <c r="V461" s="14"/>
      <c r="W461" s="14"/>
      <c r="Z461" s="16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O462" s="14"/>
      <c r="V462" s="14"/>
      <c r="W462" s="14"/>
      <c r="Z462" s="16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O463" s="14"/>
      <c r="V463" s="14"/>
      <c r="W463" s="14"/>
      <c r="Z463" s="16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O464" s="14"/>
      <c r="V464" s="14"/>
      <c r="W464" s="14"/>
      <c r="Z464" s="16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O465" s="14"/>
      <c r="V465" s="14"/>
      <c r="W465" s="14"/>
      <c r="Z465" s="16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O466" s="14"/>
      <c r="V466" s="14"/>
      <c r="W466" s="14"/>
      <c r="Z466" s="16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O467" s="14"/>
      <c r="V467" s="14"/>
      <c r="W467" s="14"/>
      <c r="Z467" s="16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O468" s="14"/>
      <c r="V468" s="14"/>
      <c r="W468" s="14"/>
      <c r="Z468" s="16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O469" s="14"/>
      <c r="V469" s="14"/>
      <c r="W469" s="14"/>
      <c r="Z469" s="16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O470" s="14"/>
      <c r="V470" s="14"/>
      <c r="W470" s="14"/>
      <c r="Z470" s="16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O471" s="14"/>
      <c r="V471" s="14"/>
      <c r="W471" s="14"/>
      <c r="Z471" s="16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O472" s="14"/>
      <c r="V472" s="14"/>
      <c r="W472" s="14"/>
      <c r="Z472" s="16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O473" s="14"/>
      <c r="V473" s="14"/>
      <c r="W473" s="14"/>
      <c r="Z473" s="16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O474" s="14"/>
      <c r="V474" s="14"/>
      <c r="W474" s="14"/>
      <c r="Z474" s="16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O475" s="14"/>
      <c r="V475" s="14"/>
      <c r="W475" s="14"/>
      <c r="Z475" s="16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O476" s="14"/>
      <c r="V476" s="14"/>
      <c r="W476" s="14"/>
      <c r="Z476" s="16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O477" s="14"/>
      <c r="V477" s="14"/>
      <c r="W477" s="14"/>
      <c r="Z477" s="16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O478" s="14"/>
      <c r="V478" s="14"/>
      <c r="W478" s="14"/>
      <c r="Z478" s="16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O479" s="14"/>
      <c r="V479" s="14"/>
      <c r="W479" s="14"/>
      <c r="Z479" s="16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O480" s="14"/>
      <c r="V480" s="14"/>
      <c r="W480" s="14"/>
      <c r="Z480" s="16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O481" s="14"/>
      <c r="V481" s="14"/>
      <c r="W481" s="14"/>
      <c r="Z481" s="16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O482" s="14"/>
      <c r="V482" s="14"/>
      <c r="W482" s="14"/>
      <c r="Z482" s="16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O483" s="14"/>
      <c r="V483" s="14"/>
      <c r="W483" s="14"/>
      <c r="Z483" s="16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O484" s="14"/>
      <c r="V484" s="14"/>
      <c r="W484" s="14"/>
      <c r="Z484" s="16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O485" s="14"/>
      <c r="V485" s="14"/>
      <c r="W485" s="14"/>
      <c r="Z485" s="16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O486" s="14"/>
      <c r="V486" s="14"/>
      <c r="W486" s="14"/>
      <c r="Z486" s="16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O487" s="14"/>
      <c r="V487" s="14"/>
      <c r="W487" s="14"/>
      <c r="Z487" s="16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O488" s="14"/>
      <c r="V488" s="14"/>
      <c r="W488" s="14"/>
      <c r="Z488" s="16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O489" s="14"/>
      <c r="V489" s="14"/>
      <c r="W489" s="14"/>
      <c r="Z489" s="16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O490" s="14"/>
      <c r="V490" s="14"/>
      <c r="W490" s="14"/>
      <c r="Z490" s="16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O491" s="14"/>
      <c r="V491" s="14"/>
      <c r="W491" s="14"/>
      <c r="Z491" s="16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O492" s="14"/>
      <c r="V492" s="14"/>
      <c r="W492" s="14"/>
      <c r="Z492" s="16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O493" s="14"/>
      <c r="V493" s="14"/>
      <c r="W493" s="14"/>
      <c r="Z493" s="16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O494" s="14"/>
      <c r="V494" s="14"/>
      <c r="W494" s="14"/>
      <c r="Z494" s="16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O495" s="14"/>
      <c r="V495" s="14"/>
      <c r="W495" s="14"/>
      <c r="Z495" s="16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O496" s="14"/>
      <c r="V496" s="14"/>
      <c r="W496" s="14"/>
      <c r="Z496" s="16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O497" s="14"/>
      <c r="V497" s="14"/>
      <c r="W497" s="14"/>
      <c r="Z497" s="16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O498" s="14"/>
      <c r="V498" s="14"/>
      <c r="W498" s="14"/>
      <c r="Z498" s="16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O499" s="14"/>
      <c r="V499" s="14"/>
      <c r="W499" s="14"/>
      <c r="Z499" s="16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O500" s="14"/>
      <c r="V500" s="14"/>
      <c r="W500" s="14"/>
      <c r="Z500" s="16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O501" s="14"/>
      <c r="V501" s="14"/>
      <c r="W501" s="14"/>
      <c r="Z501" s="16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O502" s="14"/>
      <c r="V502" s="14"/>
      <c r="W502" s="14"/>
      <c r="Z502" s="16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O503" s="14"/>
      <c r="V503" s="14"/>
      <c r="W503" s="14"/>
      <c r="Z503" s="16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O504" s="14"/>
      <c r="V504" s="14"/>
      <c r="W504" s="14"/>
      <c r="Z504" s="16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O505" s="14"/>
      <c r="V505" s="14"/>
      <c r="W505" s="14"/>
      <c r="Z505" s="16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O506" s="14"/>
      <c r="V506" s="14"/>
      <c r="W506" s="14"/>
      <c r="Z506" s="16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O507" s="14"/>
      <c r="V507" s="14"/>
      <c r="W507" s="14"/>
      <c r="Z507" s="16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O508" s="14"/>
      <c r="V508" s="14"/>
      <c r="W508" s="14"/>
      <c r="Z508" s="16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O509" s="14"/>
      <c r="V509" s="14"/>
      <c r="W509" s="14"/>
      <c r="Z509" s="16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O510" s="14"/>
      <c r="V510" s="14"/>
      <c r="W510" s="14"/>
      <c r="Z510" s="16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O511" s="14"/>
      <c r="V511" s="14"/>
      <c r="W511" s="14"/>
      <c r="Z511" s="16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O512" s="14"/>
      <c r="V512" s="14"/>
      <c r="W512" s="14"/>
      <c r="Z512" s="16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O513" s="14"/>
      <c r="V513" s="14"/>
      <c r="W513" s="14"/>
      <c r="Z513" s="16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O514" s="14"/>
      <c r="V514" s="14"/>
      <c r="W514" s="14"/>
      <c r="Z514" s="16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O515" s="14"/>
      <c r="V515" s="14"/>
      <c r="W515" s="14"/>
      <c r="Z515" s="16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O516" s="14"/>
      <c r="V516" s="14"/>
      <c r="W516" s="14"/>
      <c r="Z516" s="16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O517" s="14"/>
      <c r="V517" s="14"/>
      <c r="W517" s="14"/>
      <c r="Z517" s="16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O518" s="14"/>
      <c r="V518" s="14"/>
      <c r="W518" s="14"/>
      <c r="Z518" s="16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O519" s="14"/>
      <c r="V519" s="14"/>
      <c r="W519" s="14"/>
      <c r="Z519" s="16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O520" s="14"/>
      <c r="V520" s="14"/>
      <c r="W520" s="14"/>
      <c r="Z520" s="16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O521" s="14"/>
      <c r="V521" s="14"/>
      <c r="W521" s="14"/>
      <c r="Z521" s="16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O522" s="14"/>
      <c r="V522" s="14"/>
      <c r="W522" s="14"/>
      <c r="Z522" s="16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O523" s="14"/>
      <c r="V523" s="14"/>
      <c r="W523" s="14"/>
      <c r="Z523" s="16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O524" s="14"/>
      <c r="V524" s="14"/>
      <c r="W524" s="14"/>
      <c r="Z524" s="16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O525" s="14"/>
      <c r="V525" s="14"/>
      <c r="W525" s="14"/>
      <c r="Z525" s="16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O526" s="14"/>
      <c r="V526" s="14"/>
      <c r="W526" s="14"/>
      <c r="Z526" s="16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O527" s="14"/>
      <c r="V527" s="14"/>
      <c r="W527" s="14"/>
      <c r="Z527" s="16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O528" s="14"/>
      <c r="V528" s="14"/>
      <c r="W528" s="14"/>
      <c r="Z528" s="16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O529" s="14"/>
      <c r="V529" s="14"/>
      <c r="W529" s="14"/>
      <c r="Z529" s="16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O530" s="14"/>
      <c r="V530" s="14"/>
      <c r="W530" s="14"/>
      <c r="Z530" s="16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O531" s="14"/>
      <c r="V531" s="14"/>
      <c r="W531" s="14"/>
      <c r="Z531" s="16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O532" s="14"/>
      <c r="V532" s="14"/>
      <c r="W532" s="14"/>
      <c r="Z532" s="16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O533" s="14"/>
      <c r="V533" s="14"/>
      <c r="W533" s="14"/>
      <c r="Z533" s="16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O534" s="14"/>
      <c r="V534" s="14"/>
      <c r="W534" s="14"/>
      <c r="Z534" s="16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O535" s="14"/>
      <c r="V535" s="14"/>
      <c r="W535" s="14"/>
      <c r="Z535" s="16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O536" s="14"/>
      <c r="V536" s="14"/>
      <c r="W536" s="14"/>
      <c r="Z536" s="16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O537" s="14"/>
      <c r="V537" s="14"/>
      <c r="W537" s="14"/>
      <c r="Z537" s="16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O538" s="14"/>
      <c r="V538" s="14"/>
      <c r="W538" s="14"/>
      <c r="Z538" s="16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O539" s="14"/>
      <c r="V539" s="14"/>
      <c r="W539" s="14"/>
      <c r="Z539" s="16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O540" s="14"/>
      <c r="V540" s="14"/>
      <c r="W540" s="14"/>
      <c r="Z540" s="16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O541" s="14"/>
      <c r="V541" s="14"/>
      <c r="W541" s="14"/>
      <c r="Z541" s="16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O542" s="14"/>
      <c r="V542" s="14"/>
      <c r="W542" s="14"/>
      <c r="Z542" s="16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O543" s="14"/>
      <c r="V543" s="14"/>
      <c r="W543" s="14"/>
      <c r="Z543" s="16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O544" s="14"/>
      <c r="V544" s="14"/>
      <c r="W544" s="14"/>
      <c r="Z544" s="16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O545" s="14"/>
      <c r="V545" s="14"/>
      <c r="W545" s="14"/>
      <c r="Z545" s="16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O546" s="14"/>
      <c r="V546" s="14"/>
      <c r="W546" s="14"/>
      <c r="Z546" s="16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O547" s="14"/>
      <c r="V547" s="14"/>
      <c r="W547" s="14"/>
      <c r="Z547" s="16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O548" s="14"/>
      <c r="V548" s="14"/>
      <c r="W548" s="14"/>
      <c r="Z548" s="16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O549" s="14"/>
      <c r="V549" s="14"/>
      <c r="W549" s="14"/>
      <c r="Z549" s="16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O550" s="14"/>
      <c r="V550" s="14"/>
      <c r="W550" s="14"/>
      <c r="Z550" s="16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O551" s="14"/>
      <c r="V551" s="14"/>
      <c r="W551" s="14"/>
      <c r="Z551" s="16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O552" s="14"/>
      <c r="V552" s="14"/>
      <c r="W552" s="14"/>
      <c r="Z552" s="16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O553" s="14"/>
      <c r="V553" s="14"/>
      <c r="W553" s="14"/>
      <c r="Z553" s="16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O554" s="14"/>
      <c r="V554" s="14"/>
      <c r="W554" s="14"/>
      <c r="Z554" s="16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O555" s="14"/>
      <c r="V555" s="14"/>
      <c r="W555" s="14"/>
      <c r="Z555" s="16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O556" s="14"/>
      <c r="V556" s="14"/>
      <c r="W556" s="14"/>
      <c r="Z556" s="16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O557" s="14"/>
      <c r="V557" s="14"/>
      <c r="W557" s="14"/>
      <c r="Z557" s="16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O558" s="14"/>
      <c r="V558" s="14"/>
      <c r="W558" s="14"/>
      <c r="Z558" s="16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O559" s="14"/>
      <c r="V559" s="14"/>
      <c r="W559" s="14"/>
      <c r="Z559" s="16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O560" s="14"/>
      <c r="V560" s="14"/>
      <c r="W560" s="14"/>
      <c r="Z560" s="16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O561" s="14"/>
      <c r="V561" s="14"/>
      <c r="W561" s="14"/>
      <c r="Z561" s="16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O562" s="14"/>
      <c r="V562" s="14"/>
      <c r="W562" s="14"/>
      <c r="Z562" s="16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O563" s="14"/>
      <c r="V563" s="14"/>
      <c r="W563" s="14"/>
      <c r="Z563" s="16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O564" s="14"/>
      <c r="V564" s="14"/>
      <c r="W564" s="14"/>
      <c r="Z564" s="16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O565" s="14"/>
      <c r="V565" s="14"/>
      <c r="W565" s="14"/>
      <c r="Z565" s="16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O566" s="14"/>
      <c r="V566" s="14"/>
      <c r="W566" s="14"/>
      <c r="Z566" s="16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O567" s="14"/>
      <c r="V567" s="14"/>
      <c r="W567" s="14"/>
      <c r="Z567" s="16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O568" s="14"/>
      <c r="V568" s="14"/>
      <c r="W568" s="14"/>
      <c r="Z568" s="16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O569" s="14"/>
      <c r="V569" s="14"/>
      <c r="W569" s="14"/>
      <c r="Z569" s="16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O570" s="14"/>
      <c r="V570" s="14"/>
      <c r="W570" s="14"/>
      <c r="Z570" s="16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O571" s="14"/>
      <c r="V571" s="14"/>
      <c r="W571" s="14"/>
      <c r="Z571" s="16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O572" s="14"/>
      <c r="V572" s="14"/>
      <c r="W572" s="14"/>
      <c r="Z572" s="16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O573" s="14"/>
      <c r="V573" s="14"/>
      <c r="W573" s="14"/>
      <c r="Z573" s="16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O574" s="14"/>
      <c r="V574" s="14"/>
      <c r="W574" s="14"/>
      <c r="Z574" s="16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O575" s="14"/>
      <c r="V575" s="14"/>
      <c r="W575" s="14"/>
      <c r="Z575" s="16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O576" s="14"/>
      <c r="V576" s="14"/>
      <c r="W576" s="14"/>
      <c r="Z576" s="16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O577" s="14"/>
      <c r="V577" s="14"/>
      <c r="W577" s="14"/>
      <c r="Z577" s="16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O578" s="14"/>
      <c r="V578" s="14"/>
      <c r="W578" s="14"/>
      <c r="Z578" s="16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O579" s="14"/>
      <c r="V579" s="14"/>
      <c r="W579" s="14"/>
      <c r="Z579" s="16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O580" s="14"/>
      <c r="V580" s="14"/>
      <c r="W580" s="14"/>
      <c r="Z580" s="16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O581" s="14"/>
      <c r="V581" s="14"/>
      <c r="W581" s="14"/>
      <c r="Z581" s="16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O582" s="14"/>
      <c r="V582" s="14"/>
      <c r="W582" s="14"/>
      <c r="Z582" s="16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O583" s="14"/>
      <c r="V583" s="14"/>
      <c r="W583" s="14"/>
      <c r="Z583" s="16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O584" s="14"/>
      <c r="V584" s="14"/>
      <c r="W584" s="14"/>
      <c r="Z584" s="16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O585" s="14"/>
      <c r="V585" s="14"/>
      <c r="W585" s="14"/>
      <c r="Z585" s="16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O586" s="14"/>
      <c r="V586" s="14"/>
      <c r="W586" s="14"/>
      <c r="Z586" s="16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O587" s="14"/>
      <c r="V587" s="14"/>
      <c r="W587" s="14"/>
      <c r="Z587" s="16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O588" s="14"/>
      <c r="V588" s="14"/>
      <c r="W588" s="14"/>
      <c r="Z588" s="16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O589" s="14"/>
      <c r="V589" s="14"/>
      <c r="W589" s="14"/>
      <c r="Z589" s="16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O590" s="14"/>
      <c r="V590" s="14"/>
      <c r="W590" s="14"/>
      <c r="Z590" s="16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O591" s="14"/>
      <c r="V591" s="14"/>
      <c r="W591" s="14"/>
      <c r="Z591" s="16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O592" s="14"/>
      <c r="V592" s="14"/>
      <c r="W592" s="14"/>
      <c r="Z592" s="16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O593" s="14"/>
      <c r="V593" s="14"/>
      <c r="W593" s="14"/>
      <c r="Z593" s="16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O594" s="14"/>
      <c r="V594" s="14"/>
      <c r="W594" s="14"/>
      <c r="Z594" s="16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O595" s="14"/>
      <c r="V595" s="14"/>
      <c r="W595" s="14"/>
      <c r="Z595" s="16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O596" s="14"/>
      <c r="V596" s="14"/>
      <c r="W596" s="14"/>
      <c r="Z596" s="16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O597" s="14"/>
      <c r="V597" s="14"/>
      <c r="W597" s="14"/>
      <c r="Z597" s="16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O598" s="14"/>
      <c r="V598" s="14"/>
      <c r="W598" s="14"/>
      <c r="Z598" s="16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O599" s="14"/>
      <c r="V599" s="14"/>
      <c r="W599" s="14"/>
      <c r="Z599" s="16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O600" s="14"/>
      <c r="V600" s="14"/>
      <c r="W600" s="14"/>
      <c r="Z600" s="16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O601" s="14"/>
      <c r="V601" s="14"/>
      <c r="W601" s="14"/>
      <c r="Z601" s="16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O602" s="14"/>
      <c r="V602" s="14"/>
      <c r="W602" s="14"/>
      <c r="Z602" s="16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O603" s="14"/>
      <c r="V603" s="14"/>
      <c r="W603" s="14"/>
      <c r="Z603" s="16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O604" s="14"/>
      <c r="V604" s="14"/>
      <c r="W604" s="14"/>
      <c r="Z604" s="16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O605" s="14"/>
      <c r="V605" s="14"/>
      <c r="W605" s="14"/>
      <c r="Z605" s="16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O606" s="14"/>
      <c r="V606" s="14"/>
      <c r="W606" s="14"/>
      <c r="Z606" s="16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O607" s="14"/>
      <c r="V607" s="14"/>
      <c r="W607" s="14"/>
      <c r="Z607" s="16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O608" s="14"/>
      <c r="V608" s="14"/>
      <c r="W608" s="14"/>
      <c r="Z608" s="16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O609" s="14"/>
      <c r="V609" s="14"/>
      <c r="W609" s="14"/>
      <c r="Z609" s="16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O610" s="14"/>
      <c r="V610" s="14"/>
      <c r="W610" s="14"/>
      <c r="Z610" s="16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O611" s="14"/>
      <c r="V611" s="14"/>
      <c r="W611" s="14"/>
      <c r="Z611" s="16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O612" s="14"/>
      <c r="V612" s="14"/>
      <c r="W612" s="14"/>
      <c r="Z612" s="16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O613" s="14"/>
      <c r="V613" s="14"/>
      <c r="W613" s="14"/>
      <c r="Z613" s="16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O614" s="14"/>
      <c r="V614" s="14"/>
      <c r="W614" s="14"/>
      <c r="Z614" s="16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O615" s="14"/>
      <c r="V615" s="14"/>
      <c r="W615" s="14"/>
      <c r="Z615" s="16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O616" s="14"/>
      <c r="V616" s="14"/>
      <c r="W616" s="14"/>
      <c r="Z616" s="16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O617" s="14"/>
      <c r="V617" s="14"/>
      <c r="W617" s="14"/>
      <c r="Z617" s="16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O618" s="14"/>
      <c r="V618" s="14"/>
      <c r="W618" s="14"/>
      <c r="Z618" s="16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O619" s="14"/>
      <c r="V619" s="14"/>
      <c r="W619" s="14"/>
      <c r="Z619" s="16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O620" s="14"/>
      <c r="V620" s="14"/>
      <c r="W620" s="14"/>
      <c r="Z620" s="16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O621" s="14"/>
      <c r="V621" s="14"/>
      <c r="W621" s="14"/>
      <c r="Z621" s="16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O622" s="14"/>
      <c r="V622" s="14"/>
      <c r="W622" s="14"/>
      <c r="Z622" s="16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O623" s="14"/>
      <c r="V623" s="14"/>
      <c r="W623" s="14"/>
      <c r="Z623" s="16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O624" s="14"/>
      <c r="V624" s="14"/>
      <c r="W624" s="14"/>
      <c r="Z624" s="16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O625" s="14"/>
      <c r="V625" s="14"/>
      <c r="W625" s="14"/>
      <c r="Z625" s="16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O626" s="14"/>
      <c r="V626" s="14"/>
      <c r="W626" s="14"/>
      <c r="Z626" s="16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O627" s="14"/>
      <c r="V627" s="14"/>
      <c r="W627" s="14"/>
      <c r="Z627" s="16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O628" s="14"/>
      <c r="V628" s="14"/>
      <c r="W628" s="14"/>
      <c r="Z628" s="16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O629" s="14"/>
      <c r="V629" s="14"/>
      <c r="W629" s="14"/>
      <c r="Z629" s="16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O630" s="14"/>
      <c r="V630" s="14"/>
      <c r="W630" s="14"/>
      <c r="Z630" s="16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O631" s="14"/>
      <c r="V631" s="14"/>
      <c r="W631" s="14"/>
      <c r="Z631" s="16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O632" s="14"/>
      <c r="V632" s="14"/>
      <c r="W632" s="14"/>
      <c r="Z632" s="16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O633" s="14"/>
      <c r="V633" s="14"/>
      <c r="W633" s="14"/>
      <c r="Z633" s="16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O634" s="14"/>
      <c r="V634" s="14"/>
      <c r="W634" s="14"/>
      <c r="Z634" s="16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O635" s="14"/>
      <c r="V635" s="14"/>
      <c r="W635" s="14"/>
      <c r="Z635" s="16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O636" s="14"/>
      <c r="V636" s="14"/>
      <c r="W636" s="14"/>
      <c r="Z636" s="16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O637" s="14"/>
      <c r="V637" s="14"/>
      <c r="W637" s="14"/>
      <c r="Z637" s="16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O638" s="14"/>
      <c r="V638" s="14"/>
      <c r="W638" s="14"/>
      <c r="Z638" s="16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O639" s="14"/>
      <c r="V639" s="14"/>
      <c r="W639" s="14"/>
      <c r="Z639" s="16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O640" s="14"/>
      <c r="V640" s="14"/>
      <c r="W640" s="14"/>
      <c r="Z640" s="16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O641" s="14"/>
      <c r="V641" s="14"/>
      <c r="W641" s="14"/>
      <c r="Z641" s="16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O642" s="14"/>
      <c r="V642" s="14"/>
      <c r="W642" s="14"/>
      <c r="Z642" s="16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O643" s="14"/>
      <c r="V643" s="14"/>
      <c r="W643" s="14"/>
      <c r="Z643" s="16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O644" s="14"/>
      <c r="V644" s="14"/>
      <c r="W644" s="14"/>
      <c r="Z644" s="16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O645" s="14"/>
      <c r="V645" s="14"/>
      <c r="W645" s="14"/>
      <c r="Z645" s="16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O646" s="14"/>
      <c r="V646" s="14"/>
      <c r="W646" s="14"/>
      <c r="Z646" s="16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O647" s="14"/>
      <c r="V647" s="14"/>
      <c r="W647" s="14"/>
      <c r="Z647" s="16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O648" s="14"/>
      <c r="V648" s="14"/>
      <c r="W648" s="14"/>
      <c r="Z648" s="16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O649" s="14"/>
      <c r="V649" s="14"/>
      <c r="W649" s="14"/>
      <c r="Z649" s="16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O650" s="14"/>
      <c r="V650" s="14"/>
      <c r="W650" s="14"/>
      <c r="Z650" s="16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O651" s="14"/>
      <c r="V651" s="14"/>
      <c r="W651" s="14"/>
      <c r="Z651" s="16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O652" s="14"/>
      <c r="V652" s="14"/>
      <c r="W652" s="14"/>
      <c r="Z652" s="16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O653" s="14"/>
      <c r="V653" s="14"/>
      <c r="W653" s="14"/>
      <c r="Z653" s="16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O654" s="14"/>
      <c r="V654" s="14"/>
      <c r="W654" s="14"/>
      <c r="Z654" s="16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O655" s="14"/>
      <c r="V655" s="14"/>
      <c r="W655" s="14"/>
      <c r="Z655" s="16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O656" s="14"/>
      <c r="V656" s="14"/>
      <c r="W656" s="14"/>
      <c r="Z656" s="16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O657" s="14"/>
      <c r="V657" s="14"/>
      <c r="W657" s="14"/>
      <c r="Z657" s="16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O658" s="14"/>
      <c r="V658" s="14"/>
      <c r="W658" s="14"/>
      <c r="Z658" s="16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O659" s="14"/>
      <c r="V659" s="14"/>
      <c r="W659" s="14"/>
      <c r="Z659" s="16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O660" s="14"/>
      <c r="V660" s="14"/>
      <c r="W660" s="14"/>
      <c r="Z660" s="16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O661" s="14"/>
      <c r="V661" s="14"/>
      <c r="W661" s="14"/>
      <c r="Z661" s="16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O662" s="14"/>
      <c r="V662" s="14"/>
      <c r="W662" s="14"/>
      <c r="Z662" s="16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O663" s="14"/>
      <c r="V663" s="14"/>
      <c r="W663" s="14"/>
      <c r="Z663" s="16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O664" s="14"/>
      <c r="V664" s="14"/>
      <c r="W664" s="14"/>
      <c r="Z664" s="16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O665" s="14"/>
      <c r="V665" s="14"/>
      <c r="W665" s="14"/>
      <c r="Z665" s="16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O666" s="14"/>
      <c r="V666" s="14"/>
      <c r="W666" s="14"/>
      <c r="Z666" s="16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O667" s="14"/>
      <c r="V667" s="14"/>
      <c r="W667" s="14"/>
      <c r="Z667" s="16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O668" s="14"/>
      <c r="V668" s="14"/>
      <c r="W668" s="14"/>
      <c r="Z668" s="16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O669" s="14"/>
      <c r="V669" s="14"/>
      <c r="W669" s="14"/>
      <c r="Z669" s="16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O670" s="14"/>
      <c r="V670" s="14"/>
      <c r="W670" s="14"/>
      <c r="Z670" s="16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O671" s="14"/>
      <c r="V671" s="14"/>
      <c r="W671" s="14"/>
      <c r="Z671" s="16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O672" s="14"/>
      <c r="V672" s="14"/>
      <c r="W672" s="14"/>
      <c r="Z672" s="16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O673" s="14"/>
      <c r="V673" s="14"/>
      <c r="W673" s="14"/>
      <c r="Z673" s="16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O674" s="14"/>
      <c r="V674" s="14"/>
      <c r="W674" s="14"/>
      <c r="Z674" s="16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O675" s="14"/>
      <c r="V675" s="14"/>
      <c r="W675" s="14"/>
      <c r="Z675" s="16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O676" s="14"/>
      <c r="V676" s="14"/>
      <c r="W676" s="14"/>
      <c r="Z676" s="16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O677" s="14"/>
      <c r="V677" s="14"/>
      <c r="W677" s="14"/>
      <c r="Z677" s="16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O678" s="14"/>
      <c r="V678" s="14"/>
      <c r="W678" s="14"/>
      <c r="Z678" s="16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O679" s="14"/>
      <c r="V679" s="14"/>
      <c r="W679" s="14"/>
      <c r="Z679" s="16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O680" s="14"/>
      <c r="V680" s="14"/>
      <c r="W680" s="14"/>
      <c r="Z680" s="16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O681" s="14"/>
      <c r="V681" s="14"/>
      <c r="W681" s="14"/>
      <c r="Z681" s="16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O682" s="14"/>
      <c r="V682" s="14"/>
      <c r="W682" s="14"/>
      <c r="Z682" s="16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O683" s="14"/>
      <c r="V683" s="14"/>
      <c r="W683" s="14"/>
      <c r="Z683" s="16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O684" s="14"/>
      <c r="V684" s="14"/>
      <c r="W684" s="14"/>
      <c r="Z684" s="16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O685" s="14"/>
      <c r="V685" s="14"/>
      <c r="W685" s="14"/>
      <c r="Z685" s="16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O686" s="14"/>
      <c r="V686" s="14"/>
      <c r="W686" s="14"/>
      <c r="Z686" s="16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O687" s="14"/>
      <c r="V687" s="14"/>
      <c r="W687" s="14"/>
      <c r="Z687" s="16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O688" s="14"/>
      <c r="V688" s="14"/>
      <c r="W688" s="14"/>
      <c r="Z688" s="16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O689" s="14"/>
      <c r="V689" s="14"/>
      <c r="W689" s="14"/>
      <c r="Z689" s="16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O690" s="14"/>
      <c r="V690" s="14"/>
      <c r="W690" s="14"/>
      <c r="Z690" s="16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O691" s="14"/>
      <c r="V691" s="14"/>
      <c r="W691" s="14"/>
      <c r="Z691" s="16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O692" s="14"/>
      <c r="V692" s="14"/>
      <c r="W692" s="14"/>
      <c r="Z692" s="16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O693" s="14"/>
      <c r="V693" s="14"/>
      <c r="W693" s="14"/>
      <c r="Z693" s="16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O694" s="14"/>
      <c r="V694" s="14"/>
      <c r="W694" s="14"/>
      <c r="Z694" s="16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O695" s="14"/>
      <c r="V695" s="14"/>
      <c r="W695" s="14"/>
      <c r="Z695" s="16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O696" s="14"/>
      <c r="V696" s="14"/>
      <c r="W696" s="14"/>
      <c r="Z696" s="16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O697" s="14"/>
      <c r="V697" s="14"/>
      <c r="W697" s="14"/>
      <c r="Z697" s="16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O698" s="14"/>
      <c r="V698" s="14"/>
      <c r="W698" s="14"/>
      <c r="Z698" s="16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O699" s="14"/>
      <c r="V699" s="14"/>
      <c r="W699" s="14"/>
      <c r="Z699" s="16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O700" s="14"/>
      <c r="V700" s="14"/>
      <c r="W700" s="14"/>
      <c r="Z700" s="16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O701" s="14"/>
      <c r="V701" s="14"/>
      <c r="W701" s="14"/>
      <c r="Z701" s="16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O702" s="14"/>
      <c r="V702" s="14"/>
      <c r="W702" s="14"/>
      <c r="Z702" s="16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O703" s="14"/>
      <c r="V703" s="14"/>
      <c r="W703" s="14"/>
      <c r="Z703" s="16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O704" s="14"/>
      <c r="V704" s="14"/>
      <c r="W704" s="14"/>
      <c r="Z704" s="16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O705" s="14"/>
      <c r="V705" s="14"/>
      <c r="W705" s="14"/>
      <c r="Z705" s="16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O706" s="14"/>
      <c r="V706" s="14"/>
      <c r="W706" s="14"/>
      <c r="Z706" s="16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O707" s="14"/>
      <c r="V707" s="14"/>
      <c r="W707" s="14"/>
      <c r="Z707" s="16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O708" s="14"/>
      <c r="V708" s="14"/>
      <c r="W708" s="14"/>
      <c r="Z708" s="16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O709" s="14"/>
      <c r="V709" s="14"/>
      <c r="W709" s="14"/>
      <c r="Z709" s="16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O710" s="14"/>
      <c r="V710" s="14"/>
      <c r="W710" s="14"/>
      <c r="Z710" s="16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O711" s="14"/>
      <c r="V711" s="14"/>
      <c r="W711" s="14"/>
      <c r="Z711" s="16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O712" s="14"/>
      <c r="V712" s="14"/>
      <c r="W712" s="14"/>
      <c r="Z712" s="16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O713" s="14"/>
      <c r="V713" s="14"/>
      <c r="W713" s="14"/>
      <c r="Z713" s="16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O714" s="14"/>
      <c r="V714" s="14"/>
      <c r="W714" s="14"/>
      <c r="Z714" s="16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O715" s="14"/>
      <c r="V715" s="14"/>
      <c r="W715" s="14"/>
      <c r="Z715" s="16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O716" s="14"/>
      <c r="V716" s="14"/>
      <c r="W716" s="14"/>
      <c r="Z716" s="16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O717" s="14"/>
      <c r="V717" s="14"/>
      <c r="W717" s="14"/>
      <c r="Z717" s="16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O718" s="14"/>
      <c r="V718" s="14"/>
      <c r="W718" s="14"/>
      <c r="Z718" s="16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O719" s="14"/>
      <c r="V719" s="14"/>
      <c r="W719" s="14"/>
      <c r="Z719" s="16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O720" s="14"/>
      <c r="V720" s="14"/>
      <c r="W720" s="14"/>
      <c r="Z720" s="16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O721" s="14"/>
      <c r="V721" s="14"/>
      <c r="W721" s="14"/>
      <c r="Z721" s="16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O722" s="14"/>
      <c r="V722" s="14"/>
      <c r="W722" s="14"/>
      <c r="Z722" s="16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O723" s="14"/>
      <c r="V723" s="14"/>
      <c r="W723" s="14"/>
      <c r="Z723" s="16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O724" s="14"/>
      <c r="V724" s="14"/>
      <c r="W724" s="14"/>
      <c r="Z724" s="16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O725" s="14"/>
      <c r="V725" s="14"/>
      <c r="W725" s="14"/>
      <c r="Z725" s="16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O726" s="14"/>
      <c r="V726" s="14"/>
      <c r="W726" s="14"/>
      <c r="Z726" s="16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O727" s="14"/>
      <c r="V727" s="14"/>
      <c r="W727" s="14"/>
      <c r="Z727" s="16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O728" s="14"/>
      <c r="V728" s="14"/>
      <c r="W728" s="14"/>
      <c r="Z728" s="16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O729" s="14"/>
      <c r="V729" s="14"/>
      <c r="W729" s="14"/>
      <c r="Z729" s="16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O730" s="14"/>
      <c r="V730" s="14"/>
      <c r="W730" s="14"/>
      <c r="Z730" s="16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O731" s="14"/>
      <c r="V731" s="14"/>
      <c r="W731" s="14"/>
      <c r="Z731" s="16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O732" s="14"/>
      <c r="V732" s="14"/>
      <c r="W732" s="14"/>
      <c r="Z732" s="16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O733" s="14"/>
      <c r="V733" s="14"/>
      <c r="W733" s="14"/>
      <c r="Z733" s="16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O734" s="14"/>
      <c r="V734" s="14"/>
      <c r="W734" s="14"/>
      <c r="Z734" s="16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O735" s="14"/>
      <c r="V735" s="14"/>
      <c r="W735" s="14"/>
      <c r="Z735" s="16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O736" s="14"/>
      <c r="V736" s="14"/>
      <c r="W736" s="14"/>
      <c r="Z736" s="16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O737" s="14"/>
      <c r="V737" s="14"/>
      <c r="W737" s="14"/>
      <c r="Z737" s="16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O738" s="14"/>
      <c r="V738" s="14"/>
      <c r="W738" s="14"/>
      <c r="Z738" s="16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O739" s="14"/>
      <c r="V739" s="14"/>
      <c r="W739" s="14"/>
      <c r="Z739" s="16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O740" s="14"/>
      <c r="V740" s="14"/>
      <c r="W740" s="14"/>
      <c r="Z740" s="16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O741" s="14"/>
      <c r="V741" s="14"/>
      <c r="W741" s="14"/>
      <c r="Z741" s="16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O742" s="14"/>
      <c r="V742" s="14"/>
      <c r="W742" s="14"/>
      <c r="Z742" s="16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O743" s="14"/>
      <c r="V743" s="14"/>
      <c r="W743" s="14"/>
      <c r="Z743" s="16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O744" s="14"/>
      <c r="V744" s="14"/>
      <c r="W744" s="14"/>
      <c r="Z744" s="16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O745" s="14"/>
      <c r="V745" s="14"/>
      <c r="W745" s="14"/>
      <c r="Z745" s="16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O746" s="14"/>
      <c r="V746" s="14"/>
      <c r="W746" s="14"/>
      <c r="Z746" s="16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O747" s="14"/>
      <c r="V747" s="14"/>
      <c r="W747" s="14"/>
      <c r="Z747" s="16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O748" s="14"/>
      <c r="V748" s="14"/>
      <c r="W748" s="14"/>
      <c r="Z748" s="16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O749" s="14"/>
      <c r="V749" s="14"/>
      <c r="W749" s="14"/>
      <c r="Z749" s="16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O750" s="14"/>
      <c r="V750" s="14"/>
      <c r="W750" s="14"/>
      <c r="Z750" s="16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O751" s="14"/>
      <c r="V751" s="14"/>
      <c r="W751" s="14"/>
      <c r="Z751" s="16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O752" s="14"/>
      <c r="V752" s="14"/>
      <c r="W752" s="14"/>
      <c r="Z752" s="16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O753" s="14"/>
      <c r="V753" s="14"/>
      <c r="W753" s="14"/>
      <c r="Z753" s="16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O754" s="14"/>
      <c r="V754" s="14"/>
      <c r="W754" s="14"/>
      <c r="Z754" s="16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O755" s="14"/>
      <c r="V755" s="14"/>
      <c r="W755" s="14"/>
      <c r="Z755" s="16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O756" s="14"/>
      <c r="V756" s="14"/>
      <c r="W756" s="14"/>
      <c r="Z756" s="16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O757" s="14"/>
      <c r="V757" s="14"/>
      <c r="W757" s="14"/>
      <c r="Z757" s="16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O758" s="14"/>
      <c r="V758" s="14"/>
      <c r="W758" s="14"/>
      <c r="Z758" s="16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O759" s="14"/>
      <c r="V759" s="14"/>
      <c r="W759" s="14"/>
      <c r="Z759" s="16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O760" s="14"/>
      <c r="V760" s="14"/>
      <c r="W760" s="14"/>
      <c r="Z760" s="16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O761" s="14"/>
      <c r="V761" s="14"/>
      <c r="W761" s="14"/>
      <c r="Z761" s="16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O762" s="14"/>
      <c r="V762" s="14"/>
      <c r="W762" s="14"/>
      <c r="Z762" s="16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O763" s="14"/>
      <c r="V763" s="14"/>
      <c r="W763" s="14"/>
      <c r="Z763" s="16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O764" s="14"/>
      <c r="V764" s="14"/>
      <c r="W764" s="14"/>
      <c r="Z764" s="16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O765" s="14"/>
      <c r="V765" s="14"/>
      <c r="W765" s="14"/>
      <c r="Z765" s="16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O766" s="14"/>
      <c r="V766" s="14"/>
      <c r="W766" s="14"/>
      <c r="Z766" s="16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O767" s="14"/>
      <c r="V767" s="14"/>
      <c r="W767" s="14"/>
      <c r="Z767" s="16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O768" s="14"/>
      <c r="V768" s="14"/>
      <c r="W768" s="14"/>
      <c r="Z768" s="16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O769" s="14"/>
      <c r="V769" s="14"/>
      <c r="W769" s="14"/>
      <c r="Z769" s="16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O770" s="14"/>
      <c r="V770" s="14"/>
      <c r="W770" s="14"/>
      <c r="Z770" s="16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O771" s="14"/>
      <c r="V771" s="14"/>
      <c r="W771" s="14"/>
      <c r="Z771" s="16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O772" s="14"/>
      <c r="V772" s="14"/>
      <c r="W772" s="14"/>
      <c r="Z772" s="16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O773" s="14"/>
      <c r="V773" s="14"/>
      <c r="W773" s="14"/>
      <c r="Z773" s="16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O774" s="14"/>
      <c r="V774" s="14"/>
      <c r="W774" s="14"/>
      <c r="Z774" s="16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O775" s="14"/>
      <c r="V775" s="14"/>
      <c r="W775" s="14"/>
      <c r="Z775" s="16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O776" s="14"/>
      <c r="V776" s="14"/>
      <c r="W776" s="14"/>
      <c r="Z776" s="16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O777" s="14"/>
      <c r="V777" s="14"/>
      <c r="W777" s="14"/>
      <c r="Z777" s="16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O778" s="14"/>
      <c r="V778" s="14"/>
      <c r="W778" s="14"/>
      <c r="Z778" s="16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O779" s="14"/>
      <c r="V779" s="14"/>
      <c r="W779" s="14"/>
      <c r="Z779" s="16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O780" s="14"/>
      <c r="V780" s="14"/>
      <c r="W780" s="14"/>
      <c r="Z780" s="16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O781" s="14"/>
      <c r="V781" s="14"/>
      <c r="W781" s="14"/>
      <c r="Z781" s="16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O782" s="14"/>
      <c r="V782" s="14"/>
      <c r="W782" s="14"/>
      <c r="Z782" s="16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O783" s="14"/>
      <c r="V783" s="14"/>
      <c r="W783" s="14"/>
      <c r="Z783" s="16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O784" s="14"/>
      <c r="V784" s="14"/>
      <c r="W784" s="14"/>
      <c r="Z784" s="16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O785" s="14"/>
      <c r="V785" s="14"/>
      <c r="W785" s="14"/>
      <c r="Z785" s="16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O786" s="14"/>
      <c r="V786" s="14"/>
      <c r="W786" s="14"/>
      <c r="Z786" s="16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O787" s="14"/>
      <c r="V787" s="14"/>
      <c r="W787" s="14"/>
      <c r="Z787" s="16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O788" s="14"/>
      <c r="V788" s="14"/>
      <c r="W788" s="14"/>
      <c r="Z788" s="16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O789" s="14"/>
      <c r="V789" s="14"/>
      <c r="W789" s="14"/>
      <c r="Z789" s="16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O790" s="14"/>
      <c r="V790" s="14"/>
      <c r="W790" s="14"/>
      <c r="Z790" s="16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O791" s="14"/>
      <c r="V791" s="14"/>
      <c r="W791" s="14"/>
      <c r="Z791" s="16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O792" s="14"/>
      <c r="V792" s="14"/>
      <c r="W792" s="14"/>
      <c r="Z792" s="16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O793" s="14"/>
      <c r="V793" s="14"/>
      <c r="W793" s="14"/>
      <c r="Z793" s="16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O794" s="14"/>
      <c r="V794" s="14"/>
      <c r="W794" s="14"/>
      <c r="Z794" s="16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O795" s="14"/>
      <c r="V795" s="14"/>
      <c r="W795" s="14"/>
      <c r="Z795" s="16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O796" s="14"/>
      <c r="V796" s="14"/>
      <c r="W796" s="14"/>
      <c r="Z796" s="16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O797" s="14"/>
      <c r="V797" s="14"/>
      <c r="W797" s="14"/>
      <c r="Z797" s="16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O798" s="14"/>
      <c r="V798" s="14"/>
      <c r="W798" s="14"/>
      <c r="Z798" s="16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O799" s="14"/>
      <c r="V799" s="14"/>
      <c r="W799" s="14"/>
      <c r="Z799" s="16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O800" s="14"/>
      <c r="V800" s="14"/>
      <c r="W800" s="14"/>
      <c r="Z800" s="16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O801" s="14"/>
      <c r="V801" s="14"/>
      <c r="W801" s="14"/>
      <c r="Z801" s="16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O802" s="14"/>
      <c r="V802" s="14"/>
      <c r="W802" s="14"/>
      <c r="Z802" s="16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O803" s="14"/>
      <c r="V803" s="14"/>
      <c r="W803" s="14"/>
      <c r="Z803" s="16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O804" s="14"/>
      <c r="V804" s="14"/>
      <c r="W804" s="14"/>
      <c r="Z804" s="16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O805" s="14"/>
      <c r="V805" s="14"/>
      <c r="W805" s="14"/>
      <c r="Z805" s="16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O806" s="14"/>
      <c r="V806" s="14"/>
      <c r="W806" s="14"/>
      <c r="Z806" s="16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O807" s="14"/>
      <c r="V807" s="14"/>
      <c r="W807" s="14"/>
      <c r="Z807" s="16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O808" s="14"/>
      <c r="V808" s="14"/>
      <c r="W808" s="14"/>
      <c r="Z808" s="16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O809" s="14"/>
      <c r="V809" s="14"/>
      <c r="W809" s="14"/>
      <c r="Z809" s="16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O810" s="14"/>
      <c r="V810" s="14"/>
      <c r="W810" s="14"/>
      <c r="Z810" s="16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O811" s="14"/>
      <c r="V811" s="14"/>
      <c r="W811" s="14"/>
      <c r="Z811" s="16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O812" s="14"/>
      <c r="V812" s="14"/>
      <c r="W812" s="14"/>
      <c r="Z812" s="16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O813" s="14"/>
      <c r="V813" s="14"/>
      <c r="W813" s="14"/>
      <c r="Z813" s="16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O814" s="14"/>
      <c r="V814" s="14"/>
      <c r="W814" s="14"/>
      <c r="Z814" s="16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O815" s="14"/>
      <c r="V815" s="14"/>
      <c r="W815" s="14"/>
      <c r="Z815" s="16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O816" s="14"/>
      <c r="V816" s="14"/>
      <c r="W816" s="14"/>
      <c r="Z816" s="16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O817" s="14"/>
      <c r="V817" s="14"/>
      <c r="W817" s="14"/>
      <c r="Z817" s="16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O818" s="14"/>
      <c r="V818" s="14"/>
      <c r="W818" s="14"/>
      <c r="Z818" s="16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O819" s="14"/>
      <c r="V819" s="14"/>
      <c r="W819" s="14"/>
      <c r="Z819" s="16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O820" s="14"/>
      <c r="V820" s="14"/>
      <c r="W820" s="14"/>
      <c r="Z820" s="16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O821" s="14"/>
      <c r="V821" s="14"/>
      <c r="W821" s="14"/>
      <c r="Z821" s="16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O822" s="14"/>
      <c r="V822" s="14"/>
      <c r="W822" s="14"/>
      <c r="Z822" s="16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O823" s="14"/>
      <c r="V823" s="14"/>
      <c r="W823" s="14"/>
      <c r="Z823" s="16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O824" s="14"/>
      <c r="V824" s="14"/>
      <c r="W824" s="14"/>
      <c r="Z824" s="16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O825" s="14"/>
      <c r="V825" s="14"/>
      <c r="W825" s="14"/>
      <c r="Z825" s="16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O826" s="14"/>
      <c r="V826" s="14"/>
      <c r="W826" s="14"/>
      <c r="Z826" s="16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O827" s="14"/>
      <c r="V827" s="14"/>
      <c r="W827" s="14"/>
      <c r="Z827" s="16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O828" s="14"/>
      <c r="V828" s="14"/>
      <c r="W828" s="14"/>
      <c r="Z828" s="16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O829" s="14"/>
      <c r="V829" s="14"/>
      <c r="W829" s="14"/>
      <c r="Z829" s="16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O830" s="14"/>
      <c r="V830" s="14"/>
      <c r="W830" s="14"/>
      <c r="Z830" s="16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O831" s="14"/>
      <c r="V831" s="14"/>
      <c r="W831" s="14"/>
      <c r="Z831" s="16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O832" s="14"/>
      <c r="V832" s="14"/>
      <c r="W832" s="14"/>
      <c r="Z832" s="16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O833" s="14"/>
      <c r="V833" s="14"/>
      <c r="W833" s="14"/>
      <c r="Z833" s="16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O834" s="14"/>
      <c r="V834" s="14"/>
      <c r="W834" s="14"/>
      <c r="Z834" s="16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O835" s="14"/>
      <c r="V835" s="14"/>
      <c r="W835" s="14"/>
      <c r="Z835" s="16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O836" s="14"/>
      <c r="V836" s="14"/>
      <c r="W836" s="14"/>
      <c r="Z836" s="16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O837" s="14"/>
      <c r="V837" s="14"/>
      <c r="W837" s="14"/>
      <c r="Z837" s="16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O838" s="14"/>
      <c r="V838" s="14"/>
      <c r="W838" s="14"/>
      <c r="Z838" s="16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O839" s="14"/>
      <c r="V839" s="14"/>
      <c r="W839" s="14"/>
      <c r="Z839" s="16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O840" s="14"/>
      <c r="V840" s="14"/>
      <c r="W840" s="14"/>
      <c r="Z840" s="16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O841" s="14"/>
      <c r="V841" s="14"/>
      <c r="W841" s="14"/>
      <c r="Z841" s="16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O842" s="14"/>
      <c r="V842" s="14"/>
      <c r="W842" s="14"/>
      <c r="Z842" s="16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O843" s="14"/>
      <c r="V843" s="14"/>
      <c r="W843" s="14"/>
      <c r="Z843" s="16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O844" s="14"/>
      <c r="V844" s="14"/>
      <c r="W844" s="14"/>
      <c r="Z844" s="16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O845" s="14"/>
      <c r="V845" s="14"/>
      <c r="W845" s="14"/>
      <c r="Z845" s="16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O846" s="14"/>
      <c r="V846" s="14"/>
      <c r="W846" s="14"/>
      <c r="Z846" s="16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O847" s="14"/>
      <c r="V847" s="14"/>
      <c r="W847" s="14"/>
      <c r="Z847" s="16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O848" s="14"/>
      <c r="V848" s="14"/>
      <c r="W848" s="14"/>
      <c r="Z848" s="16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O849" s="14"/>
      <c r="V849" s="14"/>
      <c r="W849" s="14"/>
      <c r="Z849" s="16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O850" s="14"/>
      <c r="V850" s="14"/>
      <c r="W850" s="14"/>
      <c r="Z850" s="16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O851" s="14"/>
      <c r="V851" s="14"/>
      <c r="W851" s="14"/>
      <c r="Z851" s="16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O852" s="14"/>
      <c r="V852" s="14"/>
      <c r="W852" s="14"/>
      <c r="Z852" s="16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O853" s="14"/>
      <c r="V853" s="14"/>
      <c r="W853" s="14"/>
      <c r="Z853" s="16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O854" s="14"/>
      <c r="V854" s="14"/>
      <c r="W854" s="14"/>
      <c r="Z854" s="16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O855" s="14"/>
      <c r="V855" s="14"/>
      <c r="W855" s="14"/>
      <c r="Z855" s="16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O856" s="14"/>
      <c r="V856" s="14"/>
      <c r="W856" s="14"/>
      <c r="Z856" s="16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O857" s="14"/>
      <c r="V857" s="14"/>
      <c r="W857" s="14"/>
      <c r="Z857" s="16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O858" s="14"/>
      <c r="V858" s="14"/>
      <c r="W858" s="14"/>
      <c r="Z858" s="16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O859" s="14"/>
      <c r="V859" s="14"/>
      <c r="W859" s="14"/>
      <c r="Z859" s="16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O860" s="14"/>
      <c r="V860" s="14"/>
      <c r="W860" s="14"/>
      <c r="Z860" s="16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O861" s="14"/>
      <c r="V861" s="14"/>
      <c r="W861" s="14"/>
      <c r="Z861" s="16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O862" s="14"/>
      <c r="V862" s="14"/>
      <c r="W862" s="14"/>
      <c r="Z862" s="16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O863" s="14"/>
      <c r="V863" s="14"/>
      <c r="W863" s="14"/>
      <c r="Z863" s="16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O864" s="14"/>
      <c r="V864" s="14"/>
      <c r="W864" s="14"/>
      <c r="Z864" s="16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O865" s="14"/>
      <c r="V865" s="14"/>
      <c r="W865" s="14"/>
      <c r="Z865" s="16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O866" s="14"/>
      <c r="V866" s="14"/>
      <c r="W866" s="14"/>
      <c r="Z866" s="16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O867" s="14"/>
      <c r="V867" s="14"/>
      <c r="W867" s="14"/>
      <c r="Z867" s="16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O868" s="14"/>
      <c r="V868" s="14"/>
      <c r="W868" s="14"/>
      <c r="Z868" s="16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O869" s="14"/>
      <c r="V869" s="14"/>
      <c r="W869" s="14"/>
      <c r="Z869" s="16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O870" s="14"/>
      <c r="V870" s="14"/>
      <c r="W870" s="14"/>
      <c r="Z870" s="16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O871" s="14"/>
      <c r="V871" s="14"/>
      <c r="W871" s="14"/>
      <c r="Z871" s="16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O872" s="14"/>
      <c r="V872" s="14"/>
      <c r="W872" s="14"/>
      <c r="Z872" s="16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O873" s="14"/>
      <c r="V873" s="14"/>
      <c r="W873" s="14"/>
      <c r="Z873" s="16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O874" s="14"/>
      <c r="V874" s="14"/>
      <c r="W874" s="14"/>
      <c r="Z874" s="16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O875" s="14"/>
      <c r="V875" s="14"/>
      <c r="W875" s="14"/>
      <c r="Z875" s="16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O876" s="14"/>
      <c r="V876" s="14"/>
      <c r="W876" s="14"/>
      <c r="Z876" s="16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O877" s="14"/>
      <c r="V877" s="14"/>
      <c r="W877" s="14"/>
      <c r="Z877" s="16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O878" s="14"/>
      <c r="V878" s="14"/>
      <c r="W878" s="14"/>
      <c r="Z878" s="16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O879" s="14"/>
      <c r="V879" s="14"/>
      <c r="W879" s="14"/>
      <c r="Z879" s="16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O880" s="14"/>
      <c r="V880" s="14"/>
      <c r="W880" s="14"/>
      <c r="Z880" s="16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O881" s="14"/>
      <c r="V881" s="14"/>
      <c r="W881" s="14"/>
      <c r="Z881" s="16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O882" s="14"/>
      <c r="V882" s="14"/>
      <c r="W882" s="14"/>
      <c r="Z882" s="16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O883" s="14"/>
      <c r="V883" s="14"/>
      <c r="W883" s="14"/>
      <c r="Z883" s="16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O884" s="14"/>
      <c r="V884" s="14"/>
      <c r="W884" s="14"/>
      <c r="Z884" s="16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O885" s="14"/>
      <c r="V885" s="14"/>
      <c r="W885" s="14"/>
      <c r="Z885" s="16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O886" s="14"/>
      <c r="V886" s="14"/>
      <c r="W886" s="14"/>
      <c r="Z886" s="16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O887" s="14"/>
      <c r="V887" s="14"/>
      <c r="W887" s="14"/>
      <c r="Z887" s="16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O888" s="14"/>
      <c r="V888" s="14"/>
      <c r="W888" s="14"/>
      <c r="Z888" s="16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O889" s="14"/>
      <c r="V889" s="14"/>
      <c r="W889" s="14"/>
      <c r="Z889" s="16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O890" s="14"/>
      <c r="V890" s="14"/>
      <c r="W890" s="14"/>
      <c r="Z890" s="16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O891" s="14"/>
      <c r="V891" s="14"/>
      <c r="W891" s="14"/>
      <c r="Z891" s="16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O892" s="14"/>
      <c r="V892" s="14"/>
      <c r="W892" s="14"/>
      <c r="Z892" s="16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O893" s="14"/>
      <c r="V893" s="14"/>
      <c r="W893" s="14"/>
      <c r="Z893" s="16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O894" s="14"/>
      <c r="V894" s="14"/>
      <c r="W894" s="14"/>
      <c r="Z894" s="16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O895" s="14"/>
      <c r="V895" s="14"/>
      <c r="W895" s="14"/>
      <c r="Z895" s="16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O896" s="14"/>
      <c r="V896" s="14"/>
      <c r="W896" s="14"/>
      <c r="Z896" s="16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O897" s="14"/>
      <c r="V897" s="14"/>
      <c r="W897" s="14"/>
      <c r="Z897" s="16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O898" s="14"/>
      <c r="V898" s="14"/>
      <c r="W898" s="14"/>
      <c r="Z898" s="16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O899" s="14"/>
      <c r="V899" s="14"/>
      <c r="W899" s="14"/>
      <c r="Z899" s="16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O900" s="14"/>
      <c r="V900" s="14"/>
      <c r="W900" s="14"/>
      <c r="Z900" s="16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O901" s="14"/>
      <c r="V901" s="14"/>
      <c r="W901" s="14"/>
      <c r="Z901" s="16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O902" s="14"/>
      <c r="V902" s="14"/>
      <c r="W902" s="14"/>
      <c r="Z902" s="16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O903" s="14"/>
      <c r="V903" s="14"/>
      <c r="W903" s="14"/>
      <c r="Z903" s="16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O904" s="14"/>
      <c r="V904" s="14"/>
      <c r="W904" s="14"/>
      <c r="Z904" s="16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O905" s="14"/>
      <c r="V905" s="14"/>
      <c r="W905" s="14"/>
      <c r="Z905" s="16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O906" s="14"/>
      <c r="V906" s="14"/>
      <c r="W906" s="14"/>
      <c r="Z906" s="16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O907" s="14"/>
      <c r="V907" s="14"/>
      <c r="W907" s="14"/>
      <c r="Z907" s="16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O908" s="14"/>
      <c r="V908" s="14"/>
      <c r="W908" s="14"/>
      <c r="Z908" s="16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O909" s="14"/>
      <c r="V909" s="14"/>
      <c r="W909" s="14"/>
      <c r="Z909" s="16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O910" s="14"/>
      <c r="V910" s="14"/>
      <c r="W910" s="14"/>
      <c r="Z910" s="16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O911" s="14"/>
      <c r="V911" s="14"/>
      <c r="W911" s="14"/>
      <c r="Z911" s="16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O912" s="14"/>
      <c r="V912" s="14"/>
      <c r="W912" s="14"/>
      <c r="Z912" s="16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O913" s="14"/>
      <c r="V913" s="14"/>
      <c r="W913" s="14"/>
      <c r="Z913" s="16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O914" s="14"/>
      <c r="V914" s="14"/>
      <c r="W914" s="14"/>
      <c r="Z914" s="16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O915" s="14"/>
      <c r="V915" s="14"/>
      <c r="W915" s="14"/>
      <c r="Z915" s="16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O916" s="14"/>
      <c r="V916" s="14"/>
      <c r="W916" s="14"/>
      <c r="Z916" s="16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O917" s="14"/>
      <c r="V917" s="14"/>
      <c r="W917" s="14"/>
      <c r="Z917" s="16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O918" s="14"/>
      <c r="V918" s="14"/>
      <c r="W918" s="14"/>
      <c r="Z918" s="16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O919" s="14"/>
      <c r="V919" s="14"/>
      <c r="W919" s="14"/>
      <c r="Z919" s="16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O920" s="14"/>
      <c r="V920" s="14"/>
      <c r="W920" s="14"/>
      <c r="Z920" s="16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O921" s="14"/>
      <c r="V921" s="14"/>
      <c r="W921" s="14"/>
      <c r="Z921" s="16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O922" s="14"/>
      <c r="V922" s="14"/>
      <c r="W922" s="14"/>
      <c r="Z922" s="16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O923" s="14"/>
      <c r="V923" s="14"/>
      <c r="W923" s="14"/>
      <c r="Z923" s="16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O924" s="14"/>
      <c r="V924" s="14"/>
      <c r="W924" s="14"/>
      <c r="Z924" s="16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O925" s="14"/>
      <c r="V925" s="14"/>
      <c r="W925" s="14"/>
      <c r="Z925" s="16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O926" s="14"/>
      <c r="V926" s="14"/>
      <c r="W926" s="14"/>
      <c r="Z926" s="16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O927" s="14"/>
      <c r="V927" s="14"/>
      <c r="W927" s="14"/>
      <c r="Z927" s="16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O928" s="14"/>
      <c r="V928" s="14"/>
      <c r="W928" s="14"/>
      <c r="Z928" s="16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O929" s="14"/>
      <c r="V929" s="14"/>
      <c r="W929" s="14"/>
      <c r="Z929" s="16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O930" s="14"/>
      <c r="V930" s="14"/>
      <c r="W930" s="14"/>
      <c r="Z930" s="16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O931" s="14"/>
      <c r="V931" s="14"/>
      <c r="W931" s="14"/>
      <c r="Z931" s="16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O932" s="14"/>
      <c r="V932" s="14"/>
      <c r="W932" s="14"/>
      <c r="Z932" s="16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O933" s="14"/>
      <c r="V933" s="14"/>
      <c r="W933" s="14"/>
      <c r="Z933" s="16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O934" s="14"/>
      <c r="V934" s="14"/>
      <c r="W934" s="14"/>
      <c r="Z934" s="16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O935" s="14"/>
      <c r="V935" s="14"/>
      <c r="W935" s="14"/>
      <c r="Z935" s="16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O936" s="14"/>
      <c r="V936" s="14"/>
      <c r="W936" s="14"/>
      <c r="Z936" s="16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O937" s="14"/>
      <c r="V937" s="14"/>
      <c r="W937" s="14"/>
      <c r="Z937" s="16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O938" s="14"/>
      <c r="V938" s="14"/>
      <c r="W938" s="14"/>
      <c r="Z938" s="16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O939" s="14"/>
      <c r="V939" s="14"/>
      <c r="W939" s="14"/>
      <c r="Z939" s="16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O940" s="14"/>
      <c r="V940" s="14"/>
      <c r="W940" s="14"/>
      <c r="Z940" s="16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O941" s="14"/>
      <c r="V941" s="14"/>
      <c r="W941" s="14"/>
      <c r="Z941" s="16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O942" s="14"/>
      <c r="V942" s="14"/>
      <c r="W942" s="14"/>
      <c r="Z942" s="16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O943" s="14"/>
      <c r="V943" s="14"/>
      <c r="W943" s="14"/>
      <c r="Z943" s="16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O944" s="14"/>
      <c r="V944" s="14"/>
      <c r="W944" s="14"/>
      <c r="Z944" s="16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O945" s="14"/>
      <c r="V945" s="14"/>
      <c r="W945" s="14"/>
      <c r="Z945" s="16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O946" s="14"/>
      <c r="V946" s="14"/>
      <c r="W946" s="14"/>
      <c r="Z946" s="16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O947" s="14"/>
      <c r="V947" s="14"/>
      <c r="W947" s="14"/>
      <c r="Z947" s="16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O948" s="14"/>
      <c r="V948" s="14"/>
      <c r="W948" s="14"/>
      <c r="Z948" s="16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O949" s="14"/>
      <c r="V949" s="14"/>
      <c r="W949" s="14"/>
      <c r="Z949" s="16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O950" s="14"/>
      <c r="V950" s="14"/>
      <c r="W950" s="14"/>
      <c r="Z950" s="16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O951" s="14"/>
      <c r="V951" s="14"/>
      <c r="W951" s="14"/>
      <c r="Z951" s="16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O952" s="14"/>
      <c r="V952" s="14"/>
      <c r="W952" s="14"/>
      <c r="Z952" s="16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O953" s="14"/>
      <c r="V953" s="14"/>
      <c r="W953" s="14"/>
      <c r="Z953" s="16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O954" s="14"/>
      <c r="V954" s="14"/>
      <c r="W954" s="14"/>
      <c r="Z954" s="16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O955" s="14"/>
      <c r="V955" s="14"/>
      <c r="W955" s="14"/>
      <c r="Z955" s="16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O956" s="14"/>
      <c r="V956" s="14"/>
      <c r="W956" s="14"/>
      <c r="Z956" s="16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O957" s="14"/>
      <c r="V957" s="14"/>
      <c r="W957" s="14"/>
      <c r="Z957" s="16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O958" s="14"/>
      <c r="V958" s="14"/>
      <c r="W958" s="14"/>
      <c r="Z958" s="16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O959" s="14"/>
      <c r="V959" s="14"/>
      <c r="W959" s="14"/>
      <c r="Z959" s="16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O960" s="14"/>
      <c r="V960" s="14"/>
      <c r="W960" s="14"/>
      <c r="Z960" s="16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O961" s="14"/>
      <c r="V961" s="14"/>
      <c r="W961" s="14"/>
      <c r="Z961" s="16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O962" s="14"/>
      <c r="V962" s="14"/>
      <c r="W962" s="14"/>
      <c r="Z962" s="16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O963" s="14"/>
      <c r="V963" s="14"/>
      <c r="W963" s="14"/>
      <c r="Z963" s="16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O964" s="14"/>
      <c r="V964" s="14"/>
      <c r="W964" s="14"/>
      <c r="Z964" s="16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O965" s="14"/>
      <c r="V965" s="14"/>
      <c r="W965" s="14"/>
      <c r="Z965" s="16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O966" s="14"/>
      <c r="V966" s="14"/>
      <c r="W966" s="14"/>
      <c r="Z966" s="16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O967" s="14"/>
      <c r="V967" s="14"/>
      <c r="W967" s="14"/>
      <c r="Z967" s="16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O968" s="14"/>
      <c r="V968" s="14"/>
      <c r="W968" s="14"/>
      <c r="Z968" s="16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O969" s="14"/>
      <c r="V969" s="14"/>
      <c r="W969" s="14"/>
      <c r="Z969" s="16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O970" s="14"/>
      <c r="V970" s="14"/>
      <c r="W970" s="14"/>
      <c r="Z970" s="16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O971" s="14"/>
      <c r="V971" s="14"/>
      <c r="W971" s="14"/>
      <c r="Z971" s="16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O972" s="14"/>
      <c r="V972" s="14"/>
      <c r="W972" s="14"/>
      <c r="Z972" s="16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O973" s="14"/>
      <c r="V973" s="14"/>
      <c r="W973" s="14"/>
      <c r="Z973" s="16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O974" s="14"/>
      <c r="V974" s="14"/>
      <c r="W974" s="14"/>
      <c r="Z974" s="16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O975" s="14"/>
      <c r="V975" s="14"/>
      <c r="W975" s="14"/>
      <c r="Z975" s="16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O976" s="14"/>
      <c r="V976" s="14"/>
      <c r="W976" s="14"/>
      <c r="Z976" s="16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O977" s="14"/>
      <c r="V977" s="14"/>
      <c r="W977" s="14"/>
      <c r="Z977" s="16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O978" s="14"/>
      <c r="V978" s="14"/>
      <c r="W978" s="14"/>
      <c r="Z978" s="16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O979" s="14"/>
      <c r="V979" s="14"/>
      <c r="W979" s="14"/>
      <c r="Z979" s="16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O980" s="14"/>
      <c r="V980" s="14"/>
      <c r="W980" s="14"/>
      <c r="Z980" s="16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O981" s="14"/>
      <c r="V981" s="14"/>
      <c r="W981" s="14"/>
      <c r="Z981" s="16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O982" s="14"/>
      <c r="V982" s="14"/>
      <c r="W982" s="14"/>
      <c r="Z982" s="16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O983" s="14"/>
      <c r="V983" s="14"/>
      <c r="W983" s="14"/>
      <c r="Z983" s="16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O984" s="14"/>
      <c r="V984" s="14"/>
      <c r="W984" s="14"/>
      <c r="Z984" s="16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O985" s="14"/>
      <c r="V985" s="14"/>
      <c r="W985" s="14"/>
      <c r="Z985" s="16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O986" s="14"/>
      <c r="V986" s="14"/>
      <c r="W986" s="14"/>
      <c r="Z986" s="16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O987" s="14"/>
      <c r="V987" s="14"/>
      <c r="W987" s="14"/>
      <c r="Z987" s="16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O988" s="14"/>
      <c r="V988" s="14"/>
      <c r="W988" s="14"/>
      <c r="Z988" s="16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O989" s="14"/>
      <c r="V989" s="14"/>
      <c r="W989" s="14"/>
      <c r="Z989" s="16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O990" s="14"/>
      <c r="V990" s="14"/>
      <c r="W990" s="14"/>
      <c r="Z990" s="16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O991" s="14"/>
      <c r="V991" s="14"/>
      <c r="W991" s="14"/>
      <c r="Z991" s="16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O992" s="14"/>
      <c r="V992" s="14"/>
      <c r="W992" s="14"/>
      <c r="Z992" s="16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O993" s="14"/>
      <c r="V993" s="14"/>
      <c r="W993" s="14"/>
      <c r="Z993" s="16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O994" s="14"/>
      <c r="V994" s="14"/>
      <c r="W994" s="14"/>
      <c r="Z994" s="16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O995" s="14"/>
      <c r="V995" s="14"/>
      <c r="W995" s="14"/>
      <c r="Z995" s="16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O996" s="14"/>
      <c r="V996" s="14"/>
      <c r="W996" s="14"/>
      <c r="Z996" s="16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O997" s="14"/>
      <c r="V997" s="14"/>
      <c r="W997" s="14"/>
      <c r="Z997" s="16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O998" s="14"/>
      <c r="V998" s="14"/>
      <c r="W998" s="14"/>
      <c r="Z998" s="16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O999" s="14"/>
      <c r="V999" s="14"/>
      <c r="W999" s="14"/>
      <c r="Z99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5.88"/>
    <col customWidth="1" min="3" max="3" width="26.5"/>
  </cols>
  <sheetData>
    <row r="1">
      <c r="A1" s="22" t="s">
        <v>293</v>
      </c>
      <c r="B1" s="14">
        <f>MAX(Principal!O:O)</f>
        <v>4762926995</v>
      </c>
    </row>
    <row r="2">
      <c r="A2" s="22" t="s">
        <v>294</v>
      </c>
      <c r="B2" s="23">
        <f>MIN(Principal!O:O)</f>
        <v>-1807432634</v>
      </c>
      <c r="C2" s="11" t="str">
        <f>VLOOKUP(B1,Principal!O:R,3,0)</f>
        <v>Vale</v>
      </c>
    </row>
    <row r="3">
      <c r="A3" s="22" t="s">
        <v>295</v>
      </c>
      <c r="B3" s="14">
        <f>AVERAGE(Principal!O:O)</f>
        <v>168542503.1</v>
      </c>
    </row>
    <row r="4">
      <c r="A4" s="22" t="s">
        <v>296</v>
      </c>
      <c r="B4" s="14">
        <f>AVERAGEIF(Principal!P:P,"Subiu",Principal!O:O)</f>
        <v>448164250.2</v>
      </c>
    </row>
    <row r="5">
      <c r="A5" s="22" t="s">
        <v>297</v>
      </c>
      <c r="B5" s="14">
        <f>AVERAGEIF(Principal!P:P,"Desceu",Principal!O:O)</f>
        <v>-183406669.4</v>
      </c>
    </row>
    <row r="6">
      <c r="B6" s="14"/>
    </row>
    <row r="8">
      <c r="B8" s="14"/>
    </row>
    <row r="9">
      <c r="A9" s="22"/>
      <c r="B9" s="24"/>
      <c r="C9" s="22"/>
    </row>
    <row r="10">
      <c r="A10" s="25" t="str">
        <f>IFERROR(__xludf.DUMMYFUNCTION("UNIQUE(Principal!R:R)"),"Segmento")</f>
        <v>Segmento</v>
      </c>
      <c r="B10" s="24" t="s">
        <v>298</v>
      </c>
      <c r="C10" s="24" t="s">
        <v>299</v>
      </c>
    </row>
    <row r="11">
      <c r="A11" s="11" t="str">
        <f>IFERROR(__xludf.DUMMYFUNCTION("""COMPUTED_VALUE"""),"Siderurgia")</f>
        <v>Siderurgia</v>
      </c>
      <c r="B11" s="14">
        <f>SUMIF(Principal!R:R,A11,Principal!O:O)</f>
        <v>489935930.9</v>
      </c>
      <c r="C11" s="14">
        <f>SUMIFS(Principal!O:O,Principal!R:R,A11,Principal!P:P,"Subiu")</f>
        <v>489935930.9</v>
      </c>
    </row>
    <row r="12">
      <c r="A12" s="11" t="str">
        <f>IFERROR(__xludf.DUMMYFUNCTION("""COMPUTED_VALUE"""),"Mineração")</f>
        <v>Mineração</v>
      </c>
      <c r="B12" s="14">
        <f>SUMIF(Principal!R:R,A12,Principal!O:O)</f>
        <v>4940442966</v>
      </c>
      <c r="C12" s="14"/>
    </row>
    <row r="13">
      <c r="A13" s="11" t="str">
        <f>IFERROR(__xludf.DUMMYFUNCTION("""COMPUTED_VALUE"""),"Petróleo")</f>
        <v>Petróleo</v>
      </c>
      <c r="B13" s="14">
        <f>SUMIF(Principal!R:R,A13,Principal!O:O)</f>
        <v>6481994056</v>
      </c>
      <c r="C13" s="14"/>
    </row>
    <row r="14">
      <c r="A14" s="11" t="str">
        <f>IFERROR(__xludf.DUMMYFUNCTION("""COMPUTED_VALUE"""),"Papel e Celulose")</f>
        <v>Papel e Celulose</v>
      </c>
      <c r="B14" s="14">
        <f>SUMIF(Principal!R:R,A14,Principal!O:O)</f>
        <v>722946282.7</v>
      </c>
      <c r="C14" s="14">
        <f>SUMIFS(Principal!O:O,Principal!R:R,A14,Principal!P:P,"Subiu")</f>
        <v>722946282.7</v>
      </c>
    </row>
    <row r="15">
      <c r="A15" s="11" t="str">
        <f>IFERROR(__xludf.DUMMYFUNCTION("""COMPUTED_VALUE"""),"Energia")</f>
        <v>Energia</v>
      </c>
      <c r="B15" s="14">
        <f>SUMIF(Principal!R:R,A15,Principal!O:O)</f>
        <v>472201169.4</v>
      </c>
      <c r="C15" s="14">
        <f>SUMIFS(Principal!O:O,Principal!R:R,A15,Principal!P:P,"Subiu")</f>
        <v>821116399.6</v>
      </c>
    </row>
    <row r="16">
      <c r="A16" s="11" t="str">
        <f>IFERROR(__xludf.DUMMYFUNCTION("""COMPUTED_VALUE"""),"Shopping Centers")</f>
        <v>Shopping Centers</v>
      </c>
      <c r="B16" s="14">
        <f>SUMIF(Principal!R:R,A16,Principal!O:O)</f>
        <v>117732680.1</v>
      </c>
      <c r="C16" s="14">
        <f>SUMIFS(Principal!O:O,Principal!R:R,A16,Principal!P:P,"Subiu")</f>
        <v>117732680.1</v>
      </c>
    </row>
    <row r="17">
      <c r="A17" s="11" t="str">
        <f>IFERROR(__xludf.DUMMYFUNCTION("""COMPUTED_VALUE"""),"Financeiro")</f>
        <v>Financeiro</v>
      </c>
      <c r="B17" s="14">
        <f>SUMIF(Principal!R:R,A17,Principal!O:O)</f>
        <v>3514549073</v>
      </c>
      <c r="C17" s="14"/>
    </row>
    <row r="18">
      <c r="A18" s="11" t="str">
        <f>IFERROR(__xludf.DUMMYFUNCTION("""COMPUTED_VALUE"""),"Saúde")</f>
        <v>Saúde</v>
      </c>
      <c r="B18" s="14">
        <f>SUMIF(Principal!R:R,A18,Principal!O:O)</f>
        <v>563169752.7</v>
      </c>
      <c r="C18" s="14">
        <f>SUMIFS(Principal!O:O,Principal!R:R,A18,Principal!P:P,"Subiu")</f>
        <v>656270380.8</v>
      </c>
    </row>
    <row r="19">
      <c r="A19" s="11" t="str">
        <f>IFERROR(__xludf.DUMMYFUNCTION("""COMPUTED_VALUE"""),"Química")</f>
        <v>Química</v>
      </c>
      <c r="B19" s="14">
        <f>SUMIF(Principal!R:R,A19,Principal!O:O)</f>
        <v>69054317.64</v>
      </c>
      <c r="C19" s="14">
        <f>SUMIFS(Principal!O:O,Principal!R:R,A19,Principal!P:P,"Subiu")</f>
        <v>69054317.64</v>
      </c>
    </row>
    <row r="20">
      <c r="A20" s="11" t="str">
        <f>IFERROR(__xludf.DUMMYFUNCTION("""COMPUTED_VALUE"""),"Transporte Aéreo")</f>
        <v>Transporte Aéreo</v>
      </c>
      <c r="B20" s="14">
        <f>SUMIF(Principal!R:R,A20,Principal!O:O)</f>
        <v>-8105202.502</v>
      </c>
      <c r="C20" s="14">
        <f>SUMIFS(Principal!O:O,Principal!R:R,A20,Principal!P:P,"Subiu")</f>
        <v>65452205.55</v>
      </c>
    </row>
    <row r="21">
      <c r="A21" s="11" t="str">
        <f>IFERROR(__xludf.DUMMYFUNCTION("""COMPUTED_VALUE"""),"Educação")</f>
        <v>Educação</v>
      </c>
      <c r="B21" s="14">
        <f>SUMIF(Principal!R:R,A21,Principal!O:O)</f>
        <v>54641872.47</v>
      </c>
      <c r="C21" s="14">
        <f>SUMIFS(Principal!O:O,Principal!R:R,A21,Principal!P:P,"Subiu")</f>
        <v>72295838.99</v>
      </c>
    </row>
    <row r="22">
      <c r="A22" s="11" t="str">
        <f>IFERROR(__xludf.DUMMYFUNCTION("""COMPUTED_VALUE"""),"Construção Civil")</f>
        <v>Construção Civil</v>
      </c>
      <c r="B22" s="14">
        <f>SUMIF(Principal!R:R,A22,Principal!O:O)</f>
        <v>7157294.4</v>
      </c>
      <c r="C22" s="14">
        <f>SUMIFS(Principal!O:O,Principal!R:R,A22,Principal!P:P,"Subiu")</f>
        <v>37525872.38</v>
      </c>
    </row>
    <row r="23">
      <c r="A23" s="11" t="str">
        <f>IFERROR(__xludf.DUMMYFUNCTION("""COMPUTED_VALUE"""),"Calçados")</f>
        <v>Calçados</v>
      </c>
      <c r="B23" s="14">
        <f>SUMIF(Principal!R:R,A23,Principal!O:O)</f>
        <v>-3323477.875</v>
      </c>
      <c r="C23" s="14">
        <f>SUMIFS(Principal!O:O,Principal!R:R,A23,Principal!P:P,"Subiu")</f>
        <v>41021792.09</v>
      </c>
    </row>
    <row r="24">
      <c r="A24" s="11" t="str">
        <f>IFERROR(__xludf.DUMMYFUNCTION("""COMPUTED_VALUE"""),"Alimentos")</f>
        <v>Alimentos</v>
      </c>
      <c r="B24" s="14">
        <f>SUMIF(Principal!R:R,A24,Principal!O:O)</f>
        <v>407833683.1</v>
      </c>
      <c r="C24" s="14">
        <f>SUMIFS(Principal!O:O,Principal!R:R,A24,Principal!P:P,"Subiu")</f>
        <v>407833683.1</v>
      </c>
    </row>
    <row r="25">
      <c r="A25" s="11" t="str">
        <f>IFERROR(__xludf.DUMMYFUNCTION("""COMPUTED_VALUE"""),"Varejo")</f>
        <v>Varejo</v>
      </c>
      <c r="B25" s="14">
        <f>SUMIF(Principal!R:R,A25,Principal!O:O)</f>
        <v>-1004557753</v>
      </c>
      <c r="C25" s="14">
        <f>SUMIFS(Principal!O:O,Principal!R:R,A25,Principal!P:P,"Subiu")</f>
        <v>34834535.5</v>
      </c>
    </row>
    <row r="26">
      <c r="A26" s="11" t="str">
        <f>IFERROR(__xludf.DUMMYFUNCTION("""COMPUTED_VALUE"""),"Telecomunicações")</f>
        <v>Telecomunicações</v>
      </c>
      <c r="B26" s="14">
        <f>SUMIF(Principal!R:R,A26,Principal!O:O)</f>
        <v>292938114.4</v>
      </c>
      <c r="C26" s="14">
        <f>SUMIFS(Principal!O:O,Principal!R:R,A26,Principal!P:P,"Subiu")</f>
        <v>292938114.4</v>
      </c>
    </row>
    <row r="27">
      <c r="A27" s="11" t="str">
        <f>IFERROR(__xludf.DUMMYFUNCTION("""COMPUTED_VALUE"""),"Transporte Ferroviário")</f>
        <v>Transporte Ferroviário</v>
      </c>
      <c r="B27" s="14">
        <f>SUMIF(Principal!R:R,A27,Principal!O:O)</f>
        <v>229771333.6</v>
      </c>
      <c r="C27" s="14">
        <f>SUMIFS(Principal!O:O,Principal!R:R,A27,Principal!P:P,"Subiu")</f>
        <v>229771333.6</v>
      </c>
    </row>
    <row r="28">
      <c r="A28" s="11" t="str">
        <f>IFERROR(__xludf.DUMMYFUNCTION("""COMPUTED_VALUE"""),"Meios de Pagamento")</f>
        <v>Meios de Pagamento</v>
      </c>
      <c r="B28" s="14">
        <f>SUMIF(Principal!R:R,A28,Principal!O:O)</f>
        <v>43657683.38</v>
      </c>
      <c r="C28" s="14">
        <f>SUMIFS(Principal!O:O,Principal!R:R,A28,Principal!P:P,"Subiu")</f>
        <v>43657683.38</v>
      </c>
    </row>
    <row r="29">
      <c r="A29" s="11" t="str">
        <f>IFERROR(__xludf.DUMMYFUNCTION("""COMPUTED_VALUE"""),"Engenharia")</f>
        <v>Engenharia</v>
      </c>
      <c r="B29" s="14">
        <f>SUMIF(Principal!R:R,A29,Principal!O:O)</f>
        <v>18068446.61</v>
      </c>
      <c r="C29" s="14">
        <f>SUMIFS(Principal!O:O,Principal!R:R,A29,Principal!P:P,"Subiu")</f>
        <v>18068446.61</v>
      </c>
    </row>
    <row r="30">
      <c r="A30" s="11" t="str">
        <f>IFERROR(__xludf.DUMMYFUNCTION("""COMPUTED_VALUE"""),"Tecnologia")</f>
        <v>Tecnologia</v>
      </c>
      <c r="B30" s="14">
        <f>SUMIF(Principal!R:R,A30,Principal!O:O)</f>
        <v>6067508.905</v>
      </c>
      <c r="C30" s="14">
        <f>SUMIFS(Principal!O:O,Principal!R:R,A30,Principal!P:P,"Subiu")</f>
        <v>15598886.65</v>
      </c>
    </row>
    <row r="31">
      <c r="A31" s="11" t="str">
        <f>IFERROR(__xludf.DUMMYFUNCTION("""COMPUTED_VALUE"""),"Holding")</f>
        <v>Holding</v>
      </c>
      <c r="B31" s="14">
        <f>SUMIF(Principal!R:R,A31,Principal!O:O)</f>
        <v>330902947.7</v>
      </c>
      <c r="C31" s="14">
        <f>SUMIFS(Principal!O:O,Principal!R:R,A31,Principal!P:P,"Subiu")</f>
        <v>373853994.9</v>
      </c>
    </row>
    <row r="32">
      <c r="A32" s="11" t="str">
        <f>IFERROR(__xludf.DUMMYFUNCTION("""COMPUTED_VALUE"""),"Transporte e Logística")</f>
        <v>Transporte e Logística</v>
      </c>
      <c r="B32" s="14">
        <f>SUMIF(Principal!R:R,A32,Principal!O:O)</f>
        <v>-35612213.16</v>
      </c>
      <c r="C32" s="14">
        <f>SUMIFS(Principal!O:O,Principal!R:R,A32,Principal!P:P,"Subiu")</f>
        <v>4131341.158</v>
      </c>
    </row>
    <row r="33">
      <c r="A33" s="11" t="str">
        <f>IFERROR(__xludf.DUMMYFUNCTION("""COMPUTED_VALUE"""),"Bebidas")</f>
        <v>Bebidas</v>
      </c>
      <c r="B33" s="14">
        <f>SUMIF(Principal!R:R,A33,Principal!O:O)</f>
        <v>0</v>
      </c>
      <c r="C33" s="14">
        <f>SUMIFS(Principal!O:O,Principal!R:R,A33,Principal!P:P,"Subiu")</f>
        <v>0</v>
      </c>
    </row>
    <row r="34">
      <c r="A34" s="11" t="str">
        <f>IFERROR(__xludf.DUMMYFUNCTION("""COMPUTED_VALUE"""),"Seguros e Previdência")</f>
        <v>Seguros e Previdência</v>
      </c>
      <c r="B34" s="14">
        <f>SUMIF(Principal!R:R,A34,Principal!O:O)</f>
        <v>-4532537.188</v>
      </c>
      <c r="C34" s="14">
        <f>SUMIFS(Principal!O:O,Principal!R:R,A34,Principal!P:P,"Subiu")</f>
        <v>0</v>
      </c>
    </row>
    <row r="35">
      <c r="A35" s="11" t="str">
        <f>IFERROR(__xludf.DUMMYFUNCTION("""COMPUTED_VALUE"""),"Saneamento Básico")</f>
        <v>Saneamento Básico</v>
      </c>
      <c r="B35" s="14">
        <f>SUMIF(Principal!R:R,A35,Principal!O:O)</f>
        <v>-15725678.56</v>
      </c>
      <c r="C35" s="14">
        <f>SUMIFS(Principal!O:O,Principal!R:R,A35,Principal!P:P,"Subiu")</f>
        <v>0</v>
      </c>
    </row>
    <row r="36">
      <c r="A36" s="11" t="str">
        <f>IFERROR(__xludf.DUMMYFUNCTION("""COMPUTED_VALUE"""),"Eletroeletrônicos")</f>
        <v>Eletroeletrônicos</v>
      </c>
      <c r="B36" s="14">
        <f>SUMIF(Principal!R:R,A36,Principal!O:O)</f>
        <v>-118230410.4</v>
      </c>
      <c r="C36" s="14">
        <f>SUMIFS(Principal!O:O,Principal!R:R,A36,Principal!P:P,"Subiu")</f>
        <v>0</v>
      </c>
    </row>
    <row r="37">
      <c r="A37" s="11" t="str">
        <f>IFERROR(__xludf.DUMMYFUNCTION("""COMPUTED_VALUE"""),"Agronegócio")</f>
        <v>Agronegócio</v>
      </c>
      <c r="B37" s="14">
        <f>SUMIF(Principal!R:R,A37,Principal!O:O)</f>
        <v>-217725677.9</v>
      </c>
      <c r="C37" s="14">
        <f>SUMIFS(Principal!O:O,Principal!R:R,A37,Principal!P:P,"Subiu")</f>
        <v>0</v>
      </c>
    </row>
    <row r="38">
      <c r="A38" s="11" t="str">
        <f>IFERROR(__xludf.DUMMYFUNCTION("""COMPUTED_VALUE"""),"Seguros")</f>
        <v>Seguros</v>
      </c>
      <c r="B38" s="14">
        <f>SUMIF(Principal!R:R,A38,Principal!O:O)</f>
        <v>-21765343.02</v>
      </c>
      <c r="C38" s="14">
        <f>SUMIFS(Principal!O:O,Principal!R:R,A38,Principal!P:P,"Subiu")</f>
        <v>0</v>
      </c>
    </row>
    <row r="39">
      <c r="A39" s="11" t="str">
        <f>IFERROR(__xludf.DUMMYFUNCTION("""COMPUTED_VALUE"""),"Pet Shop")</f>
        <v>Pet Shop</v>
      </c>
      <c r="B39" s="14">
        <f>SUMIF(Principal!R:R,A39,Principal!O:O)</f>
        <v>-529460651.3</v>
      </c>
      <c r="C39" s="14">
        <f>SUMIFS(Principal!O:O,Principal!R:R,A39,Principal!P:P,"Subiu")</f>
        <v>0</v>
      </c>
    </row>
    <row r="40">
      <c r="A40" s="11" t="str">
        <f>IFERROR(__xludf.DUMMYFUNCTION("""COMPUTED_VALUE"""),"Aeronáutica")</f>
        <v>Aeronáutica</v>
      </c>
      <c r="B40" s="14">
        <f>SUMIF(Principal!R:R,A40,Principal!O:O)</f>
        <v>-84945431.64</v>
      </c>
      <c r="C40" s="14">
        <f>SUMIFS(Principal!O:O,Principal!R:R,A40,Principal!P:P,"Subiu")</f>
        <v>0</v>
      </c>
    </row>
    <row r="41">
      <c r="A41" s="11" t="str">
        <f>IFERROR(__xludf.DUMMYFUNCTION("""COMPUTED_VALUE"""),"Cosméticos")</f>
        <v>Cosméticos</v>
      </c>
      <c r="B41" s="14">
        <f>SUMIF(Principal!R:R,A41,Principal!O:O)</f>
        <v>-233651943.5</v>
      </c>
      <c r="C41" s="14">
        <f>SUMIFS(Principal!O:O,Principal!R:R,A41,Principal!P:P,"Subiu")</f>
        <v>0</v>
      </c>
    </row>
    <row r="42">
      <c r="A42" s="11" t="str">
        <f>IFERROR(__xludf.DUMMYFUNCTION("""COMPUTED_VALUE"""),"Farmacêutica")</f>
        <v>Farmacêutica</v>
      </c>
      <c r="B42" s="14">
        <f>SUMIF(Principal!R:R,A42,Principal!O:O)</f>
        <v>-1173785666</v>
      </c>
      <c r="C42" s="14">
        <f>SUMIFS(Principal!O:O,Principal!R:R,A42,Principal!P:P,"Subiu")</f>
        <v>0</v>
      </c>
    </row>
    <row r="43">
      <c r="A43" s="11" t="str">
        <f>IFERROR(__xludf.DUMMYFUNCTION("""COMPUTED_VALUE"""),"Locação de Veículos")</f>
        <v>Locação de Veículos</v>
      </c>
      <c r="B43" s="14">
        <f>SUMIF(Principal!R:R,A43,Principal!O:O)</f>
        <v>-20810240.84</v>
      </c>
      <c r="C43" s="14">
        <f>SUMIFS(Principal!O:O,Principal!R:R,A43,Principal!P:P,"Subiu")</f>
        <v>0</v>
      </c>
    </row>
    <row r="44">
      <c r="A44" s="11" t="str">
        <f>IFERROR(__xludf.DUMMYFUNCTION("""COMPUTED_VALUE"""),"Turismo")</f>
        <v>Turismo</v>
      </c>
      <c r="B44" s="14">
        <f>SUMIF(Principal!R:R,A44,Principal!O:O)</f>
        <v>-1807432634</v>
      </c>
      <c r="C44" s="14">
        <f>SUMIFS(Principal!O:O,Principal!R:R,A44,Principal!P:P,"Subiu")</f>
        <v>0</v>
      </c>
    </row>
    <row r="45">
      <c r="A45" s="11"/>
      <c r="B45" s="14"/>
      <c r="C45" s="14"/>
    </row>
    <row r="46">
      <c r="A46" s="26" t="s">
        <v>300</v>
      </c>
      <c r="C46" s="14"/>
    </row>
    <row r="47">
      <c r="A47" s="25" t="str">
        <f>IFERROR(__xludf.DUMMYFUNCTION("UNIQUE(Principal!P:P)"),"Resultado")</f>
        <v>Resultado</v>
      </c>
      <c r="B47" s="24" t="s">
        <v>301</v>
      </c>
      <c r="C47" s="14"/>
    </row>
    <row r="48">
      <c r="A48" s="11" t="str">
        <f>IFERROR(__xludf.DUMMYFUNCTION("""COMPUTED_VALUE"""),"Subiu")</f>
        <v>Subiu</v>
      </c>
      <c r="B48" s="14">
        <f>SUMIF(Principal!P:P,A48,Principal!O:O)</f>
        <v>19719227010</v>
      </c>
      <c r="C48" s="14"/>
    </row>
    <row r="49">
      <c r="A49" s="11" t="str">
        <f>IFERROR(__xludf.DUMMYFUNCTION("""COMPUTED_VALUE"""),"Estável")</f>
        <v>Estável</v>
      </c>
      <c r="B49" s="14">
        <f>SUMIF(Principal!P:P,A49,Principal!O:O)</f>
        <v>0</v>
      </c>
      <c r="C49" s="14"/>
    </row>
    <row r="50">
      <c r="A50" s="11" t="str">
        <f>IFERROR(__xludf.DUMMYFUNCTION("""COMPUTED_VALUE"""),"Desceu")</f>
        <v>Desceu</v>
      </c>
      <c r="B50" s="14">
        <f>SUMIF(Principal!P:P,A50,Principal!O:O)</f>
        <v>-6235826759</v>
      </c>
      <c r="C50" s="14"/>
    </row>
    <row r="51">
      <c r="A51" s="11"/>
      <c r="B51" s="14">
        <f>B48+B50</f>
        <v>13483400251</v>
      </c>
      <c r="C51" s="14"/>
    </row>
    <row r="52">
      <c r="B52" s="14"/>
      <c r="C52" s="14"/>
    </row>
    <row r="53">
      <c r="B53" s="14"/>
      <c r="C53" s="13"/>
    </row>
    <row r="54">
      <c r="A54" s="22" t="s">
        <v>302</v>
      </c>
      <c r="B54" s="14"/>
      <c r="C54" s="13"/>
    </row>
    <row r="55">
      <c r="A55" s="11" t="str">
        <f>IFERROR(__xludf.DUMMYFUNCTION("UNIQUE(Principal!T2:T81)"),"Entre 50 e 100")</f>
        <v>Entre 50 e 100</v>
      </c>
      <c r="B55" s="14">
        <f>SUMIF(Principal!T:T,A55,Principal!O:O)</f>
        <v>10388937287</v>
      </c>
      <c r="C55" s="13">
        <f>COUNTIF(Principal!T:T, A55)</f>
        <v>31</v>
      </c>
    </row>
    <row r="56">
      <c r="A56" s="11" t="str">
        <f>IFERROR(__xludf.DUMMYFUNCTION("""COMPUTED_VALUE"""),"Menos de 50")</f>
        <v>Menos de 50</v>
      </c>
      <c r="B56" s="14">
        <f>SUMIF(Principal!T:T,A56,Principal!O:O)</f>
        <v>2903725044</v>
      </c>
      <c r="C56" s="13">
        <f>COUNTIF(Principal!T:T, A56)</f>
        <v>42</v>
      </c>
    </row>
    <row r="57">
      <c r="A57" s="11" t="str">
        <f>IFERROR(__xludf.DUMMYFUNCTION("""COMPUTED_VALUE"""),"Mais de 100 anos")</f>
        <v>Mais de 100 anos</v>
      </c>
      <c r="B57" s="14">
        <f>SUMIF(Principal!T:T,A57,Principal!O:O)</f>
        <v>190737920.8</v>
      </c>
      <c r="C57" s="13">
        <f>COUNTIF(Principal!T:T, A57)</f>
        <v>7</v>
      </c>
    </row>
    <row r="58">
      <c r="B58" s="14"/>
      <c r="C58" s="13"/>
    </row>
    <row r="59">
      <c r="B59" s="14"/>
      <c r="C59" s="27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</sheetData>
  <mergeCells count="1">
    <mergeCell ref="A46:B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303</v>
      </c>
      <c r="B1" s="15" t="s">
        <v>17</v>
      </c>
      <c r="C1" s="15" t="s">
        <v>18</v>
      </c>
    </row>
    <row r="2">
      <c r="A2" s="15" t="s">
        <v>25</v>
      </c>
      <c r="B2" s="15" t="s">
        <v>26</v>
      </c>
      <c r="C2" s="15">
        <v>59.0</v>
      </c>
    </row>
    <row r="3">
      <c r="A3" s="15" t="s">
        <v>29</v>
      </c>
      <c r="B3" s="15" t="s">
        <v>30</v>
      </c>
      <c r="C3" s="15">
        <v>5.0</v>
      </c>
    </row>
    <row r="4">
      <c r="A4" s="15" t="s">
        <v>33</v>
      </c>
      <c r="B4" s="15" t="s">
        <v>34</v>
      </c>
      <c r="C4" s="15">
        <v>69.0</v>
      </c>
    </row>
    <row r="5">
      <c r="A5" s="15" t="s">
        <v>37</v>
      </c>
      <c r="B5" s="15" t="s">
        <v>38</v>
      </c>
      <c r="C5" s="15">
        <v>98.0</v>
      </c>
    </row>
    <row r="6">
      <c r="A6" s="15" t="s">
        <v>41</v>
      </c>
      <c r="B6" s="15" t="s">
        <v>42</v>
      </c>
      <c r="C6" s="15">
        <v>29.0</v>
      </c>
    </row>
    <row r="7">
      <c r="A7" s="15" t="s">
        <v>45</v>
      </c>
      <c r="B7" s="15" t="s">
        <v>34</v>
      </c>
      <c r="C7" s="15">
        <v>13.0</v>
      </c>
    </row>
    <row r="8">
      <c r="A8" s="15" t="s">
        <v>33</v>
      </c>
      <c r="B8" s="15" t="s">
        <v>34</v>
      </c>
      <c r="C8" s="15">
        <v>69.0</v>
      </c>
    </row>
    <row r="9">
      <c r="A9" s="15" t="s">
        <v>50</v>
      </c>
      <c r="B9" s="15" t="s">
        <v>30</v>
      </c>
      <c r="C9" s="15">
        <v>80.0</v>
      </c>
    </row>
    <row r="10">
      <c r="A10" s="15" t="s">
        <v>53</v>
      </c>
      <c r="B10" s="15" t="s">
        <v>54</v>
      </c>
      <c r="C10" s="15">
        <v>51.0</v>
      </c>
    </row>
    <row r="11">
      <c r="A11" s="15" t="s">
        <v>57</v>
      </c>
      <c r="B11" s="15" t="s">
        <v>58</v>
      </c>
      <c r="C11" s="15">
        <v>13.0</v>
      </c>
    </row>
    <row r="12">
      <c r="A12" s="15" t="s">
        <v>61</v>
      </c>
      <c r="B12" s="15" t="s">
        <v>62</v>
      </c>
      <c r="C12" s="15">
        <v>44.0</v>
      </c>
    </row>
    <row r="13">
      <c r="A13" s="15" t="s">
        <v>65</v>
      </c>
      <c r="B13" s="15" t="s">
        <v>66</v>
      </c>
      <c r="C13" s="15">
        <v>50.0</v>
      </c>
    </row>
    <row r="14">
      <c r="A14" s="15" t="s">
        <v>69</v>
      </c>
      <c r="B14" s="15" t="s">
        <v>70</v>
      </c>
      <c r="C14" s="15">
        <v>14.0</v>
      </c>
    </row>
    <row r="15">
      <c r="A15" s="15" t="s">
        <v>73</v>
      </c>
      <c r="B15" s="15" t="s">
        <v>34</v>
      </c>
      <c r="C15" s="15">
        <v>9.0</v>
      </c>
    </row>
    <row r="16">
      <c r="A16" s="15" t="s">
        <v>76</v>
      </c>
      <c r="B16" s="15" t="s">
        <v>42</v>
      </c>
      <c r="C16" s="15">
        <v>25.0</v>
      </c>
    </row>
    <row r="17">
      <c r="A17" s="15" t="s">
        <v>79</v>
      </c>
      <c r="B17" s="15" t="s">
        <v>26</v>
      </c>
      <c r="C17" s="15">
        <v>81.0</v>
      </c>
    </row>
    <row r="18">
      <c r="A18" s="15" t="s">
        <v>82</v>
      </c>
      <c r="B18" s="15" t="s">
        <v>83</v>
      </c>
      <c r="C18" s="15">
        <v>59.0</v>
      </c>
    </row>
    <row r="19">
      <c r="A19" s="15" t="s">
        <v>86</v>
      </c>
      <c r="B19" s="15" t="s">
        <v>34</v>
      </c>
      <c r="C19" s="15">
        <v>84.0</v>
      </c>
    </row>
    <row r="20">
      <c r="A20" s="15" t="s">
        <v>89</v>
      </c>
      <c r="B20" s="15" t="s">
        <v>90</v>
      </c>
      <c r="C20" s="15">
        <v>48.0</v>
      </c>
    </row>
    <row r="21">
      <c r="A21" s="15" t="s">
        <v>93</v>
      </c>
      <c r="B21" s="15" t="s">
        <v>94</v>
      </c>
      <c r="C21" s="15">
        <v>50.0</v>
      </c>
    </row>
    <row r="22">
      <c r="A22" s="15" t="s">
        <v>97</v>
      </c>
      <c r="B22" s="15" t="s">
        <v>58</v>
      </c>
      <c r="C22" s="15">
        <v>78.0</v>
      </c>
    </row>
    <row r="23">
      <c r="A23" s="15" t="s">
        <v>100</v>
      </c>
      <c r="B23" s="15" t="s">
        <v>101</v>
      </c>
      <c r="C23" s="15">
        <v>30.0</v>
      </c>
    </row>
    <row r="24">
      <c r="A24" s="15" t="s">
        <v>104</v>
      </c>
      <c r="B24" s="15" t="s">
        <v>105</v>
      </c>
      <c r="C24" s="15">
        <v>76.0</v>
      </c>
    </row>
    <row r="25">
      <c r="A25" s="15" t="s">
        <v>108</v>
      </c>
      <c r="B25" s="15" t="s">
        <v>101</v>
      </c>
      <c r="C25" s="15">
        <v>34.0</v>
      </c>
    </row>
    <row r="26">
      <c r="A26" s="15" t="s">
        <v>111</v>
      </c>
      <c r="B26" s="15" t="s">
        <v>112</v>
      </c>
      <c r="C26" s="15">
        <v>23.0</v>
      </c>
    </row>
    <row r="27">
      <c r="A27" s="15" t="s">
        <v>115</v>
      </c>
      <c r="B27" s="15" t="s">
        <v>116</v>
      </c>
      <c r="C27" s="15">
        <v>12.0</v>
      </c>
    </row>
    <row r="28">
      <c r="A28" s="15" t="s">
        <v>119</v>
      </c>
      <c r="B28" s="15" t="s">
        <v>120</v>
      </c>
      <c r="C28" s="15">
        <v>23.0</v>
      </c>
    </row>
    <row r="29">
      <c r="A29" s="15" t="s">
        <v>123</v>
      </c>
      <c r="B29" s="15" t="s">
        <v>124</v>
      </c>
      <c r="C29" s="15">
        <v>8.0</v>
      </c>
    </row>
    <row r="30">
      <c r="A30" s="15" t="s">
        <v>127</v>
      </c>
      <c r="B30" s="15" t="s">
        <v>112</v>
      </c>
      <c r="C30" s="15">
        <v>27.0</v>
      </c>
    </row>
    <row r="31">
      <c r="A31" s="15" t="s">
        <v>130</v>
      </c>
      <c r="B31" s="15" t="s">
        <v>58</v>
      </c>
      <c r="C31" s="15">
        <v>19.0</v>
      </c>
    </row>
    <row r="32">
      <c r="A32" s="15" t="s">
        <v>133</v>
      </c>
      <c r="B32" s="15" t="s">
        <v>134</v>
      </c>
      <c r="C32" s="15">
        <v>23.0</v>
      </c>
    </row>
    <row r="33">
      <c r="A33" s="15" t="s">
        <v>137</v>
      </c>
      <c r="B33" s="15" t="s">
        <v>34</v>
      </c>
      <c r="C33" s="15">
        <v>7.0</v>
      </c>
    </row>
    <row r="34">
      <c r="A34" s="15" t="s">
        <v>140</v>
      </c>
      <c r="B34" s="15" t="s">
        <v>141</v>
      </c>
      <c r="C34" s="15">
        <v>56.0</v>
      </c>
    </row>
    <row r="35">
      <c r="A35" s="15" t="s">
        <v>144</v>
      </c>
      <c r="B35" s="15" t="s">
        <v>58</v>
      </c>
      <c r="C35" s="15">
        <v>213.0</v>
      </c>
    </row>
    <row r="36">
      <c r="A36" s="15" t="s">
        <v>147</v>
      </c>
      <c r="B36" s="15" t="s">
        <v>62</v>
      </c>
      <c r="C36" s="15">
        <v>116.0</v>
      </c>
    </row>
    <row r="37">
      <c r="A37" s="15" t="s">
        <v>150</v>
      </c>
      <c r="B37" s="15" t="s">
        <v>26</v>
      </c>
      <c r="C37" s="15">
        <v>120.0</v>
      </c>
    </row>
    <row r="38">
      <c r="A38" s="15" t="s">
        <v>153</v>
      </c>
      <c r="B38" s="15" t="s">
        <v>42</v>
      </c>
      <c r="C38" s="15">
        <v>19.0</v>
      </c>
    </row>
    <row r="39">
      <c r="A39" s="15" t="s">
        <v>156</v>
      </c>
      <c r="B39" s="15" t="s">
        <v>101</v>
      </c>
      <c r="C39" s="15">
        <v>68.0</v>
      </c>
    </row>
    <row r="40">
      <c r="A40" s="15" t="s">
        <v>159</v>
      </c>
      <c r="B40" s="15" t="s">
        <v>105</v>
      </c>
      <c r="C40" s="15">
        <v>64.0</v>
      </c>
    </row>
    <row r="41">
      <c r="A41" s="15" t="s">
        <v>97</v>
      </c>
      <c r="B41" s="15" t="s">
        <v>58</v>
      </c>
      <c r="C41" s="15">
        <v>78.0</v>
      </c>
    </row>
    <row r="42">
      <c r="A42" s="15" t="s">
        <v>164</v>
      </c>
      <c r="B42" s="15" t="s">
        <v>26</v>
      </c>
      <c r="C42" s="15">
        <v>120.0</v>
      </c>
    </row>
    <row r="43">
      <c r="A43" s="15" t="s">
        <v>167</v>
      </c>
      <c r="B43" s="15" t="s">
        <v>42</v>
      </c>
      <c r="C43" s="15">
        <v>9.0</v>
      </c>
    </row>
    <row r="44">
      <c r="A44" s="15" t="s">
        <v>170</v>
      </c>
      <c r="B44" s="15" t="s">
        <v>42</v>
      </c>
      <c r="C44" s="15">
        <v>66.0</v>
      </c>
    </row>
    <row r="45">
      <c r="A45" s="15" t="s">
        <v>173</v>
      </c>
      <c r="B45" s="15" t="s">
        <v>174</v>
      </c>
      <c r="C45" s="15">
        <v>24.0</v>
      </c>
    </row>
    <row r="46">
      <c r="A46" s="15" t="s">
        <v>177</v>
      </c>
      <c r="B46" s="15" t="s">
        <v>101</v>
      </c>
      <c r="C46" s="15">
        <v>14.0</v>
      </c>
    </row>
    <row r="47">
      <c r="A47" s="15" t="s">
        <v>180</v>
      </c>
      <c r="B47" s="15" t="s">
        <v>181</v>
      </c>
      <c r="C47" s="15">
        <v>31.0</v>
      </c>
    </row>
    <row r="48">
      <c r="A48" s="15" t="s">
        <v>184</v>
      </c>
      <c r="B48" s="15" t="s">
        <v>185</v>
      </c>
      <c r="C48" s="15">
        <v>8.0</v>
      </c>
    </row>
    <row r="49">
      <c r="A49" s="15" t="s">
        <v>188</v>
      </c>
      <c r="B49" s="15" t="s">
        <v>189</v>
      </c>
      <c r="C49" s="15">
        <v>48.0</v>
      </c>
    </row>
    <row r="50">
      <c r="A50" s="15" t="s">
        <v>192</v>
      </c>
      <c r="B50" s="15" t="s">
        <v>134</v>
      </c>
      <c r="C50" s="15">
        <v>57.0</v>
      </c>
    </row>
    <row r="51">
      <c r="A51" s="15" t="s">
        <v>195</v>
      </c>
      <c r="B51" s="15" t="s">
        <v>42</v>
      </c>
      <c r="C51" s="15">
        <v>68.0</v>
      </c>
    </row>
    <row r="52">
      <c r="A52" s="15" t="s">
        <v>198</v>
      </c>
      <c r="B52" s="15" t="s">
        <v>42</v>
      </c>
      <c r="C52" s="15">
        <v>59.0</v>
      </c>
    </row>
    <row r="53">
      <c r="A53" s="15" t="s">
        <v>201</v>
      </c>
      <c r="B53" s="15" t="s">
        <v>42</v>
      </c>
      <c r="C53" s="15">
        <v>9.0</v>
      </c>
    </row>
    <row r="54">
      <c r="A54" s="15" t="s">
        <v>204</v>
      </c>
      <c r="B54" s="15" t="s">
        <v>205</v>
      </c>
      <c r="C54" s="15">
        <v>58.0</v>
      </c>
    </row>
    <row r="55">
      <c r="A55" s="15" t="s">
        <v>208</v>
      </c>
      <c r="B55" s="15" t="s">
        <v>209</v>
      </c>
      <c r="C55" s="15">
        <v>42.0</v>
      </c>
    </row>
    <row r="56">
      <c r="A56" s="15" t="s">
        <v>210</v>
      </c>
      <c r="B56" s="15" t="s">
        <v>42</v>
      </c>
      <c r="C56" s="15">
        <v>3.0</v>
      </c>
    </row>
    <row r="57">
      <c r="A57" s="15" t="s">
        <v>214</v>
      </c>
      <c r="B57" s="15" t="s">
        <v>174</v>
      </c>
      <c r="C57" s="15">
        <v>23.0</v>
      </c>
    </row>
    <row r="58">
      <c r="A58" s="15" t="s">
        <v>217</v>
      </c>
      <c r="B58" s="15" t="s">
        <v>83</v>
      </c>
      <c r="C58" s="15">
        <v>24.0</v>
      </c>
    </row>
    <row r="59">
      <c r="A59" s="15" t="s">
        <v>220</v>
      </c>
      <c r="B59" s="15" t="s">
        <v>42</v>
      </c>
      <c r="C59" s="15">
        <v>21.0</v>
      </c>
    </row>
    <row r="60">
      <c r="A60" s="15" t="s">
        <v>223</v>
      </c>
      <c r="B60" s="15" t="s">
        <v>42</v>
      </c>
      <c r="C60" s="15">
        <v>30.0</v>
      </c>
    </row>
    <row r="61">
      <c r="A61" s="15" t="s">
        <v>226</v>
      </c>
      <c r="B61" s="15" t="s">
        <v>42</v>
      </c>
      <c r="C61" s="15">
        <v>11.0</v>
      </c>
    </row>
    <row r="62">
      <c r="A62" s="15" t="s">
        <v>229</v>
      </c>
      <c r="B62" s="15" t="s">
        <v>230</v>
      </c>
      <c r="C62" s="15">
        <v>83.0</v>
      </c>
    </row>
    <row r="63">
      <c r="A63" s="15" t="s">
        <v>233</v>
      </c>
      <c r="B63" s="15" t="s">
        <v>234</v>
      </c>
      <c r="C63" s="15">
        <v>8.0</v>
      </c>
    </row>
    <row r="64">
      <c r="A64" s="15" t="s">
        <v>237</v>
      </c>
      <c r="B64" s="15" t="s">
        <v>90</v>
      </c>
      <c r="C64" s="15">
        <v>43.0</v>
      </c>
    </row>
    <row r="65">
      <c r="A65" s="15" t="s">
        <v>240</v>
      </c>
      <c r="B65" s="15" t="s">
        <v>62</v>
      </c>
      <c r="C65" s="15">
        <v>92.0</v>
      </c>
    </row>
    <row r="66">
      <c r="A66" s="15" t="s">
        <v>242</v>
      </c>
      <c r="B66" s="15" t="s">
        <v>141</v>
      </c>
      <c r="C66" s="15">
        <v>8.0</v>
      </c>
    </row>
    <row r="67">
      <c r="A67" s="15" t="s">
        <v>245</v>
      </c>
      <c r="B67" s="15" t="s">
        <v>94</v>
      </c>
      <c r="C67" s="15">
        <v>104.0</v>
      </c>
    </row>
    <row r="68">
      <c r="A68" s="15" t="s">
        <v>248</v>
      </c>
      <c r="B68" s="15" t="s">
        <v>90</v>
      </c>
      <c r="C68" s="15">
        <v>55.0</v>
      </c>
    </row>
    <row r="69">
      <c r="A69" s="15" t="s">
        <v>251</v>
      </c>
      <c r="B69" s="15" t="s">
        <v>252</v>
      </c>
      <c r="C69" s="15">
        <v>53.0</v>
      </c>
    </row>
    <row r="70">
      <c r="A70" s="15" t="s">
        <v>255</v>
      </c>
      <c r="B70" s="15" t="s">
        <v>256</v>
      </c>
      <c r="C70" s="15">
        <v>55.0</v>
      </c>
    </row>
    <row r="71">
      <c r="A71" s="15" t="s">
        <v>259</v>
      </c>
      <c r="B71" s="15" t="s">
        <v>105</v>
      </c>
      <c r="C71" s="15">
        <v>55.0</v>
      </c>
    </row>
    <row r="72">
      <c r="A72" s="15" t="s">
        <v>262</v>
      </c>
      <c r="B72" s="15" t="s">
        <v>58</v>
      </c>
      <c r="C72" s="15">
        <v>124.0</v>
      </c>
    </row>
    <row r="73">
      <c r="A73" s="15" t="s">
        <v>265</v>
      </c>
      <c r="B73" s="15" t="s">
        <v>266</v>
      </c>
      <c r="C73" s="15">
        <v>20.0</v>
      </c>
    </row>
    <row r="74">
      <c r="A74" s="15" t="s">
        <v>269</v>
      </c>
      <c r="B74" s="15" t="s">
        <v>209</v>
      </c>
      <c r="C74" s="15">
        <v>84.0</v>
      </c>
    </row>
    <row r="75">
      <c r="A75" s="15" t="s">
        <v>272</v>
      </c>
      <c r="B75" s="15" t="s">
        <v>62</v>
      </c>
      <c r="C75" s="15">
        <v>44.0</v>
      </c>
    </row>
    <row r="76">
      <c r="A76" s="15" t="s">
        <v>275</v>
      </c>
      <c r="B76" s="15" t="s">
        <v>105</v>
      </c>
      <c r="C76" s="15">
        <v>104.0</v>
      </c>
    </row>
    <row r="77">
      <c r="A77" s="15" t="s">
        <v>278</v>
      </c>
      <c r="B77" s="15" t="s">
        <v>105</v>
      </c>
      <c r="C77" s="15">
        <v>47.0</v>
      </c>
    </row>
    <row r="78">
      <c r="A78" s="15" t="s">
        <v>281</v>
      </c>
      <c r="B78" s="15" t="s">
        <v>105</v>
      </c>
      <c r="C78" s="15">
        <v>68.0</v>
      </c>
    </row>
    <row r="79">
      <c r="A79" s="15" t="s">
        <v>284</v>
      </c>
      <c r="B79" s="15" t="s">
        <v>285</v>
      </c>
      <c r="C79" s="15">
        <v>48.0</v>
      </c>
    </row>
    <row r="80">
      <c r="A80" s="15" t="s">
        <v>288</v>
      </c>
      <c r="B80" s="15" t="s">
        <v>289</v>
      </c>
      <c r="C80" s="15">
        <v>50.0</v>
      </c>
    </row>
    <row r="81">
      <c r="A81" s="15" t="s">
        <v>292</v>
      </c>
      <c r="B81" s="15" t="s">
        <v>70</v>
      </c>
      <c r="C81" s="15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304</v>
      </c>
      <c r="B1" s="28" t="s">
        <v>305</v>
      </c>
    </row>
    <row r="2">
      <c r="A2" s="29" t="s">
        <v>71</v>
      </c>
      <c r="B2" s="30">
        <v>2.35665566E8</v>
      </c>
    </row>
    <row r="3">
      <c r="A3" s="29" t="s">
        <v>210</v>
      </c>
      <c r="B3" s="30">
        <v>5.32616595E8</v>
      </c>
    </row>
    <row r="4">
      <c r="A4" s="29" t="s">
        <v>246</v>
      </c>
      <c r="B4" s="30">
        <v>1.76733968E8</v>
      </c>
    </row>
    <row r="5">
      <c r="A5" s="29" t="s">
        <v>178</v>
      </c>
      <c r="B5" s="30">
        <v>4.394245879E9</v>
      </c>
    </row>
    <row r="6">
      <c r="A6" s="29" t="s">
        <v>91</v>
      </c>
      <c r="B6" s="30">
        <v>6.2305891E7</v>
      </c>
    </row>
    <row r="7">
      <c r="A7" s="29" t="s">
        <v>260</v>
      </c>
      <c r="B7" s="30">
        <v>1.349217892E9</v>
      </c>
    </row>
    <row r="8">
      <c r="A8" s="29" t="s">
        <v>67</v>
      </c>
      <c r="B8" s="30">
        <v>3.27593725E8</v>
      </c>
    </row>
    <row r="9">
      <c r="A9" s="29" t="s">
        <v>263</v>
      </c>
      <c r="B9" s="30">
        <v>5.60279011E9</v>
      </c>
    </row>
    <row r="10">
      <c r="A10" s="29" t="s">
        <v>182</v>
      </c>
      <c r="B10" s="30">
        <v>6.71750768E8</v>
      </c>
    </row>
    <row r="11">
      <c r="A11" s="29" t="s">
        <v>160</v>
      </c>
      <c r="B11" s="30">
        <v>1.500728902E9</v>
      </c>
    </row>
    <row r="12">
      <c r="A12" s="29" t="s">
        <v>95</v>
      </c>
      <c r="B12" s="30">
        <v>5.146576868E9</v>
      </c>
    </row>
    <row r="13">
      <c r="A13" s="29" t="s">
        <v>128</v>
      </c>
      <c r="B13" s="30">
        <v>2.51003438E8</v>
      </c>
    </row>
    <row r="14">
      <c r="A14" s="29" t="s">
        <v>142</v>
      </c>
      <c r="B14" s="30">
        <v>1.420949112E9</v>
      </c>
    </row>
    <row r="15">
      <c r="A15" s="29" t="s">
        <v>63</v>
      </c>
      <c r="B15" s="30">
        <v>2.65877867E8</v>
      </c>
    </row>
    <row r="16">
      <c r="A16" s="29" t="s">
        <v>106</v>
      </c>
      <c r="B16" s="30">
        <v>1.677525446E9</v>
      </c>
    </row>
    <row r="17">
      <c r="A17" s="29" t="s">
        <v>306</v>
      </c>
      <c r="B17" s="30">
        <v>1.150645866E9</v>
      </c>
    </row>
    <row r="18">
      <c r="A18" s="29" t="s">
        <v>279</v>
      </c>
      <c r="B18" s="30">
        <v>5.33990587E8</v>
      </c>
    </row>
    <row r="19">
      <c r="A19" s="29" t="s">
        <v>282</v>
      </c>
      <c r="B19" s="30">
        <v>9.4843047E7</v>
      </c>
    </row>
    <row r="20">
      <c r="A20" s="29" t="s">
        <v>212</v>
      </c>
      <c r="B20" s="30">
        <v>9.95335937E8</v>
      </c>
    </row>
    <row r="21">
      <c r="A21" s="29" t="s">
        <v>193</v>
      </c>
      <c r="B21" s="30">
        <v>1.437415777E9</v>
      </c>
    </row>
    <row r="22">
      <c r="A22" s="29" t="s">
        <v>117</v>
      </c>
      <c r="B22" s="30">
        <v>1.095462329E9</v>
      </c>
    </row>
    <row r="23">
      <c r="A23" s="29" t="s">
        <v>215</v>
      </c>
      <c r="B23" s="30">
        <v>1.81492098E9</v>
      </c>
    </row>
    <row r="24">
      <c r="A24" s="29" t="s">
        <v>168</v>
      </c>
      <c r="B24" s="30">
        <v>1.67933529E9</v>
      </c>
    </row>
    <row r="25">
      <c r="A25" s="29" t="s">
        <v>151</v>
      </c>
      <c r="B25" s="30">
        <v>1.168097881E9</v>
      </c>
    </row>
    <row r="26">
      <c r="A26" s="29" t="s">
        <v>39</v>
      </c>
      <c r="B26" s="30">
        <v>1.87732538E8</v>
      </c>
    </row>
    <row r="27">
      <c r="A27" s="29" t="s">
        <v>27</v>
      </c>
      <c r="B27" s="30">
        <v>1.110559345E9</v>
      </c>
    </row>
    <row r="28">
      <c r="A28" s="29" t="s">
        <v>290</v>
      </c>
      <c r="B28" s="30">
        <v>5.25582771E8</v>
      </c>
    </row>
    <row r="29">
      <c r="A29" s="29" t="s">
        <v>249</v>
      </c>
      <c r="B29" s="30">
        <v>2.65784616E8</v>
      </c>
    </row>
    <row r="30">
      <c r="A30" s="29" t="s">
        <v>121</v>
      </c>
      <c r="B30" s="30">
        <v>3.0276824E8</v>
      </c>
    </row>
    <row r="31">
      <c r="A31" s="29" t="s">
        <v>231</v>
      </c>
      <c r="B31" s="30">
        <v>1.980568384E9</v>
      </c>
    </row>
    <row r="32">
      <c r="A32" s="29" t="s">
        <v>196</v>
      </c>
      <c r="B32" s="30">
        <v>2.68544014E8</v>
      </c>
    </row>
    <row r="33">
      <c r="A33" s="29" t="s">
        <v>253</v>
      </c>
      <c r="B33" s="30">
        <v>7.34632705E8</v>
      </c>
    </row>
    <row r="34">
      <c r="A34" s="29" t="s">
        <v>307</v>
      </c>
      <c r="B34" s="30">
        <v>2.90386402E8</v>
      </c>
    </row>
    <row r="35">
      <c r="A35" s="29" t="s">
        <v>199</v>
      </c>
      <c r="B35" s="30">
        <v>1.579130168E9</v>
      </c>
    </row>
    <row r="36">
      <c r="A36" s="29" t="s">
        <v>221</v>
      </c>
      <c r="B36" s="30">
        <v>2.55236961E8</v>
      </c>
    </row>
    <row r="37">
      <c r="A37" s="29" t="s">
        <v>74</v>
      </c>
      <c r="B37" s="30">
        <v>1.095587251E9</v>
      </c>
    </row>
    <row r="38">
      <c r="A38" s="29" t="s">
        <v>238</v>
      </c>
      <c r="B38" s="30">
        <v>9.1514307E7</v>
      </c>
    </row>
    <row r="39">
      <c r="A39" s="29" t="s">
        <v>241</v>
      </c>
      <c r="B39" s="30">
        <v>2.40822651E8</v>
      </c>
    </row>
    <row r="40">
      <c r="A40" s="29" t="s">
        <v>162</v>
      </c>
      <c r="B40" s="30">
        <v>1.118525506E9</v>
      </c>
    </row>
    <row r="41">
      <c r="A41" s="29" t="s">
        <v>148</v>
      </c>
      <c r="B41" s="30">
        <v>6.60411219E8</v>
      </c>
    </row>
    <row r="42">
      <c r="A42" s="29" t="s">
        <v>308</v>
      </c>
      <c r="B42" s="30">
        <v>1.98184909E8</v>
      </c>
    </row>
    <row r="43">
      <c r="A43" s="29" t="s">
        <v>257</v>
      </c>
      <c r="B43" s="30">
        <v>8.46244302E8</v>
      </c>
    </row>
    <row r="44">
      <c r="A44" s="29" t="s">
        <v>243</v>
      </c>
      <c r="B44" s="30">
        <v>4.96029967E8</v>
      </c>
    </row>
    <row r="45">
      <c r="A45" s="29" t="s">
        <v>273</v>
      </c>
      <c r="B45" s="30">
        <v>4.394332306E9</v>
      </c>
    </row>
    <row r="46">
      <c r="A46" s="29" t="s">
        <v>267</v>
      </c>
      <c r="B46" s="30">
        <v>4.09490388E8</v>
      </c>
    </row>
    <row r="47">
      <c r="A47" s="29" t="s">
        <v>309</v>
      </c>
      <c r="B47" s="30">
        <v>2.17622138E8</v>
      </c>
    </row>
    <row r="48">
      <c r="A48" s="29" t="s">
        <v>227</v>
      </c>
      <c r="B48" s="30">
        <v>8.1838843E7</v>
      </c>
    </row>
    <row r="49">
      <c r="A49" s="29" t="s">
        <v>138</v>
      </c>
      <c r="B49" s="30">
        <v>5.372783971E9</v>
      </c>
    </row>
    <row r="50">
      <c r="A50" s="29" t="s">
        <v>55</v>
      </c>
      <c r="B50" s="30">
        <v>4.801593832E9</v>
      </c>
    </row>
    <row r="51">
      <c r="A51" s="29" t="s">
        <v>154</v>
      </c>
      <c r="B51" s="30">
        <v>1.134986472E9</v>
      </c>
    </row>
    <row r="52">
      <c r="A52" s="29" t="s">
        <v>310</v>
      </c>
      <c r="B52" s="30">
        <v>7.06747385E8</v>
      </c>
    </row>
    <row r="53">
      <c r="A53" s="29" t="s">
        <v>286</v>
      </c>
      <c r="B53" s="30">
        <v>8.53202347E8</v>
      </c>
    </row>
    <row r="54">
      <c r="A54" s="29" t="s">
        <v>276</v>
      </c>
      <c r="B54" s="30">
        <v>9.5132977E8</v>
      </c>
    </row>
    <row r="55">
      <c r="A55" s="29" t="s">
        <v>131</v>
      </c>
      <c r="B55" s="30">
        <v>3.93173139E8</v>
      </c>
    </row>
    <row r="56">
      <c r="A56" s="29" t="s">
        <v>157</v>
      </c>
      <c r="B56" s="30">
        <v>2.867627068E9</v>
      </c>
    </row>
    <row r="57">
      <c r="A57" s="29" t="s">
        <v>175</v>
      </c>
      <c r="B57" s="30">
        <v>3.31799687E8</v>
      </c>
    </row>
    <row r="58">
      <c r="A58" s="29" t="s">
        <v>98</v>
      </c>
      <c r="B58" s="30">
        <v>2.61036182E8</v>
      </c>
    </row>
    <row r="59">
      <c r="A59" s="29" t="s">
        <v>87</v>
      </c>
      <c r="B59" s="30">
        <v>3.76187582E8</v>
      </c>
    </row>
    <row r="60">
      <c r="A60" s="29" t="s">
        <v>51</v>
      </c>
      <c r="B60" s="30">
        <v>2.68505432E8</v>
      </c>
    </row>
    <row r="61">
      <c r="A61" s="29" t="s">
        <v>102</v>
      </c>
      <c r="B61" s="30">
        <v>1.59430826E8</v>
      </c>
    </row>
    <row r="62">
      <c r="A62" s="29" t="s">
        <v>31</v>
      </c>
      <c r="B62" s="30">
        <v>2.379877655E9</v>
      </c>
    </row>
    <row r="63">
      <c r="A63" s="29" t="s">
        <v>46</v>
      </c>
      <c r="B63" s="30">
        <v>4.566445852E9</v>
      </c>
    </row>
    <row r="64">
      <c r="A64" s="29" t="s">
        <v>135</v>
      </c>
      <c r="B64" s="30">
        <v>2.75005663E8</v>
      </c>
    </row>
    <row r="65">
      <c r="A65" s="29" t="s">
        <v>43</v>
      </c>
      <c r="B65" s="30">
        <v>8.00010734E8</v>
      </c>
    </row>
    <row r="66">
      <c r="A66" s="29" t="s">
        <v>235</v>
      </c>
      <c r="B66" s="30">
        <v>3.09729428E8</v>
      </c>
    </row>
    <row r="67">
      <c r="A67" s="29" t="s">
        <v>145</v>
      </c>
      <c r="B67" s="30">
        <v>1.275798515E9</v>
      </c>
    </row>
    <row r="68">
      <c r="A68" s="29" t="s">
        <v>165</v>
      </c>
      <c r="B68" s="30">
        <v>1.193047233E9</v>
      </c>
    </row>
    <row r="69">
      <c r="A69" s="29" t="s">
        <v>59</v>
      </c>
      <c r="B69" s="30">
        <v>1.168230366E9</v>
      </c>
    </row>
    <row r="70">
      <c r="A70" s="29" t="s">
        <v>113</v>
      </c>
      <c r="B70" s="30">
        <v>1.218352541E9</v>
      </c>
    </row>
    <row r="71">
      <c r="A71" s="29" t="s">
        <v>186</v>
      </c>
      <c r="B71" s="30">
        <v>3.40001799E8</v>
      </c>
    </row>
    <row r="72">
      <c r="A72" s="29" t="s">
        <v>311</v>
      </c>
      <c r="B72" s="30">
        <v>3.42918449E8</v>
      </c>
    </row>
    <row r="73">
      <c r="A73" s="29" t="s">
        <v>270</v>
      </c>
      <c r="B73" s="30">
        <v>1.4237733E8</v>
      </c>
    </row>
    <row r="74">
      <c r="A74" s="29" t="s">
        <v>77</v>
      </c>
      <c r="B74" s="30">
        <v>6.00865451E8</v>
      </c>
    </row>
    <row r="75">
      <c r="A75" s="29" t="s">
        <v>206</v>
      </c>
      <c r="B75" s="30">
        <v>1.9575113E8</v>
      </c>
    </row>
    <row r="76">
      <c r="A76" s="29" t="s">
        <v>35</v>
      </c>
      <c r="B76" s="30">
        <v>6.83452836E8</v>
      </c>
    </row>
    <row r="77">
      <c r="A77" s="29" t="s">
        <v>312</v>
      </c>
      <c r="B77" s="30">
        <v>2.18568234E8</v>
      </c>
    </row>
    <row r="78">
      <c r="A78" s="29" t="s">
        <v>109</v>
      </c>
      <c r="B78" s="30">
        <v>4.23091712E8</v>
      </c>
    </row>
    <row r="79">
      <c r="A79" s="29" t="s">
        <v>125</v>
      </c>
      <c r="B79" s="30">
        <v>8.07896814E8</v>
      </c>
    </row>
    <row r="80">
      <c r="A80" s="29" t="s">
        <v>190</v>
      </c>
      <c r="B80" s="30">
        <v>5.14122351E8</v>
      </c>
    </row>
    <row r="81">
      <c r="A81" s="29" t="s">
        <v>218</v>
      </c>
      <c r="B81" s="30">
        <v>3.95801044E8</v>
      </c>
    </row>
    <row r="82">
      <c r="A82" s="29" t="s">
        <v>84</v>
      </c>
      <c r="B82" s="30">
        <v>1.086411192E9</v>
      </c>
    </row>
    <row r="83">
      <c r="A83" s="29" t="s">
        <v>23</v>
      </c>
      <c r="B83" s="30">
        <v>5.15117391E8</v>
      </c>
    </row>
    <row r="84">
      <c r="A84" s="29" t="s">
        <v>48</v>
      </c>
      <c r="B84" s="30">
        <v>4.196924316E9</v>
      </c>
    </row>
    <row r="85">
      <c r="A85" s="29" t="s">
        <v>171</v>
      </c>
      <c r="B85" s="30">
        <v>4.2138333E8</v>
      </c>
    </row>
    <row r="86">
      <c r="A86" s="29" t="s">
        <v>224</v>
      </c>
      <c r="B86" s="30">
        <v>1.114412532E9</v>
      </c>
    </row>
    <row r="87">
      <c r="A87" s="29" t="s">
        <v>202</v>
      </c>
      <c r="B87" s="30">
        <v>1.481593024E9</v>
      </c>
    </row>
    <row r="88">
      <c r="A88" s="29" t="s">
        <v>80</v>
      </c>
      <c r="B88" s="30">
        <v>2.89347914E8</v>
      </c>
    </row>
    <row r="89">
      <c r="A89" s="29" t="s">
        <v>313</v>
      </c>
      <c r="B89" s="30">
        <v>9.6372098181E10</v>
      </c>
    </row>
    <row r="90">
      <c r="A90" s="29" t="s">
        <v>314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315</v>
      </c>
      <c r="B1" s="33" t="s">
        <v>316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157</v>
      </c>
      <c r="B2" s="35" t="s">
        <v>159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273</v>
      </c>
      <c r="B3" s="36" t="s">
        <v>272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46</v>
      </c>
      <c r="B4" s="35" t="s">
        <v>33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263</v>
      </c>
      <c r="B5" s="36" t="s">
        <v>262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23</v>
      </c>
      <c r="B6" s="35" t="s">
        <v>25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290</v>
      </c>
      <c r="B7" s="36" t="s">
        <v>288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117</v>
      </c>
      <c r="B8" s="35" t="s">
        <v>119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48</v>
      </c>
      <c r="B9" s="36" t="s">
        <v>50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308</v>
      </c>
      <c r="B10" s="35" t="s">
        <v>292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95</v>
      </c>
      <c r="B11" s="36" t="s">
        <v>97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67</v>
      </c>
      <c r="B12" s="35" t="s">
        <v>69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215</v>
      </c>
      <c r="B13" s="36" t="s">
        <v>217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138</v>
      </c>
      <c r="B14" s="35" t="s">
        <v>140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55</v>
      </c>
      <c r="B15" s="36" t="s">
        <v>57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235</v>
      </c>
      <c r="B16" s="35" t="s">
        <v>233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87</v>
      </c>
      <c r="B17" s="36" t="s">
        <v>89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257</v>
      </c>
      <c r="B18" s="35" t="s">
        <v>255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276</v>
      </c>
      <c r="B19" s="36" t="s">
        <v>275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74</v>
      </c>
      <c r="B20" s="35" t="s">
        <v>76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286</v>
      </c>
      <c r="B21" s="36" t="s">
        <v>284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317</v>
      </c>
      <c r="B22" s="35" t="s">
        <v>318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319</v>
      </c>
      <c r="B23" s="36" t="s">
        <v>320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31</v>
      </c>
      <c r="B24" s="35" t="s">
        <v>33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131</v>
      </c>
      <c r="B25" s="36" t="s">
        <v>133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168</v>
      </c>
      <c r="B26" s="35" t="s">
        <v>170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321</v>
      </c>
      <c r="B27" s="36" t="s">
        <v>322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243</v>
      </c>
      <c r="B28" s="35" t="s">
        <v>242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142</v>
      </c>
      <c r="B29" s="36" t="s">
        <v>144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323</v>
      </c>
      <c r="B30" s="35" t="s">
        <v>324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113</v>
      </c>
      <c r="B31" s="36" t="s">
        <v>115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43</v>
      </c>
      <c r="B32" s="35" t="s">
        <v>45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325</v>
      </c>
      <c r="B33" s="36" t="s">
        <v>170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106</v>
      </c>
      <c r="B34" s="35" t="s">
        <v>108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178</v>
      </c>
      <c r="B35" s="36" t="s">
        <v>180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326</v>
      </c>
      <c r="B36" s="35" t="s">
        <v>327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328</v>
      </c>
      <c r="B37" s="36" t="s">
        <v>329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330</v>
      </c>
      <c r="B38" s="35" t="s">
        <v>331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77</v>
      </c>
      <c r="B39" s="36" t="s">
        <v>79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98</v>
      </c>
      <c r="B40" s="35" t="s">
        <v>100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260</v>
      </c>
      <c r="B41" s="36" t="s">
        <v>259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193</v>
      </c>
      <c r="B42" s="35" t="s">
        <v>195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332</v>
      </c>
      <c r="B43" s="36" t="s">
        <v>333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165</v>
      </c>
      <c r="B44" s="35" t="s">
        <v>167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102</v>
      </c>
      <c r="B45" s="36" t="s">
        <v>104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171</v>
      </c>
      <c r="B46" s="35" t="s">
        <v>173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162</v>
      </c>
      <c r="B47" s="36" t="s">
        <v>164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334</v>
      </c>
      <c r="B48" s="35" t="s">
        <v>335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27</v>
      </c>
      <c r="B49" s="36" t="s">
        <v>29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336</v>
      </c>
      <c r="B50" s="35" t="s">
        <v>337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338</v>
      </c>
      <c r="B51" s="36" t="s">
        <v>339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249</v>
      </c>
      <c r="B52" s="35" t="s">
        <v>248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340</v>
      </c>
      <c r="B53" s="36" t="s">
        <v>341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342</v>
      </c>
      <c r="B54" s="35" t="s">
        <v>329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175</v>
      </c>
      <c r="B55" s="36" t="s">
        <v>177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343</v>
      </c>
      <c r="B56" s="35" t="s">
        <v>344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145</v>
      </c>
      <c r="B57" s="36" t="s">
        <v>147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202</v>
      </c>
      <c r="B58" s="35" t="s">
        <v>204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84</v>
      </c>
      <c r="B59" s="36" t="s">
        <v>86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51</v>
      </c>
      <c r="B60" s="35" t="s">
        <v>53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148</v>
      </c>
      <c r="B61" s="36" t="s">
        <v>150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125</v>
      </c>
      <c r="B62" s="35" t="s">
        <v>127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345</v>
      </c>
      <c r="B63" s="36" t="s">
        <v>346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279</v>
      </c>
      <c r="B64" s="35" t="s">
        <v>278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91</v>
      </c>
      <c r="B65" s="36" t="s">
        <v>93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347</v>
      </c>
      <c r="B66" s="35" t="s">
        <v>348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267</v>
      </c>
      <c r="B67" s="36" t="s">
        <v>265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349</v>
      </c>
      <c r="B68" s="35" t="s">
        <v>350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160</v>
      </c>
      <c r="B69" s="36" t="s">
        <v>97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80</v>
      </c>
      <c r="B70" s="35" t="s">
        <v>82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351</v>
      </c>
      <c r="B71" s="36" t="s">
        <v>352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282</v>
      </c>
      <c r="B72" s="35" t="s">
        <v>281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35</v>
      </c>
      <c r="B73" s="36" t="s">
        <v>37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353</v>
      </c>
      <c r="B74" s="35" t="s">
        <v>354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128</v>
      </c>
      <c r="B75" s="36" t="s">
        <v>130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355</v>
      </c>
      <c r="B76" s="35" t="s">
        <v>356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182</v>
      </c>
      <c r="B77" s="36" t="s">
        <v>184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357</v>
      </c>
      <c r="B78" s="35" t="s">
        <v>358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359</v>
      </c>
      <c r="B79" s="36" t="s">
        <v>360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361</v>
      </c>
      <c r="B80" s="37" t="s">
        <v>362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363</v>
      </c>
      <c r="B81" s="36" t="s">
        <v>364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121</v>
      </c>
      <c r="B82" s="35" t="s">
        <v>123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71</v>
      </c>
      <c r="B83" s="36" t="s">
        <v>73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253</v>
      </c>
      <c r="B84" s="35" t="s">
        <v>251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231</v>
      </c>
      <c r="B85" s="36" t="s">
        <v>198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59</v>
      </c>
      <c r="B86" s="35" t="s">
        <v>61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270</v>
      </c>
      <c r="B87" s="36" t="s">
        <v>269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365</v>
      </c>
      <c r="B88" s="35" t="s">
        <v>366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367</v>
      </c>
      <c r="B89" s="36" t="s">
        <v>368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224</v>
      </c>
      <c r="B90" s="35" t="s">
        <v>226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369</v>
      </c>
      <c r="B91" s="36" t="s">
        <v>370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199</v>
      </c>
      <c r="B92" s="35" t="s">
        <v>201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135</v>
      </c>
      <c r="B93" s="36" t="s">
        <v>137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371</v>
      </c>
      <c r="B94" s="35" t="s">
        <v>372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212</v>
      </c>
      <c r="B95" s="36" t="s">
        <v>214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151</v>
      </c>
      <c r="B96" s="35" t="s">
        <v>153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63</v>
      </c>
      <c r="B97" s="36" t="s">
        <v>65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373</v>
      </c>
      <c r="B98" s="35" t="s">
        <v>374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241</v>
      </c>
      <c r="B99" s="36" t="s">
        <v>240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375</v>
      </c>
      <c r="B100" s="35" t="s">
        <v>376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377</v>
      </c>
      <c r="B101" s="36" t="s">
        <v>378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39</v>
      </c>
      <c r="B102" s="35" t="s">
        <v>41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379</v>
      </c>
      <c r="B103" s="36" t="s">
        <v>380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381</v>
      </c>
      <c r="B104" s="35" t="s">
        <v>25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227</v>
      </c>
      <c r="B105" s="36" t="s">
        <v>229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382</v>
      </c>
      <c r="B106" s="35" t="s">
        <v>383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384</v>
      </c>
      <c r="B107" s="36" t="s">
        <v>385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154</v>
      </c>
      <c r="B108" s="35" t="s">
        <v>156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186</v>
      </c>
      <c r="B109" s="36" t="s">
        <v>188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386</v>
      </c>
      <c r="B110" s="35" t="s">
        <v>387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246</v>
      </c>
      <c r="B111" s="36" t="s">
        <v>245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206</v>
      </c>
      <c r="B112" s="35" t="s">
        <v>208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388</v>
      </c>
      <c r="B113" s="36" t="s">
        <v>389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390</v>
      </c>
      <c r="B114" s="35" t="s">
        <v>391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210</v>
      </c>
      <c r="B115" s="36" t="s">
        <v>210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238</v>
      </c>
      <c r="B116" s="35" t="s">
        <v>237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190</v>
      </c>
      <c r="B117" s="36" t="s">
        <v>192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392</v>
      </c>
      <c r="B118" s="35" t="s">
        <v>393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394</v>
      </c>
      <c r="B119" s="36" t="s">
        <v>395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396</v>
      </c>
      <c r="B120" s="35" t="s">
        <v>397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109</v>
      </c>
      <c r="B121" s="36" t="s">
        <v>111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398</v>
      </c>
      <c r="B122" s="35" t="s">
        <v>399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400</v>
      </c>
      <c r="B123" s="36" t="s">
        <v>401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402</v>
      </c>
      <c r="B124" s="35" t="s">
        <v>403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404</v>
      </c>
      <c r="B125" s="36" t="s">
        <v>405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406</v>
      </c>
      <c r="B126" s="35" t="s">
        <v>407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408</v>
      </c>
      <c r="B127" s="36" t="s">
        <v>409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410</v>
      </c>
      <c r="B128" s="35" t="s">
        <v>411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412</v>
      </c>
      <c r="B129" s="36" t="s">
        <v>413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218</v>
      </c>
      <c r="B130" s="35" t="s">
        <v>220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221</v>
      </c>
      <c r="B131" s="36" t="s">
        <v>223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414</v>
      </c>
      <c r="B132" s="35" t="s">
        <v>415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416</v>
      </c>
      <c r="B133" s="36" t="s">
        <v>417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418</v>
      </c>
      <c r="B134" s="35" t="s">
        <v>419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420</v>
      </c>
      <c r="B135" s="36" t="s">
        <v>421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422</v>
      </c>
      <c r="B136" s="35" t="s">
        <v>423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424</v>
      </c>
      <c r="B137" s="36" t="s">
        <v>425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426</v>
      </c>
      <c r="B138" s="35" t="s">
        <v>427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428</v>
      </c>
      <c r="B139" s="36" t="s">
        <v>429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430</v>
      </c>
      <c r="B140" s="35" t="s">
        <v>431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432</v>
      </c>
      <c r="B141" s="36" t="s">
        <v>433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434</v>
      </c>
      <c r="B142" s="35" t="s">
        <v>435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436</v>
      </c>
      <c r="B143" s="36" t="s">
        <v>437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438</v>
      </c>
      <c r="B144" s="35" t="s">
        <v>439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440</v>
      </c>
      <c r="B145" s="36" t="s">
        <v>440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441</v>
      </c>
      <c r="B146" s="35" t="s">
        <v>442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443</v>
      </c>
      <c r="B147" s="36" t="s">
        <v>444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445</v>
      </c>
      <c r="B148" s="35" t="s">
        <v>446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447</v>
      </c>
      <c r="B149" s="36" t="s">
        <v>57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448</v>
      </c>
      <c r="B150" s="35" t="s">
        <v>449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450</v>
      </c>
      <c r="B151" s="36" t="s">
        <v>451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452</v>
      </c>
      <c r="B152" s="35" t="s">
        <v>453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454</v>
      </c>
      <c r="B153" s="36" t="s">
        <v>455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456</v>
      </c>
      <c r="B154" s="35" t="s">
        <v>457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458</v>
      </c>
      <c r="B155" s="36" t="s">
        <v>459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460</v>
      </c>
      <c r="B156" s="35" t="s">
        <v>461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462</v>
      </c>
      <c r="B157" s="36" t="s">
        <v>463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464</v>
      </c>
      <c r="B158" s="35" t="s">
        <v>465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466</v>
      </c>
      <c r="B159" s="36" t="s">
        <v>467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468</v>
      </c>
      <c r="B160" s="35" t="s">
        <v>469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470</v>
      </c>
      <c r="B161" s="36" t="s">
        <v>471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472</v>
      </c>
      <c r="B162" s="35" t="s">
        <v>473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474</v>
      </c>
      <c r="B163" s="36" t="s">
        <v>475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476</v>
      </c>
      <c r="B164" s="35" t="s">
        <v>477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478</v>
      </c>
      <c r="B165" s="36" t="s">
        <v>479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480</v>
      </c>
      <c r="B166" s="35" t="s">
        <v>481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482</v>
      </c>
      <c r="B167" s="36" t="s">
        <v>483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484</v>
      </c>
      <c r="B168" s="35" t="s">
        <v>485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486</v>
      </c>
      <c r="B169" s="36" t="s">
        <v>487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488</v>
      </c>
      <c r="B170" s="35" t="s">
        <v>489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490</v>
      </c>
      <c r="B171" s="36" t="s">
        <v>491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492</v>
      </c>
      <c r="B172" s="35" t="s">
        <v>195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196</v>
      </c>
      <c r="B173" s="36" t="s">
        <v>198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493</v>
      </c>
      <c r="B174" s="35" t="s">
        <v>494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495</v>
      </c>
      <c r="B175" s="36" t="s">
        <v>496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497</v>
      </c>
      <c r="B176" s="35" t="s">
        <v>498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499</v>
      </c>
      <c r="B177" s="36" t="s">
        <v>500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501</v>
      </c>
      <c r="B178" s="35" t="s">
        <v>502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503</v>
      </c>
      <c r="B179" s="36" t="s">
        <v>504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505</v>
      </c>
      <c r="B180" s="35" t="s">
        <v>387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506</v>
      </c>
      <c r="B181" s="36" t="s">
        <v>507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508</v>
      </c>
      <c r="B182" s="35" t="s">
        <v>509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510</v>
      </c>
      <c r="B183" s="36" t="s">
        <v>511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512</v>
      </c>
      <c r="B184" s="35" t="s">
        <v>513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514</v>
      </c>
      <c r="B185" s="36" t="s">
        <v>515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516</v>
      </c>
      <c r="B186" s="35" t="s">
        <v>517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518</v>
      </c>
      <c r="B187" s="36" t="s">
        <v>519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520</v>
      </c>
      <c r="B188" s="35" t="s">
        <v>521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522</v>
      </c>
      <c r="B189" s="36" t="s">
        <v>523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524</v>
      </c>
      <c r="B190" s="35" t="s">
        <v>525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526</v>
      </c>
      <c r="B191" s="36" t="s">
        <v>405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527</v>
      </c>
      <c r="B192" s="35" t="s">
        <v>437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528</v>
      </c>
      <c r="B193" s="36" t="s">
        <v>529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530</v>
      </c>
      <c r="B194" s="35" t="s">
        <v>531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532</v>
      </c>
      <c r="B195" s="36" t="s">
        <v>533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534</v>
      </c>
      <c r="B196" s="35" t="s">
        <v>535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536</v>
      </c>
      <c r="B197" s="36" t="s">
        <v>537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538</v>
      </c>
      <c r="B198" s="35" t="s">
        <v>539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540</v>
      </c>
      <c r="B199" s="36" t="s">
        <v>541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542</v>
      </c>
      <c r="B200" s="35" t="s">
        <v>543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544</v>
      </c>
      <c r="B201" s="36" t="s">
        <v>545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546</v>
      </c>
      <c r="B202" s="35" t="s">
        <v>547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548</v>
      </c>
      <c r="B203" s="36" t="s">
        <v>549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550</v>
      </c>
      <c r="B204" s="35" t="s">
        <v>551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552</v>
      </c>
      <c r="B205" s="36" t="s">
        <v>553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554</v>
      </c>
      <c r="B206" s="35" t="s">
        <v>555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556</v>
      </c>
      <c r="B207" s="36" t="s">
        <v>557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558</v>
      </c>
      <c r="B208" s="35" t="s">
        <v>318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559</v>
      </c>
      <c r="B209" s="36" t="s">
        <v>560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561</v>
      </c>
      <c r="B210" s="35" t="s">
        <v>562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563</v>
      </c>
      <c r="B211" s="36" t="s">
        <v>564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565</v>
      </c>
      <c r="B212" s="35" t="s">
        <v>566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567</v>
      </c>
      <c r="B213" s="36" t="s">
        <v>568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569</v>
      </c>
      <c r="B214" s="35" t="s">
        <v>570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571</v>
      </c>
      <c r="B215" s="36" t="s">
        <v>335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572</v>
      </c>
      <c r="B216" s="35" t="s">
        <v>573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574</v>
      </c>
      <c r="B217" s="36" t="s">
        <v>575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576</v>
      </c>
      <c r="B218" s="35" t="s">
        <v>577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578</v>
      </c>
      <c r="B219" s="36" t="s">
        <v>140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579</v>
      </c>
      <c r="B220" s="35" t="s">
        <v>580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581</v>
      </c>
      <c r="B221" s="36" t="s">
        <v>582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581</v>
      </c>
      <c r="B222" s="35" t="s">
        <v>583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584</v>
      </c>
      <c r="B223" s="36" t="s">
        <v>585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586</v>
      </c>
      <c r="B224" s="35" t="s">
        <v>587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588</v>
      </c>
      <c r="B225" s="36" t="s">
        <v>589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590</v>
      </c>
      <c r="B226" s="35" t="s">
        <v>591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592</v>
      </c>
      <c r="B227" s="36" t="s">
        <v>593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594</v>
      </c>
      <c r="B228" s="35" t="s">
        <v>595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596</v>
      </c>
      <c r="B229" s="36" t="s">
        <v>597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598</v>
      </c>
      <c r="B230" s="35" t="s">
        <v>595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599</v>
      </c>
      <c r="B231" s="36" t="s">
        <v>600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601</v>
      </c>
      <c r="B232" s="35" t="s">
        <v>602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603</v>
      </c>
      <c r="B233" s="36" t="s">
        <v>604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605</v>
      </c>
      <c r="B234" s="35" t="s">
        <v>606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607</v>
      </c>
      <c r="B235" s="36" t="s">
        <v>568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608</v>
      </c>
      <c r="B236" s="35" t="s">
        <v>609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610</v>
      </c>
      <c r="B237" s="36" t="s">
        <v>611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612</v>
      </c>
      <c r="B238" s="35" t="s">
        <v>164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613</v>
      </c>
      <c r="B239" s="36" t="s">
        <v>614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615</v>
      </c>
      <c r="B240" s="35" t="s">
        <v>585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616</v>
      </c>
      <c r="B241" s="36" t="s">
        <v>617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618</v>
      </c>
      <c r="B242" s="35" t="s">
        <v>619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620</v>
      </c>
      <c r="B243" s="36" t="s">
        <v>621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622</v>
      </c>
      <c r="B244" s="35" t="s">
        <v>150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623</v>
      </c>
      <c r="B245" s="36" t="s">
        <v>624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625</v>
      </c>
      <c r="B246" s="35" t="s">
        <v>539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626</v>
      </c>
      <c r="B247" s="36" t="s">
        <v>627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628</v>
      </c>
      <c r="B248" s="35" t="s">
        <v>629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630</v>
      </c>
      <c r="B249" s="36" t="s">
        <v>631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632</v>
      </c>
      <c r="B250" s="35" t="s">
        <v>633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634</v>
      </c>
      <c r="B251" s="36" t="s">
        <v>635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636</v>
      </c>
      <c r="B252" s="35" t="s">
        <v>391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637</v>
      </c>
      <c r="B253" s="36" t="s">
        <v>638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639</v>
      </c>
      <c r="B254" s="35" t="s">
        <v>640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641</v>
      </c>
      <c r="B255" s="36" t="s">
        <v>642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643</v>
      </c>
      <c r="B256" s="35" t="s">
        <v>130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644</v>
      </c>
      <c r="B257" s="36" t="s">
        <v>65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645</v>
      </c>
      <c r="B258" s="35" t="s">
        <v>646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647</v>
      </c>
      <c r="B259" s="36" t="s">
        <v>648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649</v>
      </c>
      <c r="B260" s="35" t="s">
        <v>640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650</v>
      </c>
      <c r="B261" s="36" t="s">
        <v>651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652</v>
      </c>
      <c r="B262" s="35" t="s">
        <v>653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654</v>
      </c>
      <c r="B263" s="36" t="s">
        <v>655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656</v>
      </c>
      <c r="B264" s="35" t="s">
        <v>657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658</v>
      </c>
      <c r="B265" s="36" t="s">
        <v>659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660</v>
      </c>
      <c r="B266" s="35" t="s">
        <v>661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662</v>
      </c>
      <c r="B267" s="36" t="s">
        <v>663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664</v>
      </c>
      <c r="B268" s="35" t="s">
        <v>564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665</v>
      </c>
      <c r="B269" s="36" t="s">
        <v>666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667</v>
      </c>
      <c r="B270" s="35" t="s">
        <v>666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668</v>
      </c>
      <c r="B271" s="36" t="s">
        <v>669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670</v>
      </c>
      <c r="B272" s="35" t="s">
        <v>671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672</v>
      </c>
      <c r="B273" s="36" t="s">
        <v>673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674</v>
      </c>
      <c r="B274" s="35" t="s">
        <v>675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676</v>
      </c>
      <c r="B275" s="36" t="s">
        <v>677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678</v>
      </c>
      <c r="B276" s="35" t="s">
        <v>679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680</v>
      </c>
      <c r="B277" s="36" t="s">
        <v>681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682</v>
      </c>
      <c r="B278" s="35" t="s">
        <v>683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684</v>
      </c>
      <c r="B279" s="36" t="s">
        <v>681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685</v>
      </c>
      <c r="B280" s="35" t="s">
        <v>545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686</v>
      </c>
      <c r="B281" s="36" t="s">
        <v>687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688</v>
      </c>
      <c r="B282" s="35" t="s">
        <v>681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689</v>
      </c>
      <c r="B283" s="36" t="s">
        <v>690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691</v>
      </c>
      <c r="B284" s="35" t="s">
        <v>423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692</v>
      </c>
      <c r="B285" s="36" t="s">
        <v>693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694</v>
      </c>
      <c r="B286" s="35" t="s">
        <v>655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695</v>
      </c>
      <c r="B287" s="36" t="s">
        <v>631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696</v>
      </c>
      <c r="B288" s="35" t="s">
        <v>697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698</v>
      </c>
      <c r="B289" s="36" t="s">
        <v>699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700</v>
      </c>
      <c r="B290" s="35" t="s">
        <v>701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702</v>
      </c>
      <c r="B291" s="36" t="s">
        <v>703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704</v>
      </c>
      <c r="B292" s="35" t="s">
        <v>705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706</v>
      </c>
      <c r="B293" s="36" t="s">
        <v>707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708</v>
      </c>
      <c r="B294" s="35" t="s">
        <v>709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710</v>
      </c>
      <c r="B295" s="36" t="s">
        <v>711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712</v>
      </c>
      <c r="B296" s="35" t="s">
        <v>713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714</v>
      </c>
      <c r="B297" s="36" t="s">
        <v>715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716</v>
      </c>
      <c r="B298" s="35" t="s">
        <v>717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718</v>
      </c>
      <c r="B299" s="36" t="s">
        <v>719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720</v>
      </c>
      <c r="B300" s="35" t="s">
        <v>721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722</v>
      </c>
      <c r="B301" s="36" t="s">
        <v>723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724</v>
      </c>
      <c r="B302" s="35" t="s">
        <v>725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726</v>
      </c>
      <c r="B303" s="36" t="s">
        <v>220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727</v>
      </c>
      <c r="B304" s="35" t="s">
        <v>728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729</v>
      </c>
      <c r="B305" s="36" t="s">
        <v>730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731</v>
      </c>
      <c r="B306" s="35" t="s">
        <v>732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733</v>
      </c>
      <c r="B307" s="36" t="s">
        <v>734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735</v>
      </c>
      <c r="B308" s="35" t="s">
        <v>736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737</v>
      </c>
      <c r="B309" s="36" t="s">
        <v>453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738</v>
      </c>
      <c r="B310" s="35" t="s">
        <v>739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740</v>
      </c>
      <c r="B311" s="36" t="s">
        <v>697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741</v>
      </c>
      <c r="B312" s="35" t="s">
        <v>742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743</v>
      </c>
      <c r="B313" s="36" t="s">
        <v>703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744</v>
      </c>
      <c r="B314" s="35" t="s">
        <v>646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745</v>
      </c>
      <c r="B315" s="36" t="s">
        <v>746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747</v>
      </c>
      <c r="B316" s="35" t="s">
        <v>748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749</v>
      </c>
      <c r="B317" s="36" t="s">
        <v>750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751</v>
      </c>
      <c r="B318" s="35" t="s">
        <v>752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753</v>
      </c>
      <c r="B319" s="36" t="s">
        <v>754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755</v>
      </c>
      <c r="B320" s="35" t="s">
        <v>756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757</v>
      </c>
      <c r="B321" s="36" t="s">
        <v>690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758</v>
      </c>
      <c r="B322" s="35" t="s">
        <v>759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760</v>
      </c>
      <c r="B323" s="36" t="s">
        <v>761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762</v>
      </c>
      <c r="B324" s="35" t="s">
        <v>763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764</v>
      </c>
      <c r="B325" s="36" t="s">
        <v>765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766</v>
      </c>
      <c r="B326" s="35" t="s">
        <v>711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767</v>
      </c>
      <c r="B327" s="36" t="s">
        <v>469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768</v>
      </c>
      <c r="B328" s="35" t="s">
        <v>769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770</v>
      </c>
      <c r="B329" s="36" t="s">
        <v>671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771</v>
      </c>
      <c r="B330" s="35" t="s">
        <v>772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773</v>
      </c>
      <c r="B331" s="36" t="s">
        <v>774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775</v>
      </c>
      <c r="B332" s="35" t="s">
        <v>776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777</v>
      </c>
      <c r="B333" s="36" t="s">
        <v>778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779</v>
      </c>
      <c r="B334" s="35" t="s">
        <v>780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781</v>
      </c>
      <c r="B335" s="36" t="s">
        <v>673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782</v>
      </c>
      <c r="B336" s="35" t="s">
        <v>783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784</v>
      </c>
      <c r="B337" s="36" t="s">
        <v>699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785</v>
      </c>
      <c r="B338" s="35" t="s">
        <v>786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787</v>
      </c>
      <c r="B339" s="36" t="s">
        <v>788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789</v>
      </c>
      <c r="B340" s="35" t="s">
        <v>790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791</v>
      </c>
      <c r="B341" s="36" t="s">
        <v>759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792</v>
      </c>
      <c r="B342" s="35" t="s">
        <v>627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793</v>
      </c>
      <c r="B343" s="36" t="s">
        <v>730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794</v>
      </c>
      <c r="B344" s="35" t="s">
        <v>786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795</v>
      </c>
      <c r="B345" s="36" t="s">
        <v>796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797</v>
      </c>
      <c r="B346" s="35" t="s">
        <v>798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799</v>
      </c>
      <c r="B347" s="36" t="s">
        <v>800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801</v>
      </c>
      <c r="B348" s="35" t="s">
        <v>675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802</v>
      </c>
      <c r="B349" s="36" t="s">
        <v>746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803</v>
      </c>
      <c r="B350" s="35" t="s">
        <v>780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804</v>
      </c>
      <c r="B351" s="36" t="s">
        <v>805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806</v>
      </c>
      <c r="B352" s="35" t="s">
        <v>807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808</v>
      </c>
      <c r="B353" s="36" t="s">
        <v>170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809</v>
      </c>
      <c r="B354" s="35" t="s">
        <v>772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810</v>
      </c>
      <c r="B355" s="36" t="s">
        <v>604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811</v>
      </c>
      <c r="B356" s="35" t="s">
        <v>577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812</v>
      </c>
      <c r="B357" s="36" t="s">
        <v>245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813</v>
      </c>
      <c r="B358" s="35" t="s">
        <v>814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815</v>
      </c>
      <c r="B359" s="36" t="s">
        <v>816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817</v>
      </c>
      <c r="B360" s="35" t="s">
        <v>818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819</v>
      </c>
      <c r="B361" s="36" t="s">
        <v>820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821</v>
      </c>
      <c r="B362" s="35" t="s">
        <v>765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822</v>
      </c>
      <c r="B363" s="36" t="s">
        <v>732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823</v>
      </c>
      <c r="B364" s="35" t="s">
        <v>715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824</v>
      </c>
      <c r="B365" s="36" t="s">
        <v>825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826</v>
      </c>
      <c r="B366" s="35" t="s">
        <v>800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827</v>
      </c>
      <c r="B367" s="36" t="s">
        <v>828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829</v>
      </c>
      <c r="B368" s="35" t="s">
        <v>830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831</v>
      </c>
      <c r="B369" s="36" t="s">
        <v>832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833</v>
      </c>
      <c r="B370" s="35" t="s">
        <v>834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835</v>
      </c>
      <c r="B371" s="36" t="s">
        <v>828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836</v>
      </c>
      <c r="B372" s="35" t="s">
        <v>837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838</v>
      </c>
      <c r="B373" s="36" t="s">
        <v>736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839</v>
      </c>
      <c r="B374" s="35" t="s">
        <v>840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841</v>
      </c>
      <c r="B375" s="36" t="s">
        <v>842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843</v>
      </c>
      <c r="B376" s="35" t="s">
        <v>844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845</v>
      </c>
      <c r="B377" s="36" t="s">
        <v>842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846</v>
      </c>
      <c r="B378" s="35" t="s">
        <v>847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848</v>
      </c>
      <c r="B379" s="36" t="s">
        <v>564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849</v>
      </c>
      <c r="B380" s="35" t="s">
        <v>739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850</v>
      </c>
      <c r="B381" s="36" t="s">
        <v>851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852</v>
      </c>
      <c r="B382" s="35" t="s">
        <v>853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854</v>
      </c>
      <c r="B383" s="36" t="s">
        <v>800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855</v>
      </c>
      <c r="B384" s="35" t="s">
        <v>583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855</v>
      </c>
      <c r="B385" s="36" t="s">
        <v>582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856</v>
      </c>
      <c r="B386" s="35" t="s">
        <v>857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858</v>
      </c>
      <c r="B387" s="36" t="s">
        <v>807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859</v>
      </c>
      <c r="B388" s="35" t="s">
        <v>715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860</v>
      </c>
      <c r="B389" s="36" t="s">
        <v>861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862</v>
      </c>
      <c r="B390" s="35" t="s">
        <v>863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864</v>
      </c>
      <c r="B391" s="36" t="s">
        <v>713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865</v>
      </c>
      <c r="B392" s="35" t="s">
        <v>834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866</v>
      </c>
      <c r="B393" s="36" t="s">
        <v>713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867</v>
      </c>
      <c r="B394" s="35" t="s">
        <v>868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869</v>
      </c>
      <c r="B395" s="36" t="s">
        <v>796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870</v>
      </c>
      <c r="B396" s="35" t="s">
        <v>871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872</v>
      </c>
      <c r="B397" s="36" t="s">
        <v>873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874</v>
      </c>
      <c r="B398" s="35" t="s">
        <v>834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875</v>
      </c>
      <c r="B399" s="36" t="s">
        <v>863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876</v>
      </c>
      <c r="B400" s="35" t="s">
        <v>713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877</v>
      </c>
      <c r="B401" s="36" t="s">
        <v>844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878</v>
      </c>
      <c r="B402" s="35" t="s">
        <v>879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880</v>
      </c>
      <c r="B403" s="36" t="s">
        <v>769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881</v>
      </c>
      <c r="B404" s="35" t="s">
        <v>857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882</v>
      </c>
      <c r="B405" s="36" t="s">
        <v>883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884</v>
      </c>
      <c r="B406" s="35" t="s">
        <v>885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886</v>
      </c>
      <c r="B407" s="36" t="s">
        <v>198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887</v>
      </c>
      <c r="B408" s="35" t="s">
        <v>800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888</v>
      </c>
      <c r="B409" s="36" t="s">
        <v>883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889</v>
      </c>
      <c r="B410" s="35" t="s">
        <v>883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890</v>
      </c>
      <c r="B411" s="36" t="s">
        <v>65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891</v>
      </c>
      <c r="B412" s="35" t="s">
        <v>25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892</v>
      </c>
      <c r="B413" s="36" t="s">
        <v>893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894</v>
      </c>
      <c r="B414" s="35" t="s">
        <v>895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896</v>
      </c>
      <c r="B415" s="36" t="s">
        <v>763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897</v>
      </c>
      <c r="B416" s="35" t="s">
        <v>725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898</v>
      </c>
      <c r="B417" s="36" t="s">
        <v>776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899</v>
      </c>
      <c r="B418" s="35" t="s">
        <v>895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900</v>
      </c>
      <c r="B419" s="36" t="s">
        <v>901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902</v>
      </c>
      <c r="B420" s="35" t="s">
        <v>423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903</v>
      </c>
      <c r="B421" s="36" t="s">
        <v>885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904</v>
      </c>
      <c r="B422" s="35" t="s">
        <v>800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905</v>
      </c>
      <c r="B423" s="36" t="s">
        <v>906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907</v>
      </c>
      <c r="B424" s="35" t="s">
        <v>908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909</v>
      </c>
      <c r="B425" s="36" t="s">
        <v>908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910</v>
      </c>
      <c r="B426" s="35" t="s">
        <v>861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911</v>
      </c>
      <c r="B427" s="36" t="s">
        <v>699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912</v>
      </c>
      <c r="B428" s="35" t="s">
        <v>913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914</v>
      </c>
      <c r="B429" s="36" t="s">
        <v>915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916</v>
      </c>
      <c r="B430" s="35" t="s">
        <v>800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917</v>
      </c>
      <c r="B431" s="36" t="s">
        <v>918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919</v>
      </c>
      <c r="B432" s="35" t="s">
        <v>920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921</v>
      </c>
      <c r="B433" s="36" t="s">
        <v>800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922</v>
      </c>
      <c r="B434" s="35" t="s">
        <v>923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924</v>
      </c>
      <c r="B435" s="36" t="s">
        <v>925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926</v>
      </c>
      <c r="B436" s="35" t="s">
        <v>750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927</v>
      </c>
      <c r="B437" s="36" t="s">
        <v>928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929</v>
      </c>
      <c r="B438" s="35" t="s">
        <v>928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930</v>
      </c>
      <c r="B439" s="36" t="s">
        <v>861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931</v>
      </c>
      <c r="B440" s="35" t="s">
        <v>931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932</v>
      </c>
      <c r="B441" s="36" t="s">
        <v>873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933</v>
      </c>
      <c r="B442" s="35" t="s">
        <v>778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934</v>
      </c>
      <c r="B443" s="36" t="s">
        <v>935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936</v>
      </c>
      <c r="B444" s="35" t="s">
        <v>937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938</v>
      </c>
      <c r="B445" s="36" t="s">
        <v>707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939</v>
      </c>
      <c r="B446" s="35" t="s">
        <v>837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940</v>
      </c>
      <c r="B447" s="36" t="s">
        <v>941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942</v>
      </c>
      <c r="B448" s="35" t="s">
        <v>693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943</v>
      </c>
      <c r="B449" s="36" t="s">
        <v>944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945</v>
      </c>
      <c r="B450" s="35" t="s">
        <v>945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946</v>
      </c>
      <c r="B451" s="36" t="s">
        <v>947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948</v>
      </c>
      <c r="B452" s="35" t="s">
        <v>949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950</v>
      </c>
      <c r="B453" s="36" t="s">
        <v>951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952</v>
      </c>
      <c r="B454" s="35" t="s">
        <v>953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954</v>
      </c>
      <c r="B455" s="36" t="s">
        <v>955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956</v>
      </c>
      <c r="B456" s="35" t="s">
        <v>956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957</v>
      </c>
      <c r="B457" s="36" t="s">
        <v>957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958</v>
      </c>
      <c r="B458" s="35" t="s">
        <v>949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959</v>
      </c>
      <c r="B459" s="36" t="s">
        <v>960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961</v>
      </c>
      <c r="B460" s="35" t="s">
        <v>962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963</v>
      </c>
      <c r="B461" s="36" t="s">
        <v>964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965</v>
      </c>
      <c r="B462" s="35" t="s">
        <v>964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966</v>
      </c>
      <c r="B463" s="36" t="s">
        <v>967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968</v>
      </c>
      <c r="B464" s="35" t="s">
        <v>967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969</v>
      </c>
      <c r="B465" s="36" t="s">
        <v>970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971</v>
      </c>
      <c r="B466" s="35" t="s">
        <v>972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973</v>
      </c>
      <c r="B467" s="36" t="s">
        <v>972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974</v>
      </c>
      <c r="B468" s="35" t="s">
        <v>970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975</v>
      </c>
      <c r="B469" s="36" t="s">
        <v>975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976</v>
      </c>
      <c r="B470" s="35" t="s">
        <v>977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978</v>
      </c>
      <c r="B471" s="36" t="s">
        <v>979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980</v>
      </c>
      <c r="B472" s="35" t="s">
        <v>979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981</v>
      </c>
      <c r="B473" s="36" t="s">
        <v>941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982</v>
      </c>
      <c r="B474" s="35" t="s">
        <v>982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983</v>
      </c>
      <c r="B475" s="36" t="s">
        <v>521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984</v>
      </c>
      <c r="B476" s="35" t="s">
        <v>985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986</v>
      </c>
      <c r="B477" s="36" t="s">
        <v>986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987</v>
      </c>
      <c r="B478" s="35" t="s">
        <v>805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988</v>
      </c>
      <c r="B479" s="36" t="s">
        <v>816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989</v>
      </c>
      <c r="B480" s="35" t="s">
        <v>990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991</v>
      </c>
      <c r="B481" s="36" t="s">
        <v>992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993</v>
      </c>
      <c r="B482" s="35" t="s">
        <v>992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994</v>
      </c>
      <c r="B483" s="36" t="s">
        <v>995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996</v>
      </c>
      <c r="B484" s="35" t="s">
        <v>995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997</v>
      </c>
      <c r="B485" s="36" t="s">
        <v>997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998</v>
      </c>
      <c r="B486" s="35" t="s">
        <v>895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999</v>
      </c>
      <c r="B487" s="36" t="s">
        <v>1000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1001</v>
      </c>
      <c r="B488" s="35" t="s">
        <v>1000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1002</v>
      </c>
      <c r="B489" s="36" t="s">
        <v>1000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1003</v>
      </c>
      <c r="B490" s="35" t="s">
        <v>1004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1005</v>
      </c>
      <c r="B491" s="36" t="s">
        <v>1006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1007</v>
      </c>
      <c r="B492" s="35" t="s">
        <v>1008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1009</v>
      </c>
      <c r="B493" s="36" t="s">
        <v>1004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1010</v>
      </c>
      <c r="B494" s="35" t="s">
        <v>1011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1012</v>
      </c>
      <c r="B495" s="36" t="s">
        <v>1013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1014</v>
      </c>
      <c r="B496" s="35" t="s">
        <v>1013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1015</v>
      </c>
      <c r="B497" s="36" t="s">
        <v>1016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1017</v>
      </c>
      <c r="B498" s="35" t="s">
        <v>1017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1018</v>
      </c>
      <c r="B499" s="36" t="s">
        <v>1018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1019</v>
      </c>
      <c r="B500" s="35" t="s">
        <v>1019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1020</v>
      </c>
      <c r="B501" s="36" t="s">
        <v>1020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1021</v>
      </c>
      <c r="B502" s="35" t="s">
        <v>1021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1022</v>
      </c>
      <c r="B503" s="36" t="s">
        <v>1023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1024</v>
      </c>
      <c r="B504" s="35" t="s">
        <v>1024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1025</v>
      </c>
      <c r="B505" s="36" t="s">
        <v>1025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1026</v>
      </c>
      <c r="B506" s="35" t="s">
        <v>1026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1027</v>
      </c>
      <c r="B507" s="36" t="s">
        <v>519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1028</v>
      </c>
      <c r="B508" s="35" t="s">
        <v>624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1029</v>
      </c>
      <c r="B509" s="36" t="s">
        <v>1029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1030</v>
      </c>
      <c r="B510" s="35" t="s">
        <v>1031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1032</v>
      </c>
      <c r="B511" s="36" t="s">
        <v>1032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1033</v>
      </c>
      <c r="B512" s="35" t="s">
        <v>1033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1034</v>
      </c>
      <c r="B513" s="36" t="s">
        <v>1034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1035</v>
      </c>
      <c r="B514" s="35" t="s">
        <v>1036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1037</v>
      </c>
      <c r="B515" s="36" t="s">
        <v>1038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1039</v>
      </c>
      <c r="B516" s="35" t="s">
        <v>1040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1041</v>
      </c>
      <c r="B517" s="36" t="s">
        <v>1041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1042</v>
      </c>
      <c r="B518" s="35" t="s">
        <v>1043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1044</v>
      </c>
      <c r="B519" s="36" t="s">
        <v>1043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1045</v>
      </c>
      <c r="B520" s="35" t="s">
        <v>1046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1047</v>
      </c>
      <c r="B521" s="36" t="s">
        <v>970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1048</v>
      </c>
      <c r="B522" s="35" t="s">
        <v>879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1049</v>
      </c>
      <c r="B523" s="36" t="s">
        <v>640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1050</v>
      </c>
      <c r="B524" s="35" t="s">
        <v>955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1051</v>
      </c>
      <c r="B525" s="36" t="s">
        <v>748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1052</v>
      </c>
      <c r="B526" s="35" t="s">
        <v>1053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1054</v>
      </c>
      <c r="B527" s="36" t="s">
        <v>1055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1056</v>
      </c>
      <c r="B528" s="35" t="s">
        <v>1057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1058</v>
      </c>
      <c r="B529" s="36" t="s">
        <v>977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1059</v>
      </c>
      <c r="B530" s="35" t="s">
        <v>985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1060</v>
      </c>
      <c r="B531" s="36" t="s">
        <v>868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1061</v>
      </c>
      <c r="B532" s="35" t="s">
        <v>830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1062</v>
      </c>
      <c r="B533" s="36" t="s">
        <v>707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1063</v>
      </c>
      <c r="B534" s="35" t="s">
        <v>798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1064</v>
      </c>
      <c r="B535" s="36" t="s">
        <v>631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1065</v>
      </c>
      <c r="B536" s="35" t="s">
        <v>1066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