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a\Downloads\"/>
    </mc:Choice>
  </mc:AlternateContent>
  <xr:revisionPtr revIDLastSave="0" documentId="13_ncr:1_{37E503F3-25F5-4FA2-BC63-28C176E5DB71}" xr6:coauthVersionLast="47" xr6:coauthVersionMax="47" xr10:uidLastSave="{00000000-0000-0000-0000-000000000000}"/>
  <bookViews>
    <workbookView xWindow="16560" yWindow="2940" windowWidth="15375" windowHeight="7875" xr2:uid="{D5450B27-BCE8-48ED-9F90-73F8C5299083}"/>
  </bookViews>
  <sheets>
    <sheet name="RESUMEN" sheetId="4" r:id="rId1"/>
    <sheet name="Spread-CDS 1Y" sheetId="8" r:id="rId2"/>
    <sheet name="Spread-CDS 5Y" sheetId="1" r:id="rId3"/>
    <sheet name="TIIE" sheetId="2" r:id="rId4"/>
    <sheet name="Probabilidades" sheetId="3" r:id="rId5"/>
    <sheet name="AS-Spread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8" l="1"/>
  <c r="K5" i="9"/>
  <c r="H6" i="9"/>
  <c r="H7" i="9"/>
  <c r="H8" i="9"/>
  <c r="H9" i="9"/>
  <c r="H10" i="9"/>
  <c r="H11" i="9"/>
  <c r="H12" i="9"/>
  <c r="H13" i="9"/>
  <c r="H5" i="9"/>
  <c r="G9" i="9"/>
  <c r="G11" i="9"/>
  <c r="C13" i="9"/>
  <c r="J5" i="9" s="1"/>
  <c r="C4" i="9"/>
  <c r="G4" i="9" s="1"/>
  <c r="D4" i="9"/>
  <c r="D12" i="9"/>
  <c r="D13" i="9" s="1"/>
  <c r="C12" i="9"/>
  <c r="G12" i="9" s="1"/>
  <c r="D9" i="9"/>
  <c r="I9" i="9" s="1"/>
  <c r="D10" i="9"/>
  <c r="I10" i="9" s="1"/>
  <c r="D11" i="9"/>
  <c r="I11" i="9" s="1"/>
  <c r="C9" i="9"/>
  <c r="C10" i="9"/>
  <c r="G10" i="9" s="1"/>
  <c r="C11" i="9"/>
  <c r="E4" i="9" l="1"/>
  <c r="G13" i="9"/>
  <c r="E10" i="9"/>
  <c r="E9" i="9"/>
  <c r="E12" i="9"/>
  <c r="E13" i="9"/>
  <c r="I13" i="9"/>
  <c r="I12" i="9"/>
  <c r="E11" i="9"/>
  <c r="C5" i="9" l="1"/>
  <c r="C6" i="9"/>
  <c r="G6" i="9" s="1"/>
  <c r="C7" i="9"/>
  <c r="G7" i="9" s="1"/>
  <c r="C8" i="9"/>
  <c r="G8" i="9" s="1"/>
  <c r="D5" i="9"/>
  <c r="I5" i="9" s="1"/>
  <c r="D6" i="9"/>
  <c r="I6" i="9" s="1"/>
  <c r="D7" i="9"/>
  <c r="I7" i="9" s="1"/>
  <c r="D8" i="9"/>
  <c r="I8" i="9" s="1"/>
  <c r="B8" i="1"/>
  <c r="C18" i="1" s="1"/>
  <c r="B9" i="8"/>
  <c r="B8" i="8"/>
  <c r="C18" i="8" s="1"/>
  <c r="B7" i="8"/>
  <c r="B20" i="8" s="1"/>
  <c r="B18" i="1"/>
  <c r="B7" i="1"/>
  <c r="B9" i="1"/>
  <c r="J17" i="1"/>
  <c r="G20" i="9" l="1"/>
  <c r="G5" i="9"/>
  <c r="G3" i="9" s="1"/>
  <c r="I14" i="9"/>
  <c r="G19" i="9" s="1"/>
  <c r="K18" i="9" s="1"/>
  <c r="L18" i="9" s="1"/>
  <c r="E8" i="9"/>
  <c r="E7" i="9"/>
  <c r="E6" i="9"/>
  <c r="E5" i="9"/>
  <c r="C20" i="1"/>
  <c r="C24" i="1"/>
  <c r="C22" i="1"/>
  <c r="D18" i="1"/>
  <c r="I19" i="8"/>
  <c r="J25" i="8"/>
  <c r="C26" i="8"/>
  <c r="D26" i="8" s="1"/>
  <c r="J19" i="8"/>
  <c r="C20" i="8"/>
  <c r="B22" i="8"/>
  <c r="J21" i="8"/>
  <c r="C22" i="8"/>
  <c r="B24" i="8"/>
  <c r="I17" i="8"/>
  <c r="B18" i="8"/>
  <c r="D18" i="8" s="1"/>
  <c r="J23" i="8"/>
  <c r="C24" i="8"/>
  <c r="B26" i="8"/>
  <c r="J17" i="8"/>
  <c r="I21" i="1"/>
  <c r="F21" i="1" s="1"/>
  <c r="B4" i="2"/>
  <c r="C1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I5" i="3"/>
  <c r="J5" i="3"/>
  <c r="K5" i="3"/>
  <c r="H5" i="3"/>
  <c r="C1" i="3"/>
  <c r="B1" i="3"/>
  <c r="J19" i="1"/>
  <c r="B20" i="1"/>
  <c r="G18" i="9" l="1"/>
  <c r="K17" i="8"/>
  <c r="L17" i="8" s="1"/>
  <c r="F17" i="8"/>
  <c r="G17" i="8" s="1"/>
  <c r="I25" i="8"/>
  <c r="D24" i="8"/>
  <c r="D20" i="8"/>
  <c r="D27" i="8" s="1"/>
  <c r="I21" i="8"/>
  <c r="D22" i="8"/>
  <c r="I23" i="8"/>
  <c r="K19" i="8"/>
  <c r="L19" i="8" s="1"/>
  <c r="F19" i="8"/>
  <c r="G19" i="8" s="1"/>
  <c r="B22" i="1"/>
  <c r="J21" i="1"/>
  <c r="G21" i="1" s="1"/>
  <c r="B24" i="1"/>
  <c r="J23" i="1"/>
  <c r="B26" i="1"/>
  <c r="J25" i="1"/>
  <c r="D20" i="1"/>
  <c r="I17" i="1"/>
  <c r="I25" i="1"/>
  <c r="K25" i="1" s="1"/>
  <c r="I23" i="1"/>
  <c r="K23" i="1" s="1"/>
  <c r="I19" i="1"/>
  <c r="C26" i="1"/>
  <c r="D26" i="1" s="1"/>
  <c r="K21" i="1"/>
  <c r="L21" i="1" s="1"/>
  <c r="K21" i="8" l="1"/>
  <c r="L21" i="8" s="1"/>
  <c r="L27" i="8" s="1"/>
  <c r="L29" i="8" s="1"/>
  <c r="C31" i="8" s="1"/>
  <c r="F21" i="8"/>
  <c r="G21" i="8" s="1"/>
  <c r="K25" i="8"/>
  <c r="L25" i="8" s="1"/>
  <c r="F25" i="8"/>
  <c r="G25" i="8" s="1"/>
  <c r="G27" i="8" s="1"/>
  <c r="K23" i="8"/>
  <c r="L23" i="8" s="1"/>
  <c r="F23" i="8"/>
  <c r="G23" i="8" s="1"/>
  <c r="L23" i="1"/>
  <c r="F17" i="1"/>
  <c r="G17" i="1" s="1"/>
  <c r="K17" i="1"/>
  <c r="L17" i="1" s="1"/>
  <c r="L25" i="1"/>
  <c r="D24" i="1"/>
  <c r="F25" i="1"/>
  <c r="G25" i="1" s="1"/>
  <c r="D22" i="1"/>
  <c r="F23" i="1"/>
  <c r="G23" i="1" s="1"/>
  <c r="F19" i="1"/>
  <c r="G19" i="1" s="1"/>
  <c r="K19" i="1"/>
  <c r="L19" i="1" s="1"/>
  <c r="C30" i="8" l="1"/>
  <c r="G29" i="8"/>
  <c r="C32" i="8"/>
  <c r="D27" i="1"/>
  <c r="G27" i="1"/>
  <c r="L27" i="1"/>
  <c r="L29" i="1" s="1"/>
  <c r="C31" i="1" s="1"/>
  <c r="D34" i="8" l="1"/>
  <c r="E32" i="8"/>
  <c r="G29" i="1"/>
  <c r="C30" i="1"/>
  <c r="C32" i="1" l="1"/>
  <c r="C34" i="1" s="1"/>
  <c r="D34" i="1" s="1"/>
  <c r="E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Fernanda</author>
  </authors>
  <commentList>
    <comment ref="A7" authorId="0" shapeId="0" xr:uid="{59C0D995-838B-4202-983C-AEFE929ADFE7}">
      <text>
        <r>
          <rPr>
            <b/>
            <sz val="9"/>
            <color indexed="81"/>
            <rFont val="Tahoma"/>
            <family val="2"/>
          </rPr>
          <t>Fernanda:</t>
        </r>
        <r>
          <rPr>
            <sz val="9"/>
            <color indexed="81"/>
            <rFont val="Tahoma"/>
            <family val="2"/>
          </rPr>
          <t xml:space="preserve">
Se considerará la TIIE dependiendo la probabilidad de incumplimiento.
Periodicidad considerada</t>
        </r>
      </text>
    </comment>
    <comment ref="B7" authorId="0" shapeId="0" xr:uid="{ADD65D26-F726-4B46-BAD7-8836ED90BE19}">
      <text>
        <r>
          <rPr>
            <b/>
            <sz val="9"/>
            <color indexed="81"/>
            <rFont val="Tahoma"/>
            <family val="2"/>
          </rPr>
          <t>Fernanda:</t>
        </r>
        <r>
          <rPr>
            <sz val="9"/>
            <color indexed="81"/>
            <rFont val="Tahoma"/>
            <family val="2"/>
          </rPr>
          <t xml:space="preserve">
TIIE</t>
        </r>
      </text>
    </comment>
    <comment ref="B8" authorId="0" shapeId="0" xr:uid="{C3F2965D-598B-4EB6-B02A-9AFD5A3200CD}">
      <text>
        <r>
          <rPr>
            <b/>
            <sz val="9"/>
            <color indexed="81"/>
            <rFont val="Tahoma"/>
            <charset val="1"/>
          </rPr>
          <t>Fernanda:</t>
        </r>
        <r>
          <rPr>
            <sz val="9"/>
            <color indexed="81"/>
            <rFont val="Tahoma"/>
            <charset val="1"/>
          </rPr>
          <t xml:space="preserve">
Cambiar considerando el tiempo y la probabilidad de incumplimiento</t>
        </r>
      </text>
    </comment>
    <comment ref="K16" authorId="0" shapeId="0" xr:uid="{3117EEEF-5F31-4AFA-A0B1-C3D30A642D0C}">
      <text>
        <r>
          <rPr>
            <b/>
            <sz val="9"/>
            <color indexed="81"/>
            <rFont val="Tahoma"/>
            <family val="2"/>
          </rPr>
          <t>Fernanda:</t>
        </r>
        <r>
          <rPr>
            <sz val="9"/>
            <color indexed="81"/>
            <rFont val="Tahoma"/>
            <family val="2"/>
          </rPr>
          <t xml:space="preserve">
Falta multiplicar por el valor nocional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Fernanda</author>
  </authors>
  <commentList>
    <comment ref="A7" authorId="0" shapeId="0" xr:uid="{3757D4DE-3FED-4E51-9A9C-6D69C8528491}">
      <text>
        <r>
          <rPr>
            <b/>
            <sz val="9"/>
            <color indexed="81"/>
            <rFont val="Tahoma"/>
            <family val="2"/>
          </rPr>
          <t>Fernanda:</t>
        </r>
        <r>
          <rPr>
            <sz val="9"/>
            <color indexed="81"/>
            <rFont val="Tahoma"/>
            <family val="2"/>
          </rPr>
          <t xml:space="preserve">
Se considerará la TIIE dependiendo la probabilidad de incumplimiento.
Periodicidad considerada</t>
        </r>
      </text>
    </comment>
    <comment ref="B7" authorId="0" shapeId="0" xr:uid="{4103A546-E4C6-4769-93DD-A93A32B652BA}">
      <text>
        <r>
          <rPr>
            <b/>
            <sz val="9"/>
            <color indexed="81"/>
            <rFont val="Tahoma"/>
            <family val="2"/>
          </rPr>
          <t>Fernanda:</t>
        </r>
        <r>
          <rPr>
            <sz val="9"/>
            <color indexed="81"/>
            <rFont val="Tahoma"/>
            <family val="2"/>
          </rPr>
          <t xml:space="preserve">
TIIE</t>
        </r>
      </text>
    </comment>
    <comment ref="B8" authorId="0" shapeId="0" xr:uid="{91130D6A-AA91-4403-BDD5-98611977D122}">
      <text>
        <r>
          <rPr>
            <b/>
            <sz val="9"/>
            <color indexed="81"/>
            <rFont val="Tahoma"/>
            <charset val="1"/>
          </rPr>
          <t>Fernanda:</t>
        </r>
        <r>
          <rPr>
            <sz val="9"/>
            <color indexed="81"/>
            <rFont val="Tahoma"/>
            <charset val="1"/>
          </rPr>
          <t xml:space="preserve">
Cambiar considerando el tiempo y la probabilidad de incumplimiento</t>
        </r>
      </text>
    </comment>
    <comment ref="K16" authorId="0" shapeId="0" xr:uid="{4E226A48-5D3C-4689-8E64-1D368922C765}">
      <text>
        <r>
          <rPr>
            <b/>
            <sz val="9"/>
            <color indexed="81"/>
            <rFont val="Tahoma"/>
            <family val="2"/>
          </rPr>
          <t>Fernanda:</t>
        </r>
        <r>
          <rPr>
            <sz val="9"/>
            <color indexed="81"/>
            <rFont val="Tahoma"/>
            <family val="2"/>
          </rPr>
          <t xml:space="preserve">
Falta multiplicar por el valor nocional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Fernanda</author>
  </authors>
  <commentList>
    <comment ref="A9" authorId="0" shapeId="0" xr:uid="{2D21B04D-B879-4B47-9CFD-C66704D2E309}">
      <text>
        <r>
          <rPr>
            <b/>
            <sz val="9"/>
            <color indexed="81"/>
            <rFont val="Tahoma"/>
            <charset val="1"/>
          </rPr>
          <t>Fernanda:</t>
        </r>
        <r>
          <rPr>
            <sz val="9"/>
            <color indexed="81"/>
            <rFont val="Tahoma"/>
            <charset val="1"/>
          </rPr>
          <t xml:space="preserve">
3 años</t>
        </r>
      </text>
    </comment>
    <comment ref="G9" authorId="0" shapeId="0" xr:uid="{606BC9AE-8B06-4A6F-B3BE-FF05D41310AB}">
      <text>
        <r>
          <rPr>
            <b/>
            <sz val="9"/>
            <color indexed="81"/>
            <rFont val="Tahoma"/>
            <charset val="1"/>
          </rPr>
          <t>Fernanda:</t>
        </r>
        <r>
          <rPr>
            <sz val="9"/>
            <color indexed="81"/>
            <rFont val="Tahoma"/>
            <charset val="1"/>
          </rPr>
          <t xml:space="preserve">
3 años</t>
        </r>
      </text>
    </comment>
    <comment ref="A10" authorId="0" shapeId="0" xr:uid="{6A28AD30-EA3A-42C1-9313-9E1BF4F2AC91}">
      <text>
        <r>
          <rPr>
            <b/>
            <sz val="9"/>
            <color indexed="81"/>
            <rFont val="Tahoma"/>
            <charset val="1"/>
          </rPr>
          <t>Fernanda:</t>
        </r>
        <r>
          <rPr>
            <sz val="9"/>
            <color indexed="81"/>
            <rFont val="Tahoma"/>
            <charset val="1"/>
          </rPr>
          <t xml:space="preserve">
5 años</t>
        </r>
      </text>
    </comment>
    <comment ref="G10" authorId="0" shapeId="0" xr:uid="{7EDD3F92-F7F8-45BA-B023-84E2B9399421}">
      <text>
        <r>
          <rPr>
            <b/>
            <sz val="9"/>
            <color indexed="81"/>
            <rFont val="Tahoma"/>
            <charset val="1"/>
          </rPr>
          <t>Fernanda:</t>
        </r>
        <r>
          <rPr>
            <sz val="9"/>
            <color indexed="81"/>
            <rFont val="Tahoma"/>
            <charset val="1"/>
          </rPr>
          <t xml:space="preserve">
5 años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Fernanda</author>
  </authors>
  <commentList>
    <comment ref="B2" authorId="0" shapeId="0" xr:uid="{99618963-BD95-47FF-A3CD-E96ED6093E4B}">
      <text>
        <r>
          <rPr>
            <b/>
            <sz val="9"/>
            <color indexed="81"/>
            <rFont val="Tahoma"/>
            <charset val="1"/>
          </rPr>
          <t>Fernanda:</t>
        </r>
        <r>
          <rPr>
            <sz val="9"/>
            <color indexed="81"/>
            <rFont val="Tahoma"/>
            <charset val="1"/>
          </rPr>
          <t xml:space="preserve">
Con base en la información de Banxico</t>
        </r>
      </text>
    </comment>
    <comment ref="G3" authorId="0" shapeId="0" xr:uid="{5EE6367D-6004-44BB-8C4A-04B1820D46DB}">
      <text>
        <r>
          <rPr>
            <b/>
            <sz val="9"/>
            <color indexed="81"/>
            <rFont val="Tahoma"/>
            <charset val="1"/>
          </rPr>
          <t>Fernanda:</t>
        </r>
        <r>
          <rPr>
            <sz val="9"/>
            <color indexed="81"/>
            <rFont val="Tahoma"/>
            <charset val="1"/>
          </rPr>
          <t xml:space="preserve">
Usando Newton Raphson</t>
        </r>
      </text>
    </comment>
    <comment ref="B13" authorId="0" shapeId="0" xr:uid="{2FF2687A-C824-4CF7-B152-A5140CB1943A}">
      <text>
        <r>
          <rPr>
            <b/>
            <sz val="9"/>
            <color indexed="81"/>
            <rFont val="Tahoma"/>
            <charset val="1"/>
          </rPr>
          <t>Fernanda:</t>
        </r>
        <r>
          <rPr>
            <sz val="9"/>
            <color indexed="81"/>
            <rFont val="Tahoma"/>
            <charset val="1"/>
          </rPr>
          <t xml:space="preserve">
Dato estimado</t>
        </r>
      </text>
    </comment>
  </commentList>
</comments>
</file>

<file path=xl/sharedStrings.xml><?xml version="1.0" encoding="utf-8"?>
<sst xmlns="http://schemas.openxmlformats.org/spreadsheetml/2006/main" count="147" uniqueCount="76">
  <si>
    <t>Calculando spread de diferentes calificaciones y a diferentes horizontes de tiempo</t>
  </si>
  <si>
    <t>Supuesto:</t>
  </si>
  <si>
    <t>Nocional</t>
  </si>
  <si>
    <t>Proba de incumplimiento</t>
  </si>
  <si>
    <t>Tasa de recuperación</t>
  </si>
  <si>
    <t>Pagos efectuados a razón del spread por año</t>
  </si>
  <si>
    <t>Calificación AAA</t>
  </si>
  <si>
    <t>Tasa libre de riesgo</t>
  </si>
  <si>
    <t>Pagos del comprador del CDS (comprado de la protección)</t>
  </si>
  <si>
    <t>Tiempo</t>
  </si>
  <si>
    <t>Factor de descuento</t>
  </si>
  <si>
    <t>Probabilidad de supervivencia</t>
  </si>
  <si>
    <t>Valor presente de los pagos</t>
  </si>
  <si>
    <t>Pagos esperados</t>
  </si>
  <si>
    <t>Acumulados esperados</t>
  </si>
  <si>
    <t>Valor presente acumulado esperado</t>
  </si>
  <si>
    <t>Pagos del vendedor del CDS</t>
  </si>
  <si>
    <t>Probabilidad de incumplimiento</t>
  </si>
  <si>
    <t>Valor presente de pagos</t>
  </si>
  <si>
    <t>=</t>
  </si>
  <si>
    <t>Valor presente del payoff</t>
  </si>
  <si>
    <t>Payoff esperado</t>
  </si>
  <si>
    <t>% del nocional</t>
  </si>
  <si>
    <t>Valor presente de</t>
  </si>
  <si>
    <t>Total general</t>
  </si>
  <si>
    <t>Resolver el spread</t>
  </si>
  <si>
    <t>124 basis points</t>
  </si>
  <si>
    <t>TIIE</t>
  </si>
  <si>
    <t>Fuente:</t>
  </si>
  <si>
    <t>Calificación A</t>
  </si>
  <si>
    <t>Calificación AA</t>
  </si>
  <si>
    <t>Calificación B</t>
  </si>
  <si>
    <t>CDS</t>
  </si>
  <si>
    <t>Dias</t>
  </si>
  <si>
    <t>Probabilidad de incumplimiento (Qt)</t>
  </si>
  <si>
    <t>Probabilidad de supervivencia (St)</t>
  </si>
  <si>
    <t>Nominador</t>
  </si>
  <si>
    <t>Denominador</t>
  </si>
  <si>
    <t>No caer en incumplimiento en 5 años x calificación</t>
  </si>
  <si>
    <t>R</t>
  </si>
  <si>
    <t>Fecha</t>
  </si>
  <si>
    <t>Spread</t>
  </si>
  <si>
    <t>Calificación</t>
  </si>
  <si>
    <t>AAA</t>
  </si>
  <si>
    <t>AA</t>
  </si>
  <si>
    <t>A</t>
  </si>
  <si>
    <t>B</t>
  </si>
  <si>
    <t>1 año de supervivencia</t>
  </si>
  <si>
    <t>AS</t>
  </si>
  <si>
    <t>5 años de maduración</t>
  </si>
  <si>
    <t>62 puntos base</t>
  </si>
  <si>
    <t>186 puntos base</t>
  </si>
  <si>
    <t>336 puntos base</t>
  </si>
  <si>
    <t xml:space="preserve">5 años de supervivencia considerando </t>
  </si>
  <si>
    <t>210 basis points</t>
  </si>
  <si>
    <t>1249 basis points</t>
  </si>
  <si>
    <t>1567 basis points</t>
  </si>
  <si>
    <t>1530 basis points</t>
  </si>
  <si>
    <t>Tasa TIIE</t>
  </si>
  <si>
    <t>FE Variable</t>
  </si>
  <si>
    <t>FE Fijo</t>
  </si>
  <si>
    <t>FE Neto</t>
  </si>
  <si>
    <t>ti Fracción año</t>
  </si>
  <si>
    <t>[+TIIE]</t>
  </si>
  <si>
    <t>Valor nominal</t>
  </si>
  <si>
    <t>%</t>
  </si>
  <si>
    <t>Valor swap</t>
  </si>
  <si>
    <t>Bono fijo</t>
  </si>
  <si>
    <t>Bono variable</t>
  </si>
  <si>
    <t>Bono a VM</t>
  </si>
  <si>
    <t>t, fracción</t>
  </si>
  <si>
    <t>446 puntos base</t>
  </si>
  <si>
    <t>967 puntos base</t>
  </si>
  <si>
    <t>1,488 puntos base</t>
  </si>
  <si>
    <t>[-3%,-5,-7,8 Fijo]</t>
  </si>
  <si>
    <t>1,748 puntos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</si>
</sst>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00_-;\-* #,##0.0000_-;_-* &quot;-&quot;??_-;_-@_-"/>
    <numFmt numFmtId="165" formatCode="_-* #,##0.000_-;\-* #,##0.000_-;_-* &quot;-&quot;??_-;_-@_-"/>
    <numFmt numFmtId="166" formatCode="_-* #,##0.00000_-;\-* #,##0.00000_-;_-* &quot;-&quot;??_-;_-@_-"/>
    <numFmt numFmtId="167" formatCode="_-* #,##0_-;\-* #,##0_-;_-* &quot;-&quot;??_-;_-@_-"/>
    <numFmt numFmtId="168" formatCode="_ * #,##0.00_ ;_ * \-#,##0.00_ ;_ * &quot;-&quot;??_ ;_ @_ "/>
    <numFmt numFmtId="169" formatCode="_ &quot;₹&quot;\ * #,##0.00_ ;_ &quot;₹&quot;\ * \-#,##0.00_ ;_ &quot;₹&quot;\ * &quot;-&quot;??_ ;_ @_ "/>
    <numFmt numFmtId="171" formatCode="_-* #,##0.000000_-;\-* #,##0.00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quotePrefix="1"/>
    <xf numFmtId="0" fontId="0" fillId="0" borderId="0" xfId="0" applyAlignment="1">
      <alignment vertical="center" wrapText="1"/>
    </xf>
    <xf numFmtId="9" fontId="0" fillId="0" borderId="0" xfId="2" applyFont="1"/>
    <xf numFmtId="164" fontId="0" fillId="0" borderId="0" xfId="1" applyNumberFormat="1" applyFont="1"/>
    <xf numFmtId="10" fontId="0" fillId="0" borderId="0" xfId="0" applyNumberFormat="1"/>
    <xf numFmtId="10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67" fontId="0" fillId="0" borderId="0" xfId="1" applyNumberFormat="1" applyFont="1"/>
    <xf numFmtId="0" fontId="2" fillId="4" borderId="0" xfId="0" applyFont="1" applyFill="1"/>
    <xf numFmtId="166" fontId="2" fillId="4" borderId="0" xfId="0" applyNumberFormat="1" applyFont="1" applyFill="1"/>
    <xf numFmtId="165" fontId="2" fillId="4" borderId="0" xfId="0" applyNumberFormat="1" applyFont="1" applyFill="1"/>
    <xf numFmtId="0" fontId="2" fillId="0" borderId="0" xfId="0" applyFont="1"/>
    <xf numFmtId="14" fontId="0" fillId="0" borderId="0" xfId="0" applyNumberFormat="1"/>
    <xf numFmtId="0" fontId="0" fillId="5" borderId="0" xfId="0" applyFill="1"/>
    <xf numFmtId="0" fontId="0" fillId="2" borderId="0" xfId="0" applyFill="1"/>
    <xf numFmtId="10" fontId="0" fillId="2" borderId="0" xfId="2" applyNumberFormat="1" applyFont="1" applyFill="1"/>
    <xf numFmtId="0" fontId="8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/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 vertical="center"/>
    </xf>
    <xf numFmtId="10" fontId="2" fillId="0" borderId="0" xfId="2" applyNumberFormat="1" applyFont="1"/>
    <xf numFmtId="0" fontId="0" fillId="7" borderId="0" xfId="0" applyFill="1"/>
    <xf numFmtId="171" fontId="2" fillId="0" borderId="0" xfId="1" applyNumberFormat="1" applyFont="1"/>
    <xf numFmtId="14" fontId="0" fillId="0" borderId="0" xfId="0" applyNumberFormat="1" applyFill="1"/>
    <xf numFmtId="10" fontId="0" fillId="0" borderId="0" xfId="2" applyNumberFormat="1" applyFont="1" applyFill="1"/>
    <xf numFmtId="0" fontId="0" fillId="0" borderId="0" xfId="0" applyFill="1"/>
    <xf numFmtId="0" fontId="2" fillId="8" borderId="0" xfId="0" applyFont="1" applyFill="1"/>
    <xf numFmtId="167" fontId="0" fillId="0" borderId="0" xfId="0" applyNumberFormat="1"/>
  </cellXfs>
  <cellStyles count="5">
    <cellStyle name="Millares" xfId="1" builtinId="3"/>
    <cellStyle name="Millares 2" xfId="3" xr:uid="{89A77031-EF61-4A9D-B2BA-2D920991B519}"/>
    <cellStyle name="Moneda 2" xfId="4" xr:uid="{B7530B3D-0291-409A-A6CF-CBDEFB323934}"/>
    <cellStyle name="Normal" xfId="0" builtinId="0"/>
    <cellStyle name="Porcentaje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14F0134-9657-4859-9D90-3E6A4BEF8B0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C890-9E20-49BA-A8E2-965AAA90B2A0}">
  <dimension ref="A1:E14"/>
  <sheetViews>
    <sheetView tabSelected="1" workbookViewId="0">
      <selection activeCell="B4" sqref="B4"/>
    </sheetView>
  </sheetViews>
  <sheetFormatPr baseColWidth="10" defaultRowHeight="15" x14ac:dyDescent="0.25"/>
  <cols>
    <col min="1" max="1" width="11.7109375" customWidth="1"/>
    <col min="2" max="2" width="16.42578125" customWidth="1"/>
    <col min="5" max="5" width="17" customWidth="1"/>
  </cols>
  <sheetData>
    <row r="1" spans="1:5" x14ac:dyDescent="0.25">
      <c r="A1" s="23" t="s">
        <v>48</v>
      </c>
      <c r="B1" s="23"/>
      <c r="D1" s="23" t="s">
        <v>32</v>
      </c>
      <c r="E1" s="23"/>
    </row>
    <row r="2" spans="1:5" x14ac:dyDescent="0.25">
      <c r="A2" t="s">
        <v>49</v>
      </c>
      <c r="D2" t="s">
        <v>53</v>
      </c>
    </row>
    <row r="3" spans="1:5" x14ac:dyDescent="0.25">
      <c r="A3" s="20" t="s">
        <v>42</v>
      </c>
      <c r="B3" s="20" t="s">
        <v>41</v>
      </c>
      <c r="D3" s="20" t="s">
        <v>42</v>
      </c>
      <c r="E3" s="20" t="s">
        <v>41</v>
      </c>
    </row>
    <row r="4" spans="1:5" x14ac:dyDescent="0.25">
      <c r="A4" s="21" t="s">
        <v>43</v>
      </c>
      <c r="B4" s="22" t="s">
        <v>71</v>
      </c>
      <c r="D4" s="21" t="s">
        <v>43</v>
      </c>
      <c r="E4" s="21" t="s">
        <v>54</v>
      </c>
    </row>
    <row r="5" spans="1:5" x14ac:dyDescent="0.25">
      <c r="A5" s="21" t="s">
        <v>44</v>
      </c>
      <c r="B5" s="21" t="s">
        <v>72</v>
      </c>
      <c r="D5" s="21" t="s">
        <v>44</v>
      </c>
      <c r="E5" s="21" t="s">
        <v>55</v>
      </c>
    </row>
    <row r="6" spans="1:5" x14ac:dyDescent="0.25">
      <c r="A6" s="21" t="s">
        <v>45</v>
      </c>
      <c r="B6" s="21" t="s">
        <v>73</v>
      </c>
      <c r="D6" s="21" t="s">
        <v>45</v>
      </c>
      <c r="E6" s="21" t="s">
        <v>56</v>
      </c>
    </row>
    <row r="7" spans="1:5" x14ac:dyDescent="0.25">
      <c r="A7" s="21" t="s">
        <v>46</v>
      </c>
      <c r="B7" s="21" t="s">
        <v>75</v>
      </c>
      <c r="D7" s="21" t="s">
        <v>46</v>
      </c>
      <c r="E7" s="21" t="s">
        <v>57</v>
      </c>
    </row>
    <row r="8" spans="1:5" ht="12" customHeight="1" x14ac:dyDescent="0.25"/>
    <row r="9" spans="1:5" x14ac:dyDescent="0.25">
      <c r="D9" t="s">
        <v>47</v>
      </c>
    </row>
    <row r="10" spans="1:5" x14ac:dyDescent="0.25">
      <c r="D10" s="20" t="s">
        <v>42</v>
      </c>
      <c r="E10" s="20" t="s">
        <v>41</v>
      </c>
    </row>
    <row r="11" spans="1:5" x14ac:dyDescent="0.25">
      <c r="D11" s="21" t="s">
        <v>43</v>
      </c>
      <c r="E11" s="21" t="s">
        <v>50</v>
      </c>
    </row>
    <row r="12" spans="1:5" x14ac:dyDescent="0.25">
      <c r="D12" s="21" t="s">
        <v>44</v>
      </c>
      <c r="E12" s="21" t="s">
        <v>51</v>
      </c>
    </row>
    <row r="13" spans="1:5" x14ac:dyDescent="0.25">
      <c r="D13" s="21" t="s">
        <v>45</v>
      </c>
      <c r="E13" s="21" t="s">
        <v>52</v>
      </c>
    </row>
    <row r="14" spans="1:5" x14ac:dyDescent="0.25">
      <c r="D14" s="21" t="s">
        <v>46</v>
      </c>
      <c r="E14" s="21" t="s">
        <v>52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2E5C-7E40-47D3-9756-31DDA618CE37}">
  <dimension ref="A1:L34"/>
  <sheetViews>
    <sheetView topLeftCell="A13" zoomScale="86" zoomScaleNormal="86" workbookViewId="0">
      <selection activeCell="C35" sqref="C35"/>
    </sheetView>
  </sheetViews>
  <sheetFormatPr baseColWidth="10" defaultRowHeight="15" x14ac:dyDescent="0.25"/>
  <cols>
    <col min="1" max="1" width="17" customWidth="1"/>
    <col min="3" max="3" width="15.42578125" customWidth="1"/>
    <col min="4" max="4" width="16.85546875" customWidth="1"/>
    <col min="5" max="5" width="23" customWidth="1"/>
    <col min="6" max="6" width="13.5703125" customWidth="1"/>
    <col min="7" max="7" width="15.5703125" customWidth="1"/>
    <col min="8" max="8" width="7" customWidth="1"/>
    <col min="9" max="9" width="17.28515625" customWidth="1"/>
    <col min="10" max="10" width="15.140625" customWidth="1"/>
    <col min="11" max="11" width="15.5703125" customWidth="1"/>
    <col min="12" max="12" width="14" customWidth="1"/>
  </cols>
  <sheetData>
    <row r="1" spans="1:12" x14ac:dyDescent="0.25">
      <c r="A1" s="1" t="s">
        <v>0</v>
      </c>
    </row>
    <row r="2" spans="1:12" x14ac:dyDescent="0.25">
      <c r="A2" s="1"/>
      <c r="E2" t="s">
        <v>39</v>
      </c>
      <c r="F2" s="3">
        <v>0.25</v>
      </c>
    </row>
    <row r="3" spans="1:12" x14ac:dyDescent="0.25">
      <c r="A3" s="15" t="s">
        <v>38</v>
      </c>
    </row>
    <row r="5" spans="1:12" x14ac:dyDescent="0.25">
      <c r="A5" t="s">
        <v>1</v>
      </c>
      <c r="D5" s="25" t="s">
        <v>18</v>
      </c>
      <c r="E5" s="25"/>
    </row>
    <row r="6" spans="1:12" x14ac:dyDescent="0.25">
      <c r="A6" t="s">
        <v>2</v>
      </c>
      <c r="B6" s="11">
        <v>1</v>
      </c>
      <c r="C6">
        <v>1</v>
      </c>
      <c r="D6" s="25" t="s">
        <v>19</v>
      </c>
      <c r="E6" s="25"/>
    </row>
    <row r="7" spans="1:12" x14ac:dyDescent="0.25">
      <c r="A7" t="s">
        <v>7</v>
      </c>
      <c r="B7" s="6">
        <f>TIIE!B4</f>
        <v>4.2099999999999999E-2</v>
      </c>
      <c r="C7">
        <v>0.05</v>
      </c>
      <c r="D7" s="25" t="s">
        <v>20</v>
      </c>
      <c r="E7" s="25"/>
    </row>
    <row r="8" spans="1:12" x14ac:dyDescent="0.25">
      <c r="A8" t="s">
        <v>3</v>
      </c>
      <c r="B8" s="6">
        <f>Probabilidades!B8</f>
        <v>8.0000000000000002E-3</v>
      </c>
      <c r="C8">
        <v>0.02</v>
      </c>
    </row>
    <row r="9" spans="1:12" x14ac:dyDescent="0.25">
      <c r="A9" t="s">
        <v>4</v>
      </c>
      <c r="B9" s="3">
        <f>F2</f>
        <v>0.25</v>
      </c>
      <c r="C9">
        <v>0.4</v>
      </c>
    </row>
    <row r="10" spans="1:12" x14ac:dyDescent="0.25">
      <c r="A10" t="s">
        <v>5</v>
      </c>
    </row>
    <row r="13" spans="1:12" x14ac:dyDescent="0.25">
      <c r="B13" t="s">
        <v>36</v>
      </c>
      <c r="I13" t="s">
        <v>37</v>
      </c>
    </row>
    <row r="14" spans="1:12" x14ac:dyDescent="0.25">
      <c r="B14" s="26" t="s">
        <v>8</v>
      </c>
      <c r="C14" s="26"/>
      <c r="D14" s="26"/>
      <c r="E14" s="26"/>
      <c r="F14" s="26"/>
      <c r="G14" s="26"/>
      <c r="I14" s="27" t="s">
        <v>16</v>
      </c>
      <c r="J14" s="27"/>
      <c r="K14" s="27"/>
      <c r="L14" s="27"/>
    </row>
    <row r="15" spans="1:12" x14ac:dyDescent="0.25">
      <c r="C15" s="24" t="s">
        <v>13</v>
      </c>
      <c r="D15" s="24"/>
      <c r="F15" s="24" t="s">
        <v>14</v>
      </c>
      <c r="G15" s="24"/>
      <c r="K15" s="24" t="s">
        <v>21</v>
      </c>
      <c r="L15" s="24"/>
    </row>
    <row r="16" spans="1:12" ht="28.5" customHeight="1" x14ac:dyDescent="0.25">
      <c r="A16" s="2" t="s">
        <v>9</v>
      </c>
      <c r="B16" s="2" t="s">
        <v>10</v>
      </c>
      <c r="C16" s="2" t="s">
        <v>11</v>
      </c>
      <c r="D16" s="2" t="s">
        <v>12</v>
      </c>
      <c r="F16" s="2" t="s">
        <v>14</v>
      </c>
      <c r="G16" s="2" t="s">
        <v>15</v>
      </c>
      <c r="I16" s="2" t="s">
        <v>17</v>
      </c>
      <c r="J16" s="2" t="s">
        <v>10</v>
      </c>
      <c r="K16" s="2" t="s">
        <v>22</v>
      </c>
      <c r="L16" s="2" t="s">
        <v>23</v>
      </c>
    </row>
    <row r="17" spans="1:12" x14ac:dyDescent="0.25">
      <c r="A17">
        <v>0.5</v>
      </c>
      <c r="B17" s="7"/>
      <c r="F17" s="5">
        <f>I17*0.5</f>
        <v>4.0000000000000001E-3</v>
      </c>
      <c r="G17" s="9">
        <f>F17*J17</f>
        <v>3.9166800193809375E-3</v>
      </c>
      <c r="I17" s="6">
        <f>B8</f>
        <v>8.0000000000000002E-3</v>
      </c>
      <c r="J17" s="7">
        <f>EXP(-$B$7*A17)</f>
        <v>0.97917000484523442</v>
      </c>
      <c r="K17" s="5">
        <f>I17*(1-$B$9)</f>
        <v>6.0000000000000001E-3</v>
      </c>
      <c r="L17" s="8">
        <f>J17*K17</f>
        <v>5.8750200290714066E-3</v>
      </c>
    </row>
    <row r="18" spans="1:12" x14ac:dyDescent="0.25">
      <c r="A18">
        <v>1</v>
      </c>
      <c r="B18" s="7">
        <f>EXP(-B7*$A$18)</f>
        <v>0.95877389838861637</v>
      </c>
      <c r="C18" s="5">
        <f>(1-B$8)^A18</f>
        <v>0.99199999999999999</v>
      </c>
      <c r="D18" s="7">
        <f>C18*B18</f>
        <v>0.95110370720150739</v>
      </c>
      <c r="F18" s="6"/>
      <c r="G18" s="9"/>
      <c r="I18" s="6"/>
      <c r="J18" s="7"/>
      <c r="L18" s="8"/>
    </row>
    <row r="19" spans="1:12" x14ac:dyDescent="0.25">
      <c r="A19">
        <v>1.5</v>
      </c>
      <c r="B19" s="7"/>
      <c r="C19" s="5"/>
      <c r="D19" s="7"/>
      <c r="F19" s="5">
        <f>I19*0.5</f>
        <v>3.9680000000000002E-3</v>
      </c>
      <c r="G19" s="9">
        <f>F19*J19</f>
        <v>3.7251688863552822E-3</v>
      </c>
      <c r="I19" s="6">
        <f>C18*$B$8</f>
        <v>7.9360000000000003E-3</v>
      </c>
      <c r="J19" s="7">
        <f>EXP(-$B$7*A19)</f>
        <v>0.93880264273066583</v>
      </c>
      <c r="K19" s="5">
        <f>I19*(1-$B$9)</f>
        <v>5.9520000000000007E-3</v>
      </c>
      <c r="L19" s="8">
        <f>J19*K19</f>
        <v>5.5877533295329235E-3</v>
      </c>
    </row>
    <row r="20" spans="1:12" x14ac:dyDescent="0.25">
      <c r="A20">
        <v>2</v>
      </c>
      <c r="B20" s="7">
        <f>EXP(-$B$7*A20)</f>
        <v>0.91924738823130492</v>
      </c>
      <c r="C20" s="5">
        <f>(1-B$8)^A20</f>
        <v>0.98406399999999994</v>
      </c>
      <c r="D20" s="7">
        <f>C20*B20</f>
        <v>0.90459826185245074</v>
      </c>
      <c r="F20" s="6"/>
      <c r="G20" s="9"/>
      <c r="I20" s="6"/>
      <c r="J20" s="7"/>
      <c r="L20" s="8"/>
    </row>
    <row r="21" spans="1:12" x14ac:dyDescent="0.25">
      <c r="A21">
        <v>2.5</v>
      </c>
      <c r="B21" s="7"/>
      <c r="C21" s="5"/>
      <c r="D21" s="7"/>
      <c r="F21" s="5">
        <f>I21*0.5</f>
        <v>3.936256E-3</v>
      </c>
      <c r="G21" s="9">
        <f>F21*J21</f>
        <v>3.5430219377642195E-3</v>
      </c>
      <c r="I21" s="6">
        <f>C20*$B$8</f>
        <v>7.8725119999999999E-3</v>
      </c>
      <c r="J21" s="7">
        <f>EXP(-$B$7*A21)</f>
        <v>0.90009946958841591</v>
      </c>
      <c r="K21" s="5">
        <f>I21*(1-$B$9)</f>
        <v>5.9043840000000004E-3</v>
      </c>
      <c r="L21" s="8">
        <f>J21*K21</f>
        <v>5.3145329066463295E-3</v>
      </c>
    </row>
    <row r="22" spans="1:12" x14ac:dyDescent="0.25">
      <c r="A22">
        <v>3</v>
      </c>
      <c r="B22" s="7">
        <f>EXP(-$B$7*A22)</f>
        <v>0.88135040199808212</v>
      </c>
      <c r="C22" s="5">
        <f>(1-B$8)^A22</f>
        <v>0.97619148799999989</v>
      </c>
      <c r="D22" s="7">
        <f>C22*B22</f>
        <v>0.86036676037590587</v>
      </c>
      <c r="F22" s="6"/>
      <c r="G22" s="9"/>
      <c r="I22" s="6"/>
      <c r="J22" s="7"/>
      <c r="L22" s="8"/>
    </row>
    <row r="23" spans="1:12" x14ac:dyDescent="0.25">
      <c r="A23">
        <v>3.5</v>
      </c>
      <c r="B23" s="7"/>
      <c r="C23" s="5"/>
      <c r="D23" s="7"/>
      <c r="F23" s="5">
        <f>I23*0.5</f>
        <v>3.9047659519999998E-3</v>
      </c>
      <c r="G23" s="9">
        <f>F23*J23</f>
        <v>3.3697812997038178E-3</v>
      </c>
      <c r="I23" s="6">
        <f>C22*$B$8</f>
        <v>7.8095319039999996E-3</v>
      </c>
      <c r="J23" s="7">
        <f>EXP(-$B$7*A23)</f>
        <v>0.86299187739481142</v>
      </c>
      <c r="K23" s="5">
        <f>I23*(1-$B$9)</f>
        <v>5.8571489279999993E-3</v>
      </c>
      <c r="L23" s="8">
        <f>J23*K23</f>
        <v>5.0546719495557267E-3</v>
      </c>
    </row>
    <row r="24" spans="1:12" x14ac:dyDescent="0.25">
      <c r="A24">
        <v>4</v>
      </c>
      <c r="B24" s="7">
        <f>EXP(-$B$7*A24)</f>
        <v>0.84501576077007545</v>
      </c>
      <c r="C24" s="5">
        <f>(1-B$8)^A24</f>
        <v>0.96838195609599986</v>
      </c>
      <c r="D24" s="7">
        <f>C24*B24</f>
        <v>0.81829801534647517</v>
      </c>
      <c r="F24" s="6"/>
      <c r="G24" s="9"/>
      <c r="I24" s="6"/>
      <c r="J24" s="7"/>
      <c r="L24" s="8"/>
    </row>
    <row r="25" spans="1:12" x14ac:dyDescent="0.25">
      <c r="A25">
        <v>4.5</v>
      </c>
      <c r="B25" s="7"/>
      <c r="C25" s="5"/>
      <c r="D25" s="7"/>
      <c r="F25" s="5">
        <f>I25*0.5</f>
        <v>3.8735278243839997E-3</v>
      </c>
      <c r="G25" s="9">
        <f>F25*J25</f>
        <v>3.2050114866066155E-3</v>
      </c>
      <c r="I25" s="6">
        <f>C24*$B$8</f>
        <v>7.7470556487679995E-3</v>
      </c>
      <c r="J25" s="7">
        <f>EXP(-$B$7*A25)</f>
        <v>0.82741408656753423</v>
      </c>
      <c r="K25" s="5">
        <f>I25*(1-$B$9)</f>
        <v>5.8102917365759994E-3</v>
      </c>
      <c r="L25" s="8">
        <f>J25*K25</f>
        <v>4.8075172299099226E-3</v>
      </c>
    </row>
    <row r="26" spans="1:12" x14ac:dyDescent="0.25">
      <c r="A26">
        <v>5</v>
      </c>
      <c r="B26" s="7">
        <f>EXP(-$B$7*A26)</f>
        <v>0.81017905515334765</v>
      </c>
      <c r="C26" s="5">
        <f>(1-B$8)^A26</f>
        <v>0.96063490044723188</v>
      </c>
      <c r="D26" s="7">
        <f>C26*B26</f>
        <v>0.77828627599166855</v>
      </c>
      <c r="F26" s="6"/>
      <c r="G26" s="9"/>
      <c r="L26" s="8"/>
    </row>
    <row r="27" spans="1:12" x14ac:dyDescent="0.25">
      <c r="D27" s="7">
        <f>SUM(D18:D26)</f>
        <v>4.3126530207680078</v>
      </c>
      <c r="F27" s="6"/>
      <c r="G27" s="8">
        <f>SUM(G17:G25)</f>
        <v>1.7759663629810872E-2</v>
      </c>
      <c r="L27" s="8">
        <f>SUM(L17:L25)</f>
        <v>2.6639495444716308E-2</v>
      </c>
    </row>
    <row r="29" spans="1:12" x14ac:dyDescent="0.25">
      <c r="F29" s="12" t="s">
        <v>24</v>
      </c>
      <c r="G29" s="13">
        <f>D27+G27</f>
        <v>4.3304126843978183</v>
      </c>
      <c r="K29" s="12" t="s">
        <v>24</v>
      </c>
      <c r="L29" s="14">
        <f>L27</f>
        <v>2.6639495444716308E-2</v>
      </c>
    </row>
    <row r="30" spans="1:12" x14ac:dyDescent="0.25">
      <c r="B30" t="s">
        <v>13</v>
      </c>
      <c r="C30" s="10">
        <f>D27+G27</f>
        <v>4.3304126843978183</v>
      </c>
    </row>
    <row r="31" spans="1:12" x14ac:dyDescent="0.25">
      <c r="B31" t="s">
        <v>21</v>
      </c>
      <c r="C31" s="9">
        <f>L29</f>
        <v>2.6639495444716308E-2</v>
      </c>
    </row>
    <row r="32" spans="1:12" x14ac:dyDescent="0.25">
      <c r="B32" t="s">
        <v>25</v>
      </c>
      <c r="C32" s="4">
        <f>C31/C30</f>
        <v>6.1517221073863456E-3</v>
      </c>
      <c r="D32" t="s">
        <v>26</v>
      </c>
      <c r="E32">
        <f>C32*B6</f>
        <v>6.1517221073863456E-3</v>
      </c>
    </row>
    <row r="34" spans="2:4" x14ac:dyDescent="0.25">
      <c r="B34" t="s">
        <v>43</v>
      </c>
      <c r="C34" s="4">
        <f>10000*C32</f>
        <v>61.517221073863453</v>
      </c>
      <c r="D34" s="11" t="str">
        <f>ROUND(C34,2) &amp; " " &amp; "basis points"</f>
        <v>61.52 basis points</v>
      </c>
    </row>
  </sheetData>
  <mergeCells count="8">
    <mergeCell ref="C15:D15"/>
    <mergeCell ref="F15:G15"/>
    <mergeCell ref="K15:L15"/>
    <mergeCell ref="D5:E5"/>
    <mergeCell ref="D6:E6"/>
    <mergeCell ref="D7:E7"/>
    <mergeCell ref="B14:G14"/>
    <mergeCell ref="I14:L1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6CB5-3C25-43EF-B8B1-4CC1DDE95628}">
  <dimension ref="A1:L34"/>
  <sheetViews>
    <sheetView topLeftCell="A16" workbookViewId="0">
      <selection activeCell="D34" sqref="D34"/>
    </sheetView>
  </sheetViews>
  <sheetFormatPr baseColWidth="10" defaultRowHeight="15" x14ac:dyDescent="0.25"/>
  <cols>
    <col min="1" max="1" width="17" customWidth="1"/>
    <col min="3" max="3" width="15.42578125" customWidth="1"/>
    <col min="4" max="4" width="16.85546875" customWidth="1"/>
    <col min="5" max="5" width="23" customWidth="1"/>
    <col min="6" max="6" width="13.5703125" customWidth="1"/>
    <col min="7" max="7" width="15.5703125" customWidth="1"/>
    <col min="8" max="8" width="7" customWidth="1"/>
    <col min="9" max="9" width="17.28515625" customWidth="1"/>
    <col min="10" max="10" width="15.140625" customWidth="1"/>
    <col min="11" max="11" width="15.5703125" customWidth="1"/>
    <col min="12" max="12" width="14" customWidth="1"/>
  </cols>
  <sheetData>
    <row r="1" spans="1:12" x14ac:dyDescent="0.25">
      <c r="A1" s="1" t="s">
        <v>0</v>
      </c>
    </row>
    <row r="2" spans="1:12" x14ac:dyDescent="0.25">
      <c r="A2" s="1"/>
      <c r="E2" t="s">
        <v>39</v>
      </c>
      <c r="F2" s="3">
        <v>0.25</v>
      </c>
    </row>
    <row r="3" spans="1:12" x14ac:dyDescent="0.25">
      <c r="A3" s="15" t="s">
        <v>38</v>
      </c>
    </row>
    <row r="5" spans="1:12" x14ac:dyDescent="0.25">
      <c r="A5" t="s">
        <v>1</v>
      </c>
      <c r="D5" s="25" t="s">
        <v>18</v>
      </c>
      <c r="E5" s="25"/>
    </row>
    <row r="6" spans="1:12" x14ac:dyDescent="0.25">
      <c r="A6" t="s">
        <v>2</v>
      </c>
      <c r="B6" s="11">
        <v>1</v>
      </c>
      <c r="C6">
        <v>1</v>
      </c>
      <c r="D6" s="25" t="s">
        <v>19</v>
      </c>
      <c r="E6" s="25"/>
    </row>
    <row r="7" spans="1:12" x14ac:dyDescent="0.25">
      <c r="A7" t="s">
        <v>7</v>
      </c>
      <c r="B7" s="6">
        <f>TIIE!B4</f>
        <v>4.2099999999999999E-2</v>
      </c>
      <c r="C7">
        <v>0.05</v>
      </c>
      <c r="D7" s="25" t="s">
        <v>20</v>
      </c>
      <c r="E7" s="25"/>
    </row>
    <row r="8" spans="1:12" x14ac:dyDescent="0.25">
      <c r="A8" t="s">
        <v>3</v>
      </c>
      <c r="B8" s="6">
        <f>Probabilidades!E10</f>
        <v>0.182</v>
      </c>
      <c r="C8">
        <v>0.02</v>
      </c>
    </row>
    <row r="9" spans="1:12" x14ac:dyDescent="0.25">
      <c r="A9" t="s">
        <v>4</v>
      </c>
      <c r="B9" s="3">
        <f>F2</f>
        <v>0.25</v>
      </c>
      <c r="C9">
        <v>0.4</v>
      </c>
    </row>
    <row r="10" spans="1:12" x14ac:dyDescent="0.25">
      <c r="A10" t="s">
        <v>5</v>
      </c>
    </row>
    <row r="13" spans="1:12" x14ac:dyDescent="0.25">
      <c r="B13" t="s">
        <v>36</v>
      </c>
      <c r="I13" t="s">
        <v>37</v>
      </c>
    </row>
    <row r="14" spans="1:12" x14ac:dyDescent="0.25">
      <c r="B14" s="26" t="s">
        <v>8</v>
      </c>
      <c r="C14" s="26"/>
      <c r="D14" s="26"/>
      <c r="E14" s="26"/>
      <c r="F14" s="26"/>
      <c r="G14" s="26"/>
      <c r="I14" s="27" t="s">
        <v>16</v>
      </c>
      <c r="J14" s="27"/>
      <c r="K14" s="27"/>
      <c r="L14" s="27"/>
    </row>
    <row r="15" spans="1:12" x14ac:dyDescent="0.25">
      <c r="C15" s="24" t="s">
        <v>13</v>
      </c>
      <c r="D15" s="24"/>
      <c r="F15" s="24" t="s">
        <v>14</v>
      </c>
      <c r="G15" s="24"/>
      <c r="K15" s="24" t="s">
        <v>21</v>
      </c>
      <c r="L15" s="24"/>
    </row>
    <row r="16" spans="1:12" ht="28.5" customHeight="1" x14ac:dyDescent="0.25">
      <c r="A16" s="2" t="s">
        <v>9</v>
      </c>
      <c r="B16" s="2" t="s">
        <v>10</v>
      </c>
      <c r="C16" s="2" t="s">
        <v>11</v>
      </c>
      <c r="D16" s="2" t="s">
        <v>12</v>
      </c>
      <c r="F16" s="2" t="s">
        <v>14</v>
      </c>
      <c r="G16" s="2" t="s">
        <v>15</v>
      </c>
      <c r="I16" s="2" t="s">
        <v>17</v>
      </c>
      <c r="J16" s="2" t="s">
        <v>10</v>
      </c>
      <c r="K16" s="2" t="s">
        <v>22</v>
      </c>
      <c r="L16" s="2" t="s">
        <v>23</v>
      </c>
    </row>
    <row r="17" spans="1:12" x14ac:dyDescent="0.25">
      <c r="A17">
        <v>0.5</v>
      </c>
      <c r="B17" s="7"/>
      <c r="F17" s="5">
        <f>I17*0.5</f>
        <v>9.0999999999999998E-2</v>
      </c>
      <c r="G17" s="9">
        <f>F17*J17</f>
        <v>8.9104470440916336E-2</v>
      </c>
      <c r="I17" s="6">
        <f>B8</f>
        <v>0.182</v>
      </c>
      <c r="J17" s="7">
        <f>EXP(-$B$7*A17)</f>
        <v>0.97917000484523442</v>
      </c>
      <c r="K17" s="5">
        <f>I17*(1-$B$9)</f>
        <v>0.13650000000000001</v>
      </c>
      <c r="L17" s="8">
        <f>J17*K17</f>
        <v>0.1336567056613745</v>
      </c>
    </row>
    <row r="18" spans="1:12" x14ac:dyDescent="0.25">
      <c r="A18">
        <v>1</v>
      </c>
      <c r="B18" s="7">
        <f>EXP(-B7*$A$18)</f>
        <v>0.95877389838861637</v>
      </c>
      <c r="C18" s="5">
        <f>(1-B$8)^A18</f>
        <v>0.81800000000000006</v>
      </c>
      <c r="D18" s="7">
        <f>C18*B18</f>
        <v>0.78427704888188821</v>
      </c>
      <c r="F18" s="6"/>
      <c r="G18" s="9"/>
      <c r="I18" s="6"/>
      <c r="J18" s="7"/>
      <c r="L18" s="8"/>
    </row>
    <row r="19" spans="1:12" x14ac:dyDescent="0.25">
      <c r="A19">
        <v>1.5</v>
      </c>
      <c r="B19" s="7"/>
      <c r="C19" s="5"/>
      <c r="D19" s="7"/>
      <c r="F19" s="5">
        <f>I19*0.5</f>
        <v>7.4438000000000004E-2</v>
      </c>
      <c r="G19" s="9">
        <f>F19*J19</f>
        <v>6.9882591119585308E-2</v>
      </c>
      <c r="I19" s="6">
        <f>C18*$B$8</f>
        <v>0.14887600000000001</v>
      </c>
      <c r="J19" s="7">
        <f>EXP(-$B$7*A19)</f>
        <v>0.93880264273066583</v>
      </c>
      <c r="K19" s="5">
        <f>I19*(1-$B$9)</f>
        <v>0.11165700000000001</v>
      </c>
      <c r="L19" s="8">
        <f>J19*K19</f>
        <v>0.10482388667937796</v>
      </c>
    </row>
    <row r="20" spans="1:12" x14ac:dyDescent="0.25">
      <c r="A20">
        <v>2</v>
      </c>
      <c r="B20" s="7">
        <f>EXP(-$B$7*A20)</f>
        <v>0.91924738823130492</v>
      </c>
      <c r="C20" s="5">
        <f>(1-B$8)^A20</f>
        <v>0.66912400000000005</v>
      </c>
      <c r="D20" s="7">
        <f>C20*B20</f>
        <v>0.61509048940288369</v>
      </c>
      <c r="F20" s="6"/>
      <c r="G20" s="9"/>
      <c r="I20" s="6"/>
      <c r="J20" s="7"/>
      <c r="L20" s="8"/>
    </row>
    <row r="21" spans="1:12" x14ac:dyDescent="0.25">
      <c r="A21">
        <v>2.5</v>
      </c>
      <c r="B21" s="7"/>
      <c r="C21" s="5"/>
      <c r="D21" s="7"/>
      <c r="F21" s="5">
        <f>I21*0.5</f>
        <v>6.0890284000000003E-2</v>
      </c>
      <c r="G21" s="9">
        <f>F21*J21</f>
        <v>5.4807312331488008E-2</v>
      </c>
      <c r="I21" s="6">
        <f>C20*$B$8</f>
        <v>0.12178056800000001</v>
      </c>
      <c r="J21" s="7">
        <f>EXP(-$B$7*A21)</f>
        <v>0.90009946958841591</v>
      </c>
      <c r="K21" s="5">
        <f>I21*(1-$B$9)</f>
        <v>9.1335425999999997E-2</v>
      </c>
      <c r="L21" s="8">
        <f>J21*K21</f>
        <v>8.2210968497232015E-2</v>
      </c>
    </row>
    <row r="22" spans="1:12" x14ac:dyDescent="0.25">
      <c r="A22">
        <v>3</v>
      </c>
      <c r="B22" s="7">
        <f>EXP(-$B$7*A22)</f>
        <v>0.88135040199808212</v>
      </c>
      <c r="C22" s="5">
        <f>(1-B$8)^A22</f>
        <v>0.54734343200000013</v>
      </c>
      <c r="D22" s="7">
        <f>C22*B22</f>
        <v>0.48240135382421007</v>
      </c>
      <c r="F22" s="6"/>
      <c r="G22" s="9"/>
      <c r="I22" s="6"/>
      <c r="J22" s="7"/>
      <c r="L22" s="8"/>
    </row>
    <row r="23" spans="1:12" x14ac:dyDescent="0.25">
      <c r="A23">
        <v>3.5</v>
      </c>
      <c r="B23" s="7"/>
      <c r="C23" s="5"/>
      <c r="D23" s="7"/>
      <c r="F23" s="5">
        <f>I23*0.5</f>
        <v>4.9808252312000013E-2</v>
      </c>
      <c r="G23" s="9">
        <f>F23*J23</f>
        <v>4.2984117172487346E-2</v>
      </c>
      <c r="I23" s="6">
        <f>C22*$B$8</f>
        <v>9.9616504624000027E-2</v>
      </c>
      <c r="J23" s="7">
        <f>EXP(-$B$7*A23)</f>
        <v>0.86299187739481142</v>
      </c>
      <c r="K23" s="5">
        <f>I23*(1-$B$9)</f>
        <v>7.4712378468000024E-2</v>
      </c>
      <c r="L23" s="8">
        <f>J23*K23</f>
        <v>6.4476175758731019E-2</v>
      </c>
    </row>
    <row r="24" spans="1:12" x14ac:dyDescent="0.25">
      <c r="A24">
        <v>4</v>
      </c>
      <c r="B24" s="7">
        <f>EXP(-$B$7*A24)</f>
        <v>0.84501576077007545</v>
      </c>
      <c r="C24" s="5">
        <f>(1-B$8)^A24</f>
        <v>0.44772692737600006</v>
      </c>
      <c r="D24" s="7">
        <f>C24*B24</f>
        <v>0.37833631015387903</v>
      </c>
      <c r="F24" s="6"/>
      <c r="G24" s="9"/>
      <c r="I24" s="6"/>
      <c r="J24" s="7"/>
      <c r="L24" s="8"/>
    </row>
    <row r="25" spans="1:12" x14ac:dyDescent="0.25">
      <c r="A25">
        <v>4.5</v>
      </c>
      <c r="B25" s="7"/>
      <c r="C25" s="5"/>
      <c r="D25" s="7"/>
      <c r="F25" s="5">
        <f>I25*0.5</f>
        <v>4.0743150391216003E-2</v>
      </c>
      <c r="G25" s="9">
        <f>F25*J25</f>
        <v>3.3711456564831661E-2</v>
      </c>
      <c r="I25" s="6">
        <f>C24*$B$8</f>
        <v>8.1486300782432006E-2</v>
      </c>
      <c r="J25" s="7">
        <f>EXP(-$B$7*A25)</f>
        <v>0.82741408656753423</v>
      </c>
      <c r="K25" s="5">
        <f>I25*(1-$B$9)</f>
        <v>6.1114725586824001E-2</v>
      </c>
      <c r="L25" s="8">
        <f>J25*K25</f>
        <v>5.0567184847247496E-2</v>
      </c>
    </row>
    <row r="26" spans="1:12" x14ac:dyDescent="0.25">
      <c r="A26">
        <v>5</v>
      </c>
      <c r="B26" s="7">
        <f>EXP(-$B$7*A26)</f>
        <v>0.81017905515334765</v>
      </c>
      <c r="C26" s="5">
        <f>(1-B$8)^A26</f>
        <v>0.3662406265935681</v>
      </c>
      <c r="D26" s="7">
        <f>C26*B26</f>
        <v>0.29672048481234703</v>
      </c>
      <c r="F26" s="6"/>
      <c r="G26" s="9"/>
      <c r="L26" s="8"/>
    </row>
    <row r="27" spans="1:12" x14ac:dyDescent="0.25">
      <c r="D27" s="7">
        <f>SUM(D18:D26)</f>
        <v>2.5568256870752082</v>
      </c>
      <c r="F27" s="6"/>
      <c r="G27" s="8">
        <f>SUM(G17:G25)</f>
        <v>0.29048994762930863</v>
      </c>
      <c r="L27" s="8">
        <f>SUM(L17:L25)</f>
        <v>0.43573492144396303</v>
      </c>
    </row>
    <row r="29" spans="1:12" x14ac:dyDescent="0.25">
      <c r="F29" s="12" t="s">
        <v>24</v>
      </c>
      <c r="G29" s="13">
        <f>D27+G27</f>
        <v>2.847315634704517</v>
      </c>
      <c r="K29" s="12" t="s">
        <v>24</v>
      </c>
      <c r="L29" s="14">
        <f>L27</f>
        <v>0.43573492144396303</v>
      </c>
    </row>
    <row r="30" spans="1:12" x14ac:dyDescent="0.25">
      <c r="B30" t="s">
        <v>13</v>
      </c>
      <c r="C30" s="10">
        <f>D27+G27</f>
        <v>2.847315634704517</v>
      </c>
    </row>
    <row r="31" spans="1:12" x14ac:dyDescent="0.25">
      <c r="B31" t="s">
        <v>21</v>
      </c>
      <c r="C31" s="9">
        <f>L29</f>
        <v>0.43573492144396303</v>
      </c>
    </row>
    <row r="32" spans="1:12" x14ac:dyDescent="0.25">
      <c r="B32" t="s">
        <v>25</v>
      </c>
      <c r="C32" s="4">
        <f>C31/C30</f>
        <v>0.15303358578620732</v>
      </c>
      <c r="D32" t="s">
        <v>26</v>
      </c>
      <c r="E32">
        <f>C32*B6</f>
        <v>0.15303358578620732</v>
      </c>
    </row>
    <row r="34" spans="2:4" x14ac:dyDescent="0.25">
      <c r="B34" t="s">
        <v>43</v>
      </c>
      <c r="C34" s="4">
        <f>10000*C32</f>
        <v>1530.3358578620732</v>
      </c>
      <c r="D34" s="11" t="str">
        <f>ROUND(C34,0) &amp; " " &amp; "basis points"</f>
        <v>1530 basis points</v>
      </c>
    </row>
  </sheetData>
  <mergeCells count="8">
    <mergeCell ref="C15:D15"/>
    <mergeCell ref="F15:G15"/>
    <mergeCell ref="K15:L15"/>
    <mergeCell ref="B14:G14"/>
    <mergeCell ref="D5:E5"/>
    <mergeCell ref="D6:E6"/>
    <mergeCell ref="D7:E7"/>
    <mergeCell ref="I14:L1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4CF9-02E6-435D-A0EA-7BF7DBCD2063}">
  <dimension ref="A2:B4"/>
  <sheetViews>
    <sheetView workbookViewId="0">
      <selection activeCell="B10" sqref="B10"/>
    </sheetView>
  </sheetViews>
  <sheetFormatPr baseColWidth="10" defaultRowHeight="15" x14ac:dyDescent="0.25"/>
  <sheetData>
    <row r="2" spans="1:2" x14ac:dyDescent="0.25">
      <c r="A2" t="s">
        <v>28</v>
      </c>
    </row>
    <row r="3" spans="1:2" x14ac:dyDescent="0.25">
      <c r="A3" t="s">
        <v>40</v>
      </c>
      <c r="B3" t="s">
        <v>27</v>
      </c>
    </row>
    <row r="4" spans="1:2" x14ac:dyDescent="0.25">
      <c r="A4" s="16">
        <v>44231</v>
      </c>
      <c r="B4">
        <f>4.21/100</f>
        <v>4.2099999999999999E-2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EDF4-28C5-44B7-8529-245580893322}">
  <dimension ref="A1:K16"/>
  <sheetViews>
    <sheetView workbookViewId="0">
      <selection activeCell="D4" sqref="D4"/>
    </sheetView>
  </sheetViews>
  <sheetFormatPr baseColWidth="10" defaultRowHeight="15" x14ac:dyDescent="0.25"/>
  <cols>
    <col min="2" max="2" width="16.140625" customWidth="1"/>
    <col min="3" max="3" width="15" customWidth="1"/>
    <col min="4" max="4" width="13.7109375" customWidth="1"/>
  </cols>
  <sheetData>
    <row r="1" spans="1:11" x14ac:dyDescent="0.25">
      <c r="B1">
        <f>1080/360</f>
        <v>3</v>
      </c>
      <c r="C1">
        <f>A10/360</f>
        <v>5</v>
      </c>
    </row>
    <row r="3" spans="1:11" x14ac:dyDescent="0.25">
      <c r="A3" t="s">
        <v>9</v>
      </c>
      <c r="B3" s="28" t="s">
        <v>34</v>
      </c>
      <c r="C3" s="28"/>
      <c r="D3" s="28"/>
      <c r="E3" s="28"/>
      <c r="G3" t="s">
        <v>9</v>
      </c>
      <c r="H3" s="28" t="s">
        <v>35</v>
      </c>
      <c r="I3" s="28"/>
      <c r="J3" s="28"/>
      <c r="K3" s="28"/>
    </row>
    <row r="4" spans="1:11" x14ac:dyDescent="0.25">
      <c r="A4" t="s">
        <v>33</v>
      </c>
      <c r="B4" t="s">
        <v>6</v>
      </c>
      <c r="C4" t="s">
        <v>30</v>
      </c>
      <c r="D4" t="s">
        <v>29</v>
      </c>
      <c r="E4" t="s">
        <v>31</v>
      </c>
      <c r="G4" t="s">
        <v>33</v>
      </c>
      <c r="H4" t="s">
        <v>6</v>
      </c>
      <c r="I4" t="s">
        <v>30</v>
      </c>
      <c r="J4" t="s">
        <v>29</v>
      </c>
      <c r="K4" t="s">
        <v>31</v>
      </c>
    </row>
    <row r="5" spans="1:11" x14ac:dyDescent="0.25">
      <c r="A5">
        <v>90</v>
      </c>
      <c r="B5">
        <v>1E-3</v>
      </c>
      <c r="C5">
        <v>1E-3</v>
      </c>
      <c r="D5">
        <v>0.01</v>
      </c>
      <c r="E5">
        <v>8.9999999999999993E-3</v>
      </c>
      <c r="G5">
        <v>90</v>
      </c>
      <c r="H5">
        <f>1-B5</f>
        <v>0.999</v>
      </c>
      <c r="I5">
        <f t="shared" ref="I5:K5" si="0">1-C5</f>
        <v>0.999</v>
      </c>
      <c r="J5">
        <f t="shared" si="0"/>
        <v>0.99</v>
      </c>
      <c r="K5">
        <f t="shared" si="0"/>
        <v>0.99099999999999999</v>
      </c>
    </row>
    <row r="6" spans="1:11" x14ac:dyDescent="0.25">
      <c r="A6">
        <v>180</v>
      </c>
      <c r="B6">
        <v>3.0000000000000001E-3</v>
      </c>
      <c r="C6">
        <v>4.0000000000000001E-3</v>
      </c>
      <c r="D6">
        <v>0.02</v>
      </c>
      <c r="E6">
        <v>2.1000000000000001E-2</v>
      </c>
      <c r="G6">
        <v>180</v>
      </c>
      <c r="H6">
        <f t="shared" ref="H6:H10" si="1">1-B6</f>
        <v>0.997</v>
      </c>
      <c r="I6">
        <f t="shared" ref="I6:I10" si="2">1-C6</f>
        <v>0.996</v>
      </c>
      <c r="J6">
        <f t="shared" ref="J6:J10" si="3">1-D6</f>
        <v>0.98</v>
      </c>
      <c r="K6">
        <f t="shared" ref="K6:K10" si="4">1-E6</f>
        <v>0.97899999999999998</v>
      </c>
    </row>
    <row r="7" spans="1:11" x14ac:dyDescent="0.25">
      <c r="A7">
        <v>270</v>
      </c>
      <c r="B7">
        <v>7.0000000000000001E-3</v>
      </c>
      <c r="C7">
        <v>1.2999999999999999E-2</v>
      </c>
      <c r="D7">
        <v>3.2000000000000001E-2</v>
      </c>
      <c r="E7">
        <v>3.3000000000000002E-2</v>
      </c>
      <c r="G7">
        <v>270</v>
      </c>
      <c r="H7">
        <f t="shared" si="1"/>
        <v>0.99299999999999999</v>
      </c>
      <c r="I7">
        <f t="shared" si="2"/>
        <v>0.98699999999999999</v>
      </c>
      <c r="J7">
        <f t="shared" si="3"/>
        <v>0.96799999999999997</v>
      </c>
      <c r="K7">
        <f t="shared" si="4"/>
        <v>0.96699999999999997</v>
      </c>
    </row>
    <row r="8" spans="1:11" x14ac:dyDescent="0.25">
      <c r="A8" s="17">
        <v>360</v>
      </c>
      <c r="B8" s="17">
        <v>8.0000000000000002E-3</v>
      </c>
      <c r="C8" s="17">
        <v>2.4E-2</v>
      </c>
      <c r="D8" s="17">
        <v>4.2999999999999997E-2</v>
      </c>
      <c r="E8" s="17">
        <v>4.2999999999999997E-2</v>
      </c>
      <c r="G8">
        <v>360</v>
      </c>
      <c r="H8">
        <f t="shared" si="1"/>
        <v>0.99199999999999999</v>
      </c>
      <c r="I8">
        <f t="shared" si="2"/>
        <v>0.97599999999999998</v>
      </c>
      <c r="J8">
        <f t="shared" si="3"/>
        <v>0.95699999999999996</v>
      </c>
      <c r="K8">
        <f t="shared" si="4"/>
        <v>0.95699999999999996</v>
      </c>
    </row>
    <row r="9" spans="1:11" x14ac:dyDescent="0.25">
      <c r="A9">
        <v>1080</v>
      </c>
      <c r="B9">
        <v>1.7000000000000001E-2</v>
      </c>
      <c r="C9">
        <v>9.7000000000000003E-2</v>
      </c>
      <c r="D9">
        <v>0.11600000000000001</v>
      </c>
      <c r="E9">
        <v>0.114</v>
      </c>
      <c r="G9">
        <v>1080</v>
      </c>
      <c r="H9">
        <f t="shared" si="1"/>
        <v>0.98299999999999998</v>
      </c>
      <c r="I9">
        <f t="shared" si="2"/>
        <v>0.90300000000000002</v>
      </c>
      <c r="J9">
        <f t="shared" si="3"/>
        <v>0.88400000000000001</v>
      </c>
      <c r="K9">
        <f t="shared" si="4"/>
        <v>0.88600000000000001</v>
      </c>
    </row>
    <row r="10" spans="1:11" x14ac:dyDescent="0.25">
      <c r="A10" s="18">
        <v>1800</v>
      </c>
      <c r="B10" s="18">
        <v>2.7E-2</v>
      </c>
      <c r="C10" s="18">
        <v>0.151</v>
      </c>
      <c r="D10" s="18">
        <v>0.186</v>
      </c>
      <c r="E10" s="18">
        <v>0.182</v>
      </c>
      <c r="G10">
        <v>1800</v>
      </c>
      <c r="H10">
        <f t="shared" si="1"/>
        <v>0.97299999999999998</v>
      </c>
      <c r="I10">
        <f t="shared" si="2"/>
        <v>0.84899999999999998</v>
      </c>
      <c r="J10">
        <f t="shared" si="3"/>
        <v>0.81400000000000006</v>
      </c>
      <c r="K10">
        <f t="shared" si="4"/>
        <v>0.81800000000000006</v>
      </c>
    </row>
    <row r="12" spans="1:11" x14ac:dyDescent="0.25">
      <c r="B12" t="s">
        <v>32</v>
      </c>
    </row>
    <row r="13" spans="1:11" x14ac:dyDescent="0.25">
      <c r="A13" t="s">
        <v>6</v>
      </c>
    </row>
    <row r="14" spans="1:11" x14ac:dyDescent="0.25">
      <c r="A14" t="s">
        <v>30</v>
      </c>
    </row>
    <row r="15" spans="1:11" x14ac:dyDescent="0.25">
      <c r="A15" t="s">
        <v>29</v>
      </c>
      <c r="C15">
        <f>0.0196+0.9604</f>
        <v>0.98</v>
      </c>
    </row>
    <row r="16" spans="1:11" x14ac:dyDescent="0.25">
      <c r="A16" t="s">
        <v>31</v>
      </c>
    </row>
  </sheetData>
  <mergeCells count="2">
    <mergeCell ref="B3:E3"/>
    <mergeCell ref="H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0C0-96ED-45C5-8AD3-753F5FFAF6DE}">
  <dimension ref="A1:BL20"/>
  <sheetViews>
    <sheetView zoomScale="90" zoomScaleNormal="90" workbookViewId="0">
      <selection activeCell="G10" sqref="G10"/>
    </sheetView>
  </sheetViews>
  <sheetFormatPr baseColWidth="10" defaultRowHeight="15" x14ac:dyDescent="0.25"/>
  <cols>
    <col min="1" max="1" width="11.42578125" style="16"/>
    <col min="2" max="2" width="12.85546875" style="6" customWidth="1"/>
    <col min="4" max="4" width="9.42578125" customWidth="1"/>
    <col min="6" max="6" width="9.42578125" customWidth="1"/>
    <col min="10" max="10" width="14" customWidth="1"/>
  </cols>
  <sheetData>
    <row r="1" spans="1:64" x14ac:dyDescent="0.25">
      <c r="C1" t="s">
        <v>63</v>
      </c>
      <c r="D1" t="s">
        <v>74</v>
      </c>
    </row>
    <row r="2" spans="1:64" x14ac:dyDescent="0.25">
      <c r="A2" s="16" t="s">
        <v>40</v>
      </c>
      <c r="B2" s="6" t="s">
        <v>58</v>
      </c>
      <c r="C2" t="s">
        <v>59</v>
      </c>
      <c r="D2" t="s">
        <v>60</v>
      </c>
      <c r="E2" t="s">
        <v>61</v>
      </c>
      <c r="F2" t="s">
        <v>62</v>
      </c>
    </row>
    <row r="3" spans="1:64" x14ac:dyDescent="0.25">
      <c r="A3" s="16">
        <v>42800</v>
      </c>
      <c r="B3" s="6">
        <v>6.6074999999999995E-2</v>
      </c>
      <c r="G3" s="15">
        <f>SUM(G4:G13)</f>
        <v>1.0000002920798554</v>
      </c>
    </row>
    <row r="4" spans="1:64" x14ac:dyDescent="0.25">
      <c r="A4" s="16">
        <v>42984</v>
      </c>
      <c r="B4" s="6">
        <v>7.3726E-2</v>
      </c>
      <c r="C4">
        <f>$C$16*B3*0.5</f>
        <v>3.3037499999999997E-2</v>
      </c>
      <c r="D4">
        <f>$D$16*0.5*$C$17</f>
        <v>0.04</v>
      </c>
      <c r="E4">
        <f>C4-D4</f>
        <v>-6.9625000000000034E-3</v>
      </c>
      <c r="F4">
        <v>0.5</v>
      </c>
      <c r="G4">
        <f>C4*EXP(-B4*F4)</f>
        <v>3.1841812351080606E-2</v>
      </c>
      <c r="H4" t="s">
        <v>70</v>
      </c>
      <c r="I4" s="36" t="s">
        <v>67</v>
      </c>
      <c r="J4" s="36" t="s">
        <v>68</v>
      </c>
      <c r="K4" s="36" t="s">
        <v>69</v>
      </c>
    </row>
    <row r="5" spans="1:64" x14ac:dyDescent="0.25">
      <c r="A5" s="16">
        <v>43164</v>
      </c>
      <c r="B5" s="6">
        <v>7.8315999999999997E-2</v>
      </c>
      <c r="C5">
        <f>$C$16*B4*0.5</f>
        <v>3.6863E-2</v>
      </c>
      <c r="D5">
        <f t="shared" ref="D5:D12" si="0">$D$16*0.5*$C$17</f>
        <v>0.04</v>
      </c>
      <c r="E5">
        <f t="shared" ref="E5:E7" si="1">C5-D5</f>
        <v>-3.1370000000000009E-3</v>
      </c>
      <c r="F5">
        <v>1</v>
      </c>
      <c r="G5">
        <f t="shared" ref="G5:G13" si="2">C5*EXP(-B5*F5)</f>
        <v>3.4086190717373191E-2</v>
      </c>
      <c r="H5">
        <f>(A5-$H$18)/360</f>
        <v>-4.0638888888888891</v>
      </c>
      <c r="I5">
        <f>D5*EXP(-B5*H5)</f>
        <v>5.4989759464171846E-2</v>
      </c>
      <c r="J5" s="15">
        <f>(C13+C16)*EXP(-B13*H13)</f>
        <v>2.0237125000000002</v>
      </c>
      <c r="K5" s="15">
        <f>(C16*B13)+C16</f>
        <v>1.0678060209712827</v>
      </c>
    </row>
    <row r="6" spans="1:64" x14ac:dyDescent="0.25">
      <c r="A6" s="16">
        <v>43348</v>
      </c>
      <c r="B6" s="6">
        <v>8.0988000000000004E-2</v>
      </c>
      <c r="C6">
        <f>$C$16*B5*0.5</f>
        <v>3.9157999999999998E-2</v>
      </c>
      <c r="D6">
        <f t="shared" si="0"/>
        <v>0.04</v>
      </c>
      <c r="E6">
        <f t="shared" si="1"/>
        <v>-8.4200000000000247E-4</v>
      </c>
      <c r="F6">
        <v>1.5</v>
      </c>
      <c r="G6">
        <f t="shared" si="2"/>
        <v>3.4678598676193217E-2</v>
      </c>
      <c r="H6">
        <f t="shared" ref="H6:H13" si="3">(A6-$H$18)/360</f>
        <v>-3.5527777777777776</v>
      </c>
      <c r="I6">
        <f t="shared" ref="I6:I8" si="4">D6*EXP(-B6*H6)</f>
        <v>5.3336015758915258E-2</v>
      </c>
    </row>
    <row r="7" spans="1:64" x14ac:dyDescent="0.25">
      <c r="A7" s="16">
        <v>43529</v>
      </c>
      <c r="B7" s="6">
        <v>8.5324999999999998E-2</v>
      </c>
      <c r="C7">
        <f>$C$16*B6*0.5</f>
        <v>4.0494000000000002E-2</v>
      </c>
      <c r="D7">
        <f t="shared" si="0"/>
        <v>0.04</v>
      </c>
      <c r="E7">
        <f t="shared" si="1"/>
        <v>4.9400000000000138E-4</v>
      </c>
      <c r="F7">
        <v>2</v>
      </c>
      <c r="G7">
        <f t="shared" si="2"/>
        <v>3.4141164112696867E-2</v>
      </c>
      <c r="H7">
        <f t="shared" si="3"/>
        <v>-3.05</v>
      </c>
      <c r="I7">
        <f t="shared" si="4"/>
        <v>5.1889720351755764E-2</v>
      </c>
    </row>
    <row r="8" spans="1:64" x14ac:dyDescent="0.25">
      <c r="A8" s="16">
        <v>43713</v>
      </c>
      <c r="B8" s="6">
        <v>8.2350000000000007E-2</v>
      </c>
      <c r="C8">
        <f>$C$16*B7*0.5</f>
        <v>4.2662499999999999E-2</v>
      </c>
      <c r="D8">
        <f t="shared" si="0"/>
        <v>0.04</v>
      </c>
      <c r="E8">
        <f>C8-D8</f>
        <v>2.6624999999999982E-3</v>
      </c>
      <c r="F8">
        <v>2.5</v>
      </c>
      <c r="G8">
        <f t="shared" si="2"/>
        <v>3.4724493907384718E-2</v>
      </c>
      <c r="H8">
        <f t="shared" si="3"/>
        <v>-2.5388888888888888</v>
      </c>
      <c r="I8">
        <f>D8*EXP(-B8*H8)</f>
        <v>4.9301620668756922E-2</v>
      </c>
    </row>
    <row r="9" spans="1:64" s="31" customFormat="1" x14ac:dyDescent="0.25">
      <c r="A9" s="33">
        <v>43895</v>
      </c>
      <c r="B9" s="34">
        <v>7.2525000000000006E-2</v>
      </c>
      <c r="C9">
        <f>$C$16*B8*0.5</f>
        <v>4.1175000000000003E-2</v>
      </c>
      <c r="D9">
        <f t="shared" si="0"/>
        <v>0.04</v>
      </c>
      <c r="E9">
        <f t="shared" ref="E9:E13" si="5">C9-D9</f>
        <v>1.1750000000000024E-3</v>
      </c>
      <c r="F9">
        <v>3</v>
      </c>
      <c r="G9">
        <f t="shared" si="2"/>
        <v>3.3123939743929708E-2</v>
      </c>
      <c r="H9">
        <f t="shared" si="3"/>
        <v>-2.0333333333333332</v>
      </c>
      <c r="I9">
        <f t="shared" ref="I9:I12" si="6">D9*EXP(-B9*H9)</f>
        <v>4.6355824804401966E-2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x14ac:dyDescent="0.25">
      <c r="A10" s="16">
        <v>44081</v>
      </c>
      <c r="B10" s="6">
        <v>4.7601999999999998E-2</v>
      </c>
      <c r="C10">
        <f>$C$16*B9*0.5</f>
        <v>3.6262500000000003E-2</v>
      </c>
      <c r="D10">
        <f t="shared" si="0"/>
        <v>0.04</v>
      </c>
      <c r="E10">
        <f t="shared" si="5"/>
        <v>-3.7374999999999978E-3</v>
      </c>
      <c r="F10">
        <v>3.5</v>
      </c>
      <c r="G10">
        <f t="shared" si="2"/>
        <v>3.0697375104251835E-2</v>
      </c>
      <c r="H10">
        <f t="shared" si="3"/>
        <v>-1.5166666666666666</v>
      </c>
      <c r="I10">
        <f t="shared" si="6"/>
        <v>4.299465565088733E-2</v>
      </c>
    </row>
    <row r="11" spans="1:64" x14ac:dyDescent="0.25">
      <c r="A11" s="16">
        <v>44260</v>
      </c>
      <c r="B11" s="6">
        <v>4.2825000000000002E-2</v>
      </c>
      <c r="C11">
        <f>$C$16*B10*0.5</f>
        <v>2.3800999999999999E-2</v>
      </c>
      <c r="D11">
        <f t="shared" si="0"/>
        <v>0.04</v>
      </c>
      <c r="E11">
        <f t="shared" si="5"/>
        <v>-1.6199000000000002E-2</v>
      </c>
      <c r="F11">
        <v>4</v>
      </c>
      <c r="G11">
        <f t="shared" si="2"/>
        <v>2.0053979173926532E-2</v>
      </c>
      <c r="H11">
        <f t="shared" si="3"/>
        <v>-1.0194444444444444</v>
      </c>
      <c r="I11">
        <f t="shared" si="6"/>
        <v>4.1784989093860289E-2</v>
      </c>
    </row>
    <row r="12" spans="1:64" x14ac:dyDescent="0.25">
      <c r="A12" s="16">
        <v>44445</v>
      </c>
      <c r="B12" s="6">
        <v>4.7425000000000002E-2</v>
      </c>
      <c r="C12">
        <f>$C$16*B11*0.5</f>
        <v>2.1412500000000001E-2</v>
      </c>
      <c r="D12">
        <f t="shared" si="0"/>
        <v>0.04</v>
      </c>
      <c r="E12">
        <f t="shared" si="5"/>
        <v>-1.85875E-2</v>
      </c>
      <c r="F12">
        <v>4.5</v>
      </c>
      <c r="G12">
        <f t="shared" si="2"/>
        <v>1.729750659483589E-2</v>
      </c>
      <c r="H12">
        <f t="shared" si="3"/>
        <v>-0.50555555555555554</v>
      </c>
      <c r="I12">
        <f t="shared" si="6"/>
        <v>4.0970628270646396E-2</v>
      </c>
    </row>
    <row r="13" spans="1:64" x14ac:dyDescent="0.25">
      <c r="A13" s="16">
        <v>44627</v>
      </c>
      <c r="B13" s="19">
        <v>6.7806020971282757E-2</v>
      </c>
      <c r="C13" s="35">
        <f>$C$16*B12*0.5+C16</f>
        <v>1.0237125</v>
      </c>
      <c r="D13" s="35">
        <f>D12+$D$16</f>
        <v>1.04</v>
      </c>
      <c r="E13">
        <f>C13-D13</f>
        <v>-1.628750000000001E-2</v>
      </c>
      <c r="F13">
        <v>5</v>
      </c>
      <c r="G13">
        <f>C13*EXP(-B13*F13)</f>
        <v>0.72935523169818284</v>
      </c>
      <c r="H13">
        <f t="shared" si="3"/>
        <v>0</v>
      </c>
      <c r="I13" s="35">
        <f>D13*EXP(-B13*H13)</f>
        <v>1.04</v>
      </c>
    </row>
    <row r="14" spans="1:64" x14ac:dyDescent="0.25">
      <c r="B14"/>
      <c r="I14" s="15">
        <f>SUM(I5:I13)</f>
        <v>1.4216232140633958</v>
      </c>
    </row>
    <row r="16" spans="1:64" x14ac:dyDescent="0.25">
      <c r="B16" s="6" t="s">
        <v>64</v>
      </c>
      <c r="C16">
        <v>1</v>
      </c>
      <c r="D16">
        <v>1</v>
      </c>
    </row>
    <row r="17" spans="2:12" x14ac:dyDescent="0.25">
      <c r="B17" s="29" t="s">
        <v>65</v>
      </c>
      <c r="C17" s="3">
        <v>0.08</v>
      </c>
    </row>
    <row r="18" spans="2:12" x14ac:dyDescent="0.25">
      <c r="F18" t="s">
        <v>66</v>
      </c>
      <c r="G18">
        <f>G20-G19</f>
        <v>0.60208928593660449</v>
      </c>
      <c r="H18" s="16">
        <v>44627</v>
      </c>
      <c r="J18" s="30" t="s">
        <v>41</v>
      </c>
      <c r="K18" s="32">
        <f>(G19-K5)/G20</f>
        <v>0.17483570076881622</v>
      </c>
      <c r="L18" s="37">
        <f>10000*K18</f>
        <v>1748.3570076881622</v>
      </c>
    </row>
    <row r="19" spans="2:12" x14ac:dyDescent="0.25">
      <c r="F19" t="s">
        <v>67</v>
      </c>
      <c r="G19">
        <f>I14</f>
        <v>1.4216232140633958</v>
      </c>
    </row>
    <row r="20" spans="2:12" x14ac:dyDescent="0.25">
      <c r="F20" t="s">
        <v>68</v>
      </c>
      <c r="G20">
        <f>J5</f>
        <v>2.0237125000000002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Spread-CDS 1Y</vt:lpstr>
      <vt:lpstr>Spread-CDS 5Y</vt:lpstr>
      <vt:lpstr>TIIE</vt:lpstr>
      <vt:lpstr>Probabilidades</vt:lpstr>
      <vt:lpstr>AS-Spread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2022-01-22T23:22:58Z</dcterms:created>
  <dcterms:modified xsi:type="dcterms:W3CDTF">2022-02-28T03:49:39Z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84eb5b3a-2b1f-4763-a5eb-856f61bef1f9</vt:lpwstr>
  </property>
</Properties>
</file>