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DCE408F6-9336-4721-8505-BA42F04AB444}" xr6:coauthVersionLast="40" xr6:coauthVersionMax="40" xr10:uidLastSave="{00000000-0000-0000-0000-000000000000}"/>
  <bookViews>
    <workbookView xWindow="-120" yWindow="-120" windowWidth="20730" windowHeight="11160" tabRatio="521" activeTab="1" xr2:uid="{00000000-000D-0000-FFFF-FFFF00000000}"/>
  </bookViews>
  <sheets>
    <sheet name="Cover Page" sheetId="4" r:id="rId1"/>
    <sheet name="12 Month Rolling Forecast" sheetId="2" r:id="rId2"/>
    <sheet name="Data" sheetId="5" r:id="rId3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Page'!$B$3:$O$25</definedName>
  </definedNames>
  <calcPr calcId="191029" iterate="1"/>
</workbook>
</file>

<file path=xl/calcChain.xml><?xml version="1.0" encoding="utf-8"?>
<calcChain xmlns="http://schemas.openxmlformats.org/spreadsheetml/2006/main">
  <c r="G82" i="2" l="1"/>
  <c r="H82" i="2" s="1"/>
  <c r="I82" i="2" s="1"/>
  <c r="I106" i="2" s="1"/>
  <c r="H60" i="2"/>
  <c r="H107" i="2" s="1"/>
  <c r="I60" i="2"/>
  <c r="I107" i="2" s="1"/>
  <c r="J60" i="2"/>
  <c r="J107" i="2" s="1"/>
  <c r="K60" i="2"/>
  <c r="K107" i="2" s="1"/>
  <c r="L60" i="2"/>
  <c r="L107" i="2" s="1"/>
  <c r="M60" i="2"/>
  <c r="M107" i="2" s="1"/>
  <c r="N60" i="2"/>
  <c r="N107" i="2" s="1"/>
  <c r="O60" i="2"/>
  <c r="O107" i="2" s="1"/>
  <c r="P60" i="2"/>
  <c r="P107" i="2" s="1"/>
  <c r="Q60" i="2"/>
  <c r="Q107" i="2" s="1"/>
  <c r="R60" i="2"/>
  <c r="R107" i="2" s="1"/>
  <c r="G60" i="2"/>
  <c r="G107" i="2" s="1"/>
  <c r="G141" i="2"/>
  <c r="H141" i="2"/>
  <c r="I141" i="2"/>
  <c r="J141" i="2"/>
  <c r="K141" i="2"/>
  <c r="L141" i="2"/>
  <c r="M141" i="2"/>
  <c r="N141" i="2"/>
  <c r="O141" i="2"/>
  <c r="P141" i="2"/>
  <c r="Q141" i="2"/>
  <c r="R141" i="2"/>
  <c r="G144" i="2"/>
  <c r="G157" i="2" s="1"/>
  <c r="H144" i="2"/>
  <c r="H157" i="2" s="1"/>
  <c r="I144" i="2"/>
  <c r="I157" i="2" s="1"/>
  <c r="J144" i="2"/>
  <c r="J157" i="2" s="1"/>
  <c r="K144" i="2"/>
  <c r="K157" i="2" s="1"/>
  <c r="L144" i="2"/>
  <c r="L157" i="2" s="1"/>
  <c r="M144" i="2"/>
  <c r="M157" i="2" s="1"/>
  <c r="N144" i="2"/>
  <c r="N157" i="2" s="1"/>
  <c r="O144" i="2"/>
  <c r="O157" i="2" s="1"/>
  <c r="P144" i="2"/>
  <c r="P157" i="2" s="1"/>
  <c r="Q144" i="2"/>
  <c r="Q157" i="2" s="1"/>
  <c r="R144" i="2"/>
  <c r="R157" i="2" s="1"/>
  <c r="H132" i="2"/>
  <c r="I132" i="2"/>
  <c r="J132" i="2"/>
  <c r="K132" i="2"/>
  <c r="L132" i="2"/>
  <c r="M132" i="2"/>
  <c r="N132" i="2"/>
  <c r="O132" i="2"/>
  <c r="P132" i="2"/>
  <c r="Q132" i="2"/>
  <c r="R132" i="2"/>
  <c r="H133" i="2"/>
  <c r="I133" i="2"/>
  <c r="J133" i="2"/>
  <c r="K133" i="2"/>
  <c r="L133" i="2"/>
  <c r="M133" i="2"/>
  <c r="N133" i="2"/>
  <c r="O133" i="2"/>
  <c r="P133" i="2"/>
  <c r="Q133" i="2"/>
  <c r="R133" i="2"/>
  <c r="G133" i="2"/>
  <c r="G132" i="2"/>
  <c r="H120" i="2"/>
  <c r="H102" i="2" s="1"/>
  <c r="H103" i="2" s="1"/>
  <c r="H151" i="2" s="1"/>
  <c r="I120" i="2"/>
  <c r="I102" i="2" s="1"/>
  <c r="I103" i="2" s="1"/>
  <c r="I151" i="2" s="1"/>
  <c r="J120" i="2"/>
  <c r="J102" i="2" s="1"/>
  <c r="J103" i="2" s="1"/>
  <c r="J151" i="2" s="1"/>
  <c r="K120" i="2"/>
  <c r="K102" i="2" s="1"/>
  <c r="K103" i="2" s="1"/>
  <c r="K151" i="2" s="1"/>
  <c r="L120" i="2"/>
  <c r="L102" i="2" s="1"/>
  <c r="L103" i="2" s="1"/>
  <c r="L151" i="2" s="1"/>
  <c r="M120" i="2"/>
  <c r="M102" i="2" s="1"/>
  <c r="M103" i="2" s="1"/>
  <c r="M151" i="2" s="1"/>
  <c r="N120" i="2"/>
  <c r="N102" i="2" s="1"/>
  <c r="N103" i="2" s="1"/>
  <c r="N151" i="2" s="1"/>
  <c r="O120" i="2"/>
  <c r="O102" i="2" s="1"/>
  <c r="O103" i="2" s="1"/>
  <c r="O151" i="2" s="1"/>
  <c r="P120" i="2"/>
  <c r="P102" i="2" s="1"/>
  <c r="P103" i="2" s="1"/>
  <c r="P151" i="2" s="1"/>
  <c r="Q120" i="2"/>
  <c r="Q102" i="2" s="1"/>
  <c r="Q103" i="2" s="1"/>
  <c r="Q151" i="2" s="1"/>
  <c r="R120" i="2"/>
  <c r="R102" i="2" s="1"/>
  <c r="R103" i="2" s="1"/>
  <c r="R151" i="2" s="1"/>
  <c r="G120" i="2"/>
  <c r="G102" i="2" s="1"/>
  <c r="G103" i="2" s="1"/>
  <c r="G151" i="2" s="1"/>
  <c r="H51" i="2"/>
  <c r="I51" i="2"/>
  <c r="J51" i="2"/>
  <c r="K51" i="2"/>
  <c r="L51" i="2"/>
  <c r="M51" i="2"/>
  <c r="N51" i="2"/>
  <c r="O51" i="2"/>
  <c r="P51" i="2"/>
  <c r="Q51" i="2"/>
  <c r="R51" i="2"/>
  <c r="G51" i="2"/>
  <c r="G12" i="2"/>
  <c r="H12" i="2" s="1"/>
  <c r="I12" i="2" s="1"/>
  <c r="D19" i="2"/>
  <c r="D20" i="2" s="1"/>
  <c r="E19" i="2"/>
  <c r="E20" i="2" s="1"/>
  <c r="F19" i="2"/>
  <c r="F20" i="2" s="1"/>
  <c r="C19" i="2"/>
  <c r="C20" i="2" s="1"/>
  <c r="C2" i="2"/>
  <c r="D2" i="2" s="1"/>
  <c r="J12" i="2" l="1"/>
  <c r="K12" i="2" s="1"/>
  <c r="L12" i="2" s="1"/>
  <c r="M12" i="2" s="1"/>
  <c r="N12" i="2" s="1"/>
  <c r="O12" i="2" s="1"/>
  <c r="P12" i="2" s="1"/>
  <c r="Q12" i="2" s="1"/>
  <c r="R12" i="2" s="1"/>
  <c r="H106" i="2"/>
  <c r="G106" i="2"/>
  <c r="J82" i="2"/>
  <c r="J106" i="2" s="1"/>
  <c r="E2" i="2"/>
  <c r="D8" i="2"/>
  <c r="C8" i="2"/>
  <c r="D134" i="2"/>
  <c r="E134" i="2"/>
  <c r="F134" i="2"/>
  <c r="G131" i="2" s="1"/>
  <c r="C134" i="2"/>
  <c r="K82" i="2" l="1"/>
  <c r="K106" i="2" s="1"/>
  <c r="G134" i="2"/>
  <c r="D26" i="2"/>
  <c r="D9" i="2"/>
  <c r="D27" i="2"/>
  <c r="D28" i="2"/>
  <c r="F2" i="2"/>
  <c r="E8" i="2"/>
  <c r="C9" i="2"/>
  <c r="C28" i="2"/>
  <c r="C27" i="2"/>
  <c r="C26" i="2"/>
  <c r="E107" i="2"/>
  <c r="F107" i="2"/>
  <c r="D107" i="2"/>
  <c r="F112" i="2"/>
  <c r="E112" i="2"/>
  <c r="D112" i="2"/>
  <c r="F106" i="2"/>
  <c r="E106" i="2"/>
  <c r="D106" i="2"/>
  <c r="F102" i="2"/>
  <c r="F103" i="2" s="1"/>
  <c r="F151" i="2" s="1"/>
  <c r="E102" i="2"/>
  <c r="E103" i="2" s="1"/>
  <c r="E151" i="2" s="1"/>
  <c r="D102" i="2"/>
  <c r="D103" i="2" s="1"/>
  <c r="D151" i="2" s="1"/>
  <c r="F98" i="2"/>
  <c r="E98" i="2"/>
  <c r="D98" i="2"/>
  <c r="F97" i="2"/>
  <c r="E97" i="2"/>
  <c r="D97" i="2"/>
  <c r="F96" i="2"/>
  <c r="E96" i="2"/>
  <c r="D96" i="2"/>
  <c r="F94" i="2"/>
  <c r="E94" i="2"/>
  <c r="D94" i="2"/>
  <c r="C144" i="2"/>
  <c r="C141" i="2"/>
  <c r="D144" i="2"/>
  <c r="D157" i="2" s="1"/>
  <c r="C138" i="2"/>
  <c r="C121" i="2"/>
  <c r="C70" i="2"/>
  <c r="C73" i="2" s="1"/>
  <c r="C84" i="2"/>
  <c r="D138" i="2"/>
  <c r="C126" i="2"/>
  <c r="E138" i="2"/>
  <c r="F138" i="2"/>
  <c r="C50" i="2"/>
  <c r="D50" i="2"/>
  <c r="D18" i="2" s="1"/>
  <c r="E50" i="2"/>
  <c r="F50" i="2"/>
  <c r="F18" i="2" s="1"/>
  <c r="D121" i="2"/>
  <c r="D126" i="2"/>
  <c r="E121" i="2"/>
  <c r="E126" i="2"/>
  <c r="F121" i="2"/>
  <c r="G119" i="2" s="1"/>
  <c r="F126" i="2"/>
  <c r="G124" i="2" s="1"/>
  <c r="D70" i="2"/>
  <c r="D73" i="2" s="1"/>
  <c r="E70" i="2"/>
  <c r="E73" i="2" s="1"/>
  <c r="F70" i="2"/>
  <c r="F73" i="2" s="1"/>
  <c r="H131" i="2" l="1"/>
  <c r="G78" i="2"/>
  <c r="G108" i="2" s="1"/>
  <c r="G109" i="2" s="1"/>
  <c r="G152" i="2" s="1"/>
  <c r="L82" i="2"/>
  <c r="L106" i="2" s="1"/>
  <c r="G121" i="2"/>
  <c r="H134" i="2"/>
  <c r="C52" i="2"/>
  <c r="C54" i="2" s="1"/>
  <c r="C56" i="2" s="1"/>
  <c r="C23" i="2" s="1"/>
  <c r="C18" i="2"/>
  <c r="E9" i="2"/>
  <c r="E27" i="2"/>
  <c r="E26" i="2"/>
  <c r="E28" i="2"/>
  <c r="E52" i="2"/>
  <c r="E143" i="2" s="1"/>
  <c r="E156" i="2" s="1"/>
  <c r="E18" i="2"/>
  <c r="G2" i="2"/>
  <c r="F8" i="2"/>
  <c r="C140" i="2"/>
  <c r="F52" i="2"/>
  <c r="F143" i="2" s="1"/>
  <c r="F156" i="2" s="1"/>
  <c r="C128" i="2"/>
  <c r="D128" i="2"/>
  <c r="D108" i="2"/>
  <c r="D109" i="2" s="1"/>
  <c r="D152" i="2" s="1"/>
  <c r="F128" i="2"/>
  <c r="F108" i="2"/>
  <c r="F109" i="2" s="1"/>
  <c r="F152" i="2" s="1"/>
  <c r="F79" i="2"/>
  <c r="E144" i="2"/>
  <c r="E157" i="2" s="1"/>
  <c r="D52" i="2"/>
  <c r="E79" i="2"/>
  <c r="E128" i="2"/>
  <c r="E54" i="2"/>
  <c r="E56" i="2" s="1"/>
  <c r="E23" i="2" s="1"/>
  <c r="D141" i="2"/>
  <c r="F144" i="2"/>
  <c r="F157" i="2" s="1"/>
  <c r="E108" i="2"/>
  <c r="E109" i="2" s="1"/>
  <c r="E152" i="2" s="1"/>
  <c r="D79" i="2"/>
  <c r="I131" i="2" l="1"/>
  <c r="H78" i="2"/>
  <c r="H108" i="2" s="1"/>
  <c r="H109" i="2" s="1"/>
  <c r="H152" i="2" s="1"/>
  <c r="M82" i="2"/>
  <c r="M106" i="2" s="1"/>
  <c r="I134" i="2"/>
  <c r="H119" i="2"/>
  <c r="C143" i="2"/>
  <c r="F9" i="2"/>
  <c r="F27" i="2"/>
  <c r="F28" i="2"/>
  <c r="F26" i="2"/>
  <c r="H2" i="2"/>
  <c r="G8" i="2"/>
  <c r="G9" i="2" s="1"/>
  <c r="C79" i="2"/>
  <c r="C85" i="2" s="1"/>
  <c r="C87" i="2" s="1"/>
  <c r="C3" i="2" s="1"/>
  <c r="F54" i="2"/>
  <c r="F56" i="2" s="1"/>
  <c r="F23" i="2" s="1"/>
  <c r="C58" i="2"/>
  <c r="E58" i="2"/>
  <c r="E93" i="2" s="1"/>
  <c r="E99" i="2" s="1"/>
  <c r="E150" i="2" s="1"/>
  <c r="D143" i="2"/>
  <c r="D156" i="2" s="1"/>
  <c r="D54" i="2"/>
  <c r="D56" i="2" s="1"/>
  <c r="D23" i="2" s="1"/>
  <c r="E141" i="2"/>
  <c r="J131" i="2" l="1"/>
  <c r="J134" i="2" s="1"/>
  <c r="I78" i="2"/>
  <c r="I108" i="2" s="1"/>
  <c r="I109" i="2" s="1"/>
  <c r="I152" i="2" s="1"/>
  <c r="N82" i="2"/>
  <c r="N106" i="2" s="1"/>
  <c r="G48" i="2"/>
  <c r="G68" i="2" s="1"/>
  <c r="G96" i="2" s="1"/>
  <c r="G136" i="2"/>
  <c r="G125" i="2"/>
  <c r="H121" i="2"/>
  <c r="I2" i="2"/>
  <c r="H8" i="2"/>
  <c r="H9" i="2" s="1"/>
  <c r="H125" i="2" s="1"/>
  <c r="H53" i="2" s="1"/>
  <c r="H94" i="2" s="1"/>
  <c r="E111" i="2"/>
  <c r="E113" i="2" s="1"/>
  <c r="E153" i="2" s="1"/>
  <c r="D58" i="2"/>
  <c r="F58" i="2"/>
  <c r="F93" i="2" s="1"/>
  <c r="F99" i="2" s="1"/>
  <c r="F150" i="2" s="1"/>
  <c r="F141" i="2"/>
  <c r="K131" i="2" l="1"/>
  <c r="J78" i="2"/>
  <c r="J108" i="2" s="1"/>
  <c r="J109" i="2" s="1"/>
  <c r="J152" i="2" s="1"/>
  <c r="G126" i="2"/>
  <c r="G128" i="2" s="1"/>
  <c r="G72" i="2" s="1"/>
  <c r="G53" i="2"/>
  <c r="G94" i="2" s="1"/>
  <c r="G138" i="2"/>
  <c r="G55" i="2"/>
  <c r="O82" i="2"/>
  <c r="O106" i="2" s="1"/>
  <c r="G20" i="2"/>
  <c r="G49" i="2"/>
  <c r="G50" i="2" s="1"/>
  <c r="G52" i="2" s="1"/>
  <c r="K134" i="2"/>
  <c r="I119" i="2"/>
  <c r="H124" i="2"/>
  <c r="H126" i="2" s="1"/>
  <c r="I124" i="2" s="1"/>
  <c r="H48" i="2"/>
  <c r="H68" i="2" s="1"/>
  <c r="H96" i="2" s="1"/>
  <c r="H136" i="2"/>
  <c r="J2" i="2"/>
  <c r="I8" i="2"/>
  <c r="I9" i="2" s="1"/>
  <c r="I48" i="2" s="1"/>
  <c r="D93" i="2"/>
  <c r="D99" i="2" s="1"/>
  <c r="F111" i="2"/>
  <c r="F113" i="2" s="1"/>
  <c r="D84" i="2"/>
  <c r="G69" i="2" l="1"/>
  <c r="G97" i="2" s="1"/>
  <c r="G77" i="2"/>
  <c r="G79" i="2" s="1"/>
  <c r="G112" i="2"/>
  <c r="F153" i="2"/>
  <c r="D111" i="2"/>
  <c r="D113" i="2" s="1"/>
  <c r="D153" i="2" s="1"/>
  <c r="D150" i="2"/>
  <c r="G143" i="2"/>
  <c r="G156" i="2" s="1"/>
  <c r="G54" i="2"/>
  <c r="G56" i="2" s="1"/>
  <c r="H138" i="2"/>
  <c r="H55" i="2"/>
  <c r="L131" i="2"/>
  <c r="L134" i="2" s="1"/>
  <c r="K78" i="2"/>
  <c r="K108" i="2" s="1"/>
  <c r="K109" i="2" s="1"/>
  <c r="K152" i="2" s="1"/>
  <c r="P82" i="2"/>
  <c r="P106" i="2" s="1"/>
  <c r="H20" i="2"/>
  <c r="H49" i="2"/>
  <c r="I68" i="2"/>
  <c r="I96" i="2" s="1"/>
  <c r="I136" i="2"/>
  <c r="I121" i="2"/>
  <c r="I125" i="2"/>
  <c r="H128" i="2"/>
  <c r="H72" i="2" s="1"/>
  <c r="K2" i="2"/>
  <c r="J8" i="2"/>
  <c r="J9" i="2" s="1"/>
  <c r="D140" i="2"/>
  <c r="D85" i="2"/>
  <c r="D87" i="2" s="1"/>
  <c r="D3" i="2" s="1"/>
  <c r="F84" i="2"/>
  <c r="F140" i="2" s="1"/>
  <c r="E84" i="2"/>
  <c r="G98" i="2" l="1"/>
  <c r="M131" i="2"/>
  <c r="L78" i="2"/>
  <c r="L108" i="2" s="1"/>
  <c r="L109" i="2" s="1"/>
  <c r="L152" i="2" s="1"/>
  <c r="H69" i="2"/>
  <c r="H77" i="2"/>
  <c r="I138" i="2"/>
  <c r="I55" i="2"/>
  <c r="H50" i="2"/>
  <c r="H52" i="2" s="1"/>
  <c r="G57" i="2"/>
  <c r="G58" i="2" s="1"/>
  <c r="I126" i="2"/>
  <c r="J124" i="2" s="1"/>
  <c r="I53" i="2"/>
  <c r="I94" i="2" s="1"/>
  <c r="Q82" i="2"/>
  <c r="Q106" i="2" s="1"/>
  <c r="J48" i="2"/>
  <c r="J68" i="2" s="1"/>
  <c r="J96" i="2" s="1"/>
  <c r="J136" i="2"/>
  <c r="J119" i="2"/>
  <c r="I49" i="2"/>
  <c r="I20" i="2"/>
  <c r="M134" i="2"/>
  <c r="L2" i="2"/>
  <c r="K8" i="2"/>
  <c r="K9" i="2" s="1"/>
  <c r="F85" i="2"/>
  <c r="F87" i="2" s="1"/>
  <c r="F3" i="2" s="1"/>
  <c r="E140" i="2"/>
  <c r="E85" i="2"/>
  <c r="E87" i="2" s="1"/>
  <c r="E3" i="2" s="1"/>
  <c r="G83" i="2" l="1"/>
  <c r="G84" i="2" s="1"/>
  <c r="G93" i="2"/>
  <c r="G99" i="2" s="1"/>
  <c r="H79" i="2"/>
  <c r="H98" i="2"/>
  <c r="H97" i="2"/>
  <c r="I128" i="2"/>
  <c r="I72" i="2" s="1"/>
  <c r="H143" i="2"/>
  <c r="H156" i="2" s="1"/>
  <c r="H54" i="2"/>
  <c r="H56" i="2" s="1"/>
  <c r="H57" i="2" s="1"/>
  <c r="H58" i="2" s="1"/>
  <c r="N131" i="2"/>
  <c r="N134" i="2" s="1"/>
  <c r="M78" i="2"/>
  <c r="M108" i="2" s="1"/>
  <c r="M109" i="2" s="1"/>
  <c r="M152" i="2" s="1"/>
  <c r="I69" i="2"/>
  <c r="I77" i="2"/>
  <c r="J138" i="2"/>
  <c r="J55" i="2"/>
  <c r="I50" i="2"/>
  <c r="I52" i="2" s="1"/>
  <c r="I143" i="2" s="1"/>
  <c r="I156" i="2" s="1"/>
  <c r="R82" i="2"/>
  <c r="R106" i="2" s="1"/>
  <c r="J20" i="2"/>
  <c r="J49" i="2"/>
  <c r="K48" i="2"/>
  <c r="K68" i="2" s="1"/>
  <c r="K96" i="2" s="1"/>
  <c r="K136" i="2"/>
  <c r="J121" i="2"/>
  <c r="J125" i="2"/>
  <c r="M2" i="2"/>
  <c r="L8" i="2"/>
  <c r="L9" i="2" s="1"/>
  <c r="G111" i="2" l="1"/>
  <c r="G113" i="2" s="1"/>
  <c r="G153" i="2" s="1"/>
  <c r="G150" i="2"/>
  <c r="G67" i="2"/>
  <c r="G70" i="2" s="1"/>
  <c r="G73" i="2" s="1"/>
  <c r="H112" i="2"/>
  <c r="H83" i="2"/>
  <c r="H84" i="2" s="1"/>
  <c r="H93" i="2"/>
  <c r="H99" i="2" s="1"/>
  <c r="I79" i="2"/>
  <c r="I98" i="2"/>
  <c r="I97" i="2"/>
  <c r="O131" i="2"/>
  <c r="O134" i="2" s="1"/>
  <c r="N78" i="2"/>
  <c r="N108" i="2" s="1"/>
  <c r="N109" i="2" s="1"/>
  <c r="N152" i="2" s="1"/>
  <c r="I54" i="2"/>
  <c r="I56" i="2" s="1"/>
  <c r="K138" i="2"/>
  <c r="K55" i="2"/>
  <c r="J50" i="2"/>
  <c r="J52" i="2" s="1"/>
  <c r="J77" i="2"/>
  <c r="J69" i="2"/>
  <c r="J126" i="2"/>
  <c r="K124" i="2" s="1"/>
  <c r="J53" i="2"/>
  <c r="J94" i="2" s="1"/>
  <c r="G140" i="2"/>
  <c r="G85" i="2"/>
  <c r="K20" i="2"/>
  <c r="K49" i="2"/>
  <c r="K119" i="2"/>
  <c r="L48" i="2"/>
  <c r="L68" i="2" s="1"/>
  <c r="L96" i="2" s="1"/>
  <c r="L136" i="2"/>
  <c r="N2" i="2"/>
  <c r="M8" i="2"/>
  <c r="M9" i="2" s="1"/>
  <c r="H111" i="2" l="1"/>
  <c r="H150" i="2"/>
  <c r="G87" i="2"/>
  <c r="G3" i="2" s="1"/>
  <c r="H113" i="2"/>
  <c r="J97" i="2"/>
  <c r="J79" i="2"/>
  <c r="J98" i="2"/>
  <c r="K77" i="2"/>
  <c r="K69" i="2"/>
  <c r="H85" i="2"/>
  <c r="H140" i="2"/>
  <c r="P131" i="2"/>
  <c r="P134" i="2" s="1"/>
  <c r="O78" i="2"/>
  <c r="O108" i="2" s="1"/>
  <c r="O109" i="2" s="1"/>
  <c r="O152" i="2" s="1"/>
  <c r="L138" i="2"/>
  <c r="L55" i="2"/>
  <c r="I57" i="2"/>
  <c r="I58" i="2" s="1"/>
  <c r="K50" i="2"/>
  <c r="K52" i="2" s="1"/>
  <c r="J128" i="2"/>
  <c r="J72" i="2" s="1"/>
  <c r="J143" i="2"/>
  <c r="J156" i="2" s="1"/>
  <c r="J54" i="2"/>
  <c r="J56" i="2" s="1"/>
  <c r="L49" i="2"/>
  <c r="M48" i="2"/>
  <c r="M68" i="2" s="1"/>
  <c r="M96" i="2" s="1"/>
  <c r="M136" i="2"/>
  <c r="K121" i="2"/>
  <c r="K125" i="2"/>
  <c r="L20" i="2"/>
  <c r="O2" i="2"/>
  <c r="N8" i="2"/>
  <c r="N9" i="2" s="1"/>
  <c r="I112" i="2" l="1"/>
  <c r="H153" i="2"/>
  <c r="H67" i="2"/>
  <c r="H70" i="2" s="1"/>
  <c r="H73" i="2" s="1"/>
  <c r="H87" i="2" s="1"/>
  <c r="H3" i="2" s="1"/>
  <c r="I83" i="2"/>
  <c r="I84" i="2" s="1"/>
  <c r="I93" i="2"/>
  <c r="I99" i="2" s="1"/>
  <c r="K97" i="2"/>
  <c r="K79" i="2"/>
  <c r="K98" i="2"/>
  <c r="Q131" i="2"/>
  <c r="Q134" i="2" s="1"/>
  <c r="P78" i="2"/>
  <c r="P108" i="2" s="1"/>
  <c r="P109" i="2" s="1"/>
  <c r="P152" i="2" s="1"/>
  <c r="M138" i="2"/>
  <c r="M55" i="2"/>
  <c r="M20" i="2"/>
  <c r="M49" i="2"/>
  <c r="K126" i="2"/>
  <c r="L124" i="2" s="1"/>
  <c r="K53" i="2"/>
  <c r="K143" i="2"/>
  <c r="K156" i="2" s="1"/>
  <c r="L77" i="2"/>
  <c r="L69" i="2"/>
  <c r="J57" i="2"/>
  <c r="J58" i="2" s="1"/>
  <c r="L50" i="2"/>
  <c r="L52" i="2" s="1"/>
  <c r="L143" i="2" s="1"/>
  <c r="L156" i="2" s="1"/>
  <c r="L119" i="2"/>
  <c r="N48" i="2"/>
  <c r="N68" i="2" s="1"/>
  <c r="N96" i="2" s="1"/>
  <c r="N136" i="2"/>
  <c r="P2" i="2"/>
  <c r="O8" i="2"/>
  <c r="O9" i="2" s="1"/>
  <c r="I111" i="2" l="1"/>
  <c r="I113" i="2" s="1"/>
  <c r="I153" i="2" s="1"/>
  <c r="I150" i="2"/>
  <c r="J83" i="2"/>
  <c r="J84" i="2" s="1"/>
  <c r="J93" i="2"/>
  <c r="J99" i="2" s="1"/>
  <c r="K54" i="2"/>
  <c r="K56" i="2" s="1"/>
  <c r="K57" i="2" s="1"/>
  <c r="K58" i="2" s="1"/>
  <c r="K94" i="2"/>
  <c r="L79" i="2"/>
  <c r="L98" i="2"/>
  <c r="L97" i="2"/>
  <c r="K128" i="2"/>
  <c r="K72" i="2" s="1"/>
  <c r="M69" i="2"/>
  <c r="M77" i="2"/>
  <c r="R131" i="2"/>
  <c r="R134" i="2" s="1"/>
  <c r="R78" i="2" s="1"/>
  <c r="Q78" i="2"/>
  <c r="Q108" i="2" s="1"/>
  <c r="Q109" i="2" s="1"/>
  <c r="Q152" i="2" s="1"/>
  <c r="I85" i="2"/>
  <c r="I140" i="2"/>
  <c r="N138" i="2"/>
  <c r="N55" i="2"/>
  <c r="M50" i="2"/>
  <c r="M52" i="2" s="1"/>
  <c r="M143" i="2" s="1"/>
  <c r="M156" i="2" s="1"/>
  <c r="N20" i="2"/>
  <c r="N49" i="2"/>
  <c r="N50" i="2" s="1"/>
  <c r="N52" i="2" s="1"/>
  <c r="L121" i="2"/>
  <c r="L125" i="2"/>
  <c r="O48" i="2"/>
  <c r="O68" i="2" s="1"/>
  <c r="O96" i="2" s="1"/>
  <c r="O136" i="2"/>
  <c r="Q2" i="2"/>
  <c r="P8" i="2"/>
  <c r="P9" i="2" s="1"/>
  <c r="R108" i="2" l="1"/>
  <c r="R109" i="2" s="1"/>
  <c r="R152" i="2" s="1"/>
  <c r="I67" i="2"/>
  <c r="I70" i="2" s="1"/>
  <c r="I73" i="2" s="1"/>
  <c r="I87" i="2" s="1"/>
  <c r="I3" i="2" s="1"/>
  <c r="J112" i="2"/>
  <c r="J111" i="2"/>
  <c r="J150" i="2"/>
  <c r="J113" i="2"/>
  <c r="K83" i="2"/>
  <c r="K84" i="2" s="1"/>
  <c r="K93" i="2"/>
  <c r="K99" i="2" s="1"/>
  <c r="M97" i="2"/>
  <c r="M79" i="2"/>
  <c r="M98" i="2"/>
  <c r="O138" i="2"/>
  <c r="O55" i="2"/>
  <c r="L126" i="2"/>
  <c r="M124" i="2" s="1"/>
  <c r="L53" i="2"/>
  <c r="N69" i="2"/>
  <c r="N77" i="2"/>
  <c r="J85" i="2"/>
  <c r="J140" i="2"/>
  <c r="N143" i="2"/>
  <c r="N156" i="2" s="1"/>
  <c r="O20" i="2"/>
  <c r="O49" i="2"/>
  <c r="O50" i="2" s="1"/>
  <c r="O52" i="2" s="1"/>
  <c r="M119" i="2"/>
  <c r="P48" i="2"/>
  <c r="P68" i="2" s="1"/>
  <c r="P96" i="2" s="1"/>
  <c r="P136" i="2"/>
  <c r="R2" i="2"/>
  <c r="R8" i="2" s="1"/>
  <c r="R9" i="2" s="1"/>
  <c r="R48" i="2" s="1"/>
  <c r="R68" i="2" s="1"/>
  <c r="Q8" i="2"/>
  <c r="Q9" i="2" s="1"/>
  <c r="K111" i="2" l="1"/>
  <c r="K150" i="2"/>
  <c r="K112" i="2"/>
  <c r="J153" i="2"/>
  <c r="O143" i="2"/>
  <c r="O156" i="2" s="1"/>
  <c r="J67" i="2"/>
  <c r="J70" i="2" s="1"/>
  <c r="J73" i="2" s="1"/>
  <c r="J87" i="2" s="1"/>
  <c r="J3" i="2" s="1"/>
  <c r="N79" i="2"/>
  <c r="N98" i="2"/>
  <c r="N97" i="2"/>
  <c r="L54" i="2"/>
  <c r="L56" i="2" s="1"/>
  <c r="L57" i="2" s="1"/>
  <c r="L58" i="2" s="1"/>
  <c r="L94" i="2"/>
  <c r="P138" i="2"/>
  <c r="P55" i="2"/>
  <c r="K85" i="2"/>
  <c r="K140" i="2"/>
  <c r="L128" i="2"/>
  <c r="L72" i="2" s="1"/>
  <c r="O69" i="2"/>
  <c r="O77" i="2"/>
  <c r="Q48" i="2"/>
  <c r="Q68" i="2" s="1"/>
  <c r="Q96" i="2" s="1"/>
  <c r="Q136" i="2"/>
  <c r="P20" i="2"/>
  <c r="P49" i="2"/>
  <c r="M121" i="2"/>
  <c r="M125" i="2"/>
  <c r="R136" i="2"/>
  <c r="R49" i="2"/>
  <c r="R20" i="2"/>
  <c r="K113" i="2" l="1"/>
  <c r="L112" i="2"/>
  <c r="K153" i="2"/>
  <c r="K67" i="2"/>
  <c r="K70" i="2" s="1"/>
  <c r="K73" i="2" s="1"/>
  <c r="K87" i="2" s="1"/>
  <c r="K3" i="2" s="1"/>
  <c r="L83" i="2"/>
  <c r="L84" i="2" s="1"/>
  <c r="L85" i="2" s="1"/>
  <c r="L93" i="2"/>
  <c r="L99" i="2" s="1"/>
  <c r="O79" i="2"/>
  <c r="O98" i="2"/>
  <c r="O97" i="2"/>
  <c r="R96" i="2"/>
  <c r="Q138" i="2"/>
  <c r="Q55" i="2"/>
  <c r="P69" i="2"/>
  <c r="P77" i="2"/>
  <c r="R138" i="2"/>
  <c r="R55" i="2"/>
  <c r="R77" i="2"/>
  <c r="R69" i="2"/>
  <c r="P50" i="2"/>
  <c r="P52" i="2" s="1"/>
  <c r="P143" i="2" s="1"/>
  <c r="P156" i="2" s="1"/>
  <c r="M126" i="2"/>
  <c r="N124" i="2" s="1"/>
  <c r="M53" i="2"/>
  <c r="Q49" i="2"/>
  <c r="Q20" i="2"/>
  <c r="N119" i="2"/>
  <c r="R50" i="2"/>
  <c r="R52" i="2" s="1"/>
  <c r="L111" i="2" l="1"/>
  <c r="L113" i="2" s="1"/>
  <c r="L153" i="2" s="1"/>
  <c r="L150" i="2"/>
  <c r="L140" i="2"/>
  <c r="M54" i="2"/>
  <c r="M56" i="2" s="1"/>
  <c r="M57" i="2" s="1"/>
  <c r="M58" i="2" s="1"/>
  <c r="M94" i="2"/>
  <c r="P97" i="2"/>
  <c r="P79" i="2"/>
  <c r="P98" i="2"/>
  <c r="R79" i="2"/>
  <c r="M112" i="2"/>
  <c r="L67" i="2"/>
  <c r="L70" i="2" s="1"/>
  <c r="L73" i="2" s="1"/>
  <c r="L87" i="2" s="1"/>
  <c r="L3" i="2" s="1"/>
  <c r="Q50" i="2"/>
  <c r="Q52" i="2" s="1"/>
  <c r="Q143" i="2" s="1"/>
  <c r="Q156" i="2" s="1"/>
  <c r="Q77" i="2"/>
  <c r="Q69" i="2"/>
  <c r="R143" i="2"/>
  <c r="R156" i="2" s="1"/>
  <c r="M128" i="2"/>
  <c r="M72" i="2" s="1"/>
  <c r="N121" i="2"/>
  <c r="N125" i="2"/>
  <c r="Q97" i="2" l="1"/>
  <c r="Q79" i="2"/>
  <c r="Q98" i="2"/>
  <c r="R98" i="2"/>
  <c r="R97" i="2"/>
  <c r="M83" i="2"/>
  <c r="M84" i="2" s="1"/>
  <c r="M85" i="2" s="1"/>
  <c r="M93" i="2"/>
  <c r="M99" i="2" s="1"/>
  <c r="N126" i="2"/>
  <c r="O124" i="2" s="1"/>
  <c r="N53" i="2"/>
  <c r="O119" i="2"/>
  <c r="M111" i="2" l="1"/>
  <c r="M113" i="2" s="1"/>
  <c r="M153" i="2" s="1"/>
  <c r="M150" i="2"/>
  <c r="N128" i="2"/>
  <c r="N72" i="2" s="1"/>
  <c r="M140" i="2"/>
  <c r="N54" i="2"/>
  <c r="N56" i="2" s="1"/>
  <c r="N57" i="2" s="1"/>
  <c r="N58" i="2" s="1"/>
  <c r="N94" i="2"/>
  <c r="N112" i="2"/>
  <c r="M67" i="2"/>
  <c r="M70" i="2" s="1"/>
  <c r="M73" i="2" s="1"/>
  <c r="M87" i="2" s="1"/>
  <c r="M3" i="2" s="1"/>
  <c r="O121" i="2"/>
  <c r="O125" i="2"/>
  <c r="N83" i="2" l="1"/>
  <c r="N84" i="2" s="1"/>
  <c r="N93" i="2"/>
  <c r="N99" i="2" s="1"/>
  <c r="O126" i="2"/>
  <c r="P124" i="2" s="1"/>
  <c r="O53" i="2"/>
  <c r="P119" i="2"/>
  <c r="O128" i="2"/>
  <c r="O72" i="2" s="1"/>
  <c r="N111" i="2" l="1"/>
  <c r="N113" i="2" s="1"/>
  <c r="N153" i="2" s="1"/>
  <c r="N150" i="2"/>
  <c r="O54" i="2"/>
  <c r="O56" i="2" s="1"/>
  <c r="O57" i="2" s="1"/>
  <c r="O58" i="2" s="1"/>
  <c r="O94" i="2"/>
  <c r="N85" i="2"/>
  <c r="N140" i="2"/>
  <c r="P121" i="2"/>
  <c r="P125" i="2"/>
  <c r="N67" i="2" l="1"/>
  <c r="N70" i="2" s="1"/>
  <c r="N73" i="2" s="1"/>
  <c r="N87" i="2" s="1"/>
  <c r="N3" i="2" s="1"/>
  <c r="O112" i="2"/>
  <c r="O83" i="2"/>
  <c r="O84" i="2" s="1"/>
  <c r="O85" i="2" s="1"/>
  <c r="O93" i="2"/>
  <c r="O99" i="2" s="1"/>
  <c r="P126" i="2"/>
  <c r="Q124" i="2" s="1"/>
  <c r="P53" i="2"/>
  <c r="Q119" i="2"/>
  <c r="P128" i="2" l="1"/>
  <c r="P72" i="2" s="1"/>
  <c r="O111" i="2"/>
  <c r="O113" i="2" s="1"/>
  <c r="O153" i="2" s="1"/>
  <c r="O150" i="2"/>
  <c r="P54" i="2"/>
  <c r="P56" i="2" s="1"/>
  <c r="P57" i="2" s="1"/>
  <c r="P58" i="2" s="1"/>
  <c r="P94" i="2"/>
  <c r="O140" i="2"/>
  <c r="Q121" i="2"/>
  <c r="Q125" i="2"/>
  <c r="O67" i="2" l="1"/>
  <c r="O70" i="2" s="1"/>
  <c r="O73" i="2" s="1"/>
  <c r="O87" i="2" s="1"/>
  <c r="O3" i="2" s="1"/>
  <c r="P112" i="2"/>
  <c r="P83" i="2"/>
  <c r="P84" i="2" s="1"/>
  <c r="P93" i="2"/>
  <c r="P99" i="2" s="1"/>
  <c r="Q126" i="2"/>
  <c r="R124" i="2" s="1"/>
  <c r="Q53" i="2"/>
  <c r="R119" i="2"/>
  <c r="P111" i="2" l="1"/>
  <c r="P113" i="2" s="1"/>
  <c r="P153" i="2" s="1"/>
  <c r="P150" i="2"/>
  <c r="Q128" i="2"/>
  <c r="Q72" i="2" s="1"/>
  <c r="Q54" i="2"/>
  <c r="Q56" i="2" s="1"/>
  <c r="Q94" i="2"/>
  <c r="P85" i="2"/>
  <c r="P140" i="2"/>
  <c r="Q57" i="2"/>
  <c r="Q58" i="2" s="1"/>
  <c r="R121" i="2"/>
  <c r="R125" i="2"/>
  <c r="Q112" i="2" l="1"/>
  <c r="P67" i="2"/>
  <c r="P70" i="2" s="1"/>
  <c r="P73" i="2" s="1"/>
  <c r="P87" i="2" s="1"/>
  <c r="P3" i="2" s="1"/>
  <c r="Q83" i="2"/>
  <c r="Q84" i="2" s="1"/>
  <c r="Q93" i="2"/>
  <c r="Q99" i="2" s="1"/>
  <c r="R126" i="2"/>
  <c r="R128" i="2" s="1"/>
  <c r="R72" i="2" s="1"/>
  <c r="R53" i="2"/>
  <c r="Q111" i="2" l="1"/>
  <c r="Q113" i="2" s="1"/>
  <c r="Q153" i="2" s="1"/>
  <c r="Q150" i="2"/>
  <c r="R112" i="2"/>
  <c r="Q67" i="2"/>
  <c r="Q70" i="2" s="1"/>
  <c r="Q73" i="2" s="1"/>
  <c r="R54" i="2"/>
  <c r="R56" i="2" s="1"/>
  <c r="R57" i="2" s="1"/>
  <c r="R58" i="2" s="1"/>
  <c r="R94" i="2"/>
  <c r="Q85" i="2"/>
  <c r="Q140" i="2"/>
  <c r="Q87" i="2" l="1"/>
  <c r="Q3" i="2" s="1"/>
  <c r="R83" i="2"/>
  <c r="R84" i="2" s="1"/>
  <c r="R85" i="2" s="1"/>
  <c r="R93" i="2"/>
  <c r="R99" i="2" s="1"/>
  <c r="R111" i="2" l="1"/>
  <c r="R113" i="2" s="1"/>
  <c r="R150" i="2"/>
  <c r="R140" i="2"/>
  <c r="R67" i="2" l="1"/>
  <c r="R70" i="2" s="1"/>
  <c r="R73" i="2" s="1"/>
  <c r="R87" i="2" s="1"/>
  <c r="R3" i="2" s="1"/>
  <c r="R153" i="2"/>
</calcChain>
</file>

<file path=xl/sharedStrings.xml><?xml version="1.0" encoding="utf-8"?>
<sst xmlns="http://schemas.openxmlformats.org/spreadsheetml/2006/main" count="160" uniqueCount="126">
  <si>
    <t>Income before taxes</t>
  </si>
  <si>
    <t>Taxes</t>
  </si>
  <si>
    <t>Interest</t>
  </si>
  <si>
    <t>Assets</t>
  </si>
  <si>
    <t>Cash</t>
  </si>
  <si>
    <t>Trade and other receivables</t>
  </si>
  <si>
    <t>Inventories</t>
  </si>
  <si>
    <t>Non-current assets</t>
  </si>
  <si>
    <t>Property and equipment, net</t>
  </si>
  <si>
    <t>Accumulated depreciation</t>
  </si>
  <si>
    <t>Liabilities and shareholders' equity</t>
  </si>
  <si>
    <t>Current assets:</t>
  </si>
  <si>
    <t>Total current assets</t>
  </si>
  <si>
    <t>Shareholder's equity:</t>
  </si>
  <si>
    <t>Retained earnings</t>
  </si>
  <si>
    <t>Total shareholders' equity</t>
  </si>
  <si>
    <t>Total liabilities and shareholders' equity</t>
  </si>
  <si>
    <t>Trade and other payables</t>
  </si>
  <si>
    <t>Net income</t>
  </si>
  <si>
    <t>Depreciation</t>
  </si>
  <si>
    <t xml:space="preserve">  Inventories</t>
  </si>
  <si>
    <t xml:space="preserve">  Trade and other receivables</t>
  </si>
  <si>
    <t xml:space="preserve">  Trade and other payables</t>
  </si>
  <si>
    <t>Cash flows from financing activities</t>
  </si>
  <si>
    <t>Investing activities:</t>
  </si>
  <si>
    <t>Financing activities:</t>
  </si>
  <si>
    <t xml:space="preserve">  Issuance of common stock</t>
  </si>
  <si>
    <t>Total assets</t>
  </si>
  <si>
    <t>Revenues</t>
  </si>
  <si>
    <t>COGS</t>
  </si>
  <si>
    <t>Gross profit</t>
  </si>
  <si>
    <t>EBIT</t>
  </si>
  <si>
    <t>SG&amp;A</t>
  </si>
  <si>
    <t>Revenue assumption</t>
  </si>
  <si>
    <t>Operating cost assumptions</t>
  </si>
  <si>
    <t>Tax assumptions</t>
  </si>
  <si>
    <t>Opening balance</t>
  </si>
  <si>
    <t>Capital expenditure assumptions</t>
  </si>
  <si>
    <t>Working capital assumptions</t>
  </si>
  <si>
    <t>Term loan</t>
  </si>
  <si>
    <t>Number of stores</t>
  </si>
  <si>
    <t>Number of new stores</t>
  </si>
  <si>
    <t>Sq ft per store</t>
  </si>
  <si>
    <t>Gross margins</t>
  </si>
  <si>
    <t>SG&amp;A as a percent of revenues</t>
  </si>
  <si>
    <t>Effective tax rate</t>
  </si>
  <si>
    <t>Closing balance</t>
  </si>
  <si>
    <t>Depreciation rate</t>
  </si>
  <si>
    <t>CAPEX</t>
  </si>
  <si>
    <t>At start of month</t>
  </si>
  <si>
    <t>At end of month</t>
  </si>
  <si>
    <t>Current month expense</t>
  </si>
  <si>
    <t>Cost to build per square foot</t>
  </si>
  <si>
    <t xml:space="preserve">  Increase/(decrease) in term debt</t>
  </si>
  <si>
    <t>EBITDA</t>
  </si>
  <si>
    <t>Balance Sheet Check</t>
  </si>
  <si>
    <t>Assumptions</t>
  </si>
  <si>
    <t>Balance Sheet</t>
  </si>
  <si>
    <t>Income Statement</t>
  </si>
  <si>
    <t>Supporting Schedules</t>
  </si>
  <si>
    <t>Cash Flow Statement</t>
  </si>
  <si>
    <t>Financing assumptions</t>
  </si>
  <si>
    <t>Equity raised (repurchased)</t>
  </si>
  <si>
    <t>Term debt interest rate</t>
  </si>
  <si>
    <t>Term debt principal repayment</t>
  </si>
  <si>
    <t>Dividends paid</t>
  </si>
  <si>
    <t>Check</t>
  </si>
  <si>
    <t>Current liabilities</t>
  </si>
  <si>
    <t>Total liabilities</t>
  </si>
  <si>
    <t>Term debt issued</t>
  </si>
  <si>
    <t>PP&amp;E Gross cost</t>
  </si>
  <si>
    <t>Net book value of PP&amp;E</t>
  </si>
  <si>
    <t>Debt Schedule</t>
  </si>
  <si>
    <t>Repayments</t>
  </si>
  <si>
    <t>Interest payment</t>
  </si>
  <si>
    <t>Debt/Equity ratio</t>
  </si>
  <si>
    <t>Common stock and paid-in capital</t>
  </si>
  <si>
    <t>Changes in working capital:</t>
  </si>
  <si>
    <t xml:space="preserve">  Acquisitions of PP&amp;E</t>
  </si>
  <si>
    <t>Cash from investing activities</t>
  </si>
  <si>
    <t>Increase/(decrease) in cash</t>
  </si>
  <si>
    <t>Cash from operating activities:</t>
  </si>
  <si>
    <t>Cash from operating activities</t>
  </si>
  <si>
    <t>Actuals --&gt;</t>
  </si>
  <si>
    <t>Forecast --&gt;</t>
  </si>
  <si>
    <t>Debt/Eqtuiy covenant</t>
  </si>
  <si>
    <t>Debt/Equity ratio covenant</t>
  </si>
  <si>
    <t>Debt service coverage ratio covenant</t>
  </si>
  <si>
    <t>Total debt service</t>
  </si>
  <si>
    <t>Debt service ratio</t>
  </si>
  <si>
    <t>Debt service ratio covenant</t>
  </si>
  <si>
    <t>© Corporate Finance Institute</t>
  </si>
  <si>
    <t>Monthly cash balance</t>
  </si>
  <si>
    <t>Cash Flow Summary</t>
  </si>
  <si>
    <t>Receivable Days</t>
  </si>
  <si>
    <t>Inventory Days</t>
  </si>
  <si>
    <t>Payable Days</t>
  </si>
  <si>
    <t>Operating cash flow</t>
  </si>
  <si>
    <t>Investing cash flow</t>
  </si>
  <si>
    <t>Financing cash flow</t>
  </si>
  <si>
    <t>Debt Service Ratio</t>
  </si>
  <si>
    <t>Monthly Cash Flow &amp; Cash Balance</t>
  </si>
  <si>
    <t>Summary Charts</t>
  </si>
  <si>
    <t>US$ thousands</t>
  </si>
  <si>
    <t xml:space="preserve">  Dividends paid</t>
  </si>
  <si>
    <t>Cash, end of the month</t>
  </si>
  <si>
    <t>Cash, beginning of the month</t>
  </si>
  <si>
    <t>Debt Service Ratio and Covenant</t>
  </si>
  <si>
    <t>Time Periods</t>
  </si>
  <si>
    <t>Days in Period</t>
  </si>
  <si>
    <t>Periods in Year</t>
  </si>
  <si>
    <t>Issuance</t>
  </si>
  <si>
    <t>Days in Year</t>
  </si>
  <si>
    <t>Sales per square foot ($/ft/yr)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</si>
  <si>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</si>
  <si>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</si>
  <si>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</si>
  <si>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</si>
  <si>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</si>
  <si>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</si>
  <si>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12 Month Rolling Forecast</t>
  </si>
  <si>
    <t>Monthly Cash Flow Forecasting Model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</si>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</sst>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-* #,##0.00_-;\-* #,##0.00_-;_-* &quot;-&quot;??_-;_-@_-"/>
    <numFmt numFmtId="165" formatCode="0.0%"/>
    <numFmt numFmtId="166" formatCode="[Blue]0.0%"/>
    <numFmt numFmtId="167" formatCode="[Blue]#,##0;[Blue]\(#,##0\);\-"/>
    <numFmt numFmtId="168" formatCode="[$-409]dd/mmm/yy;@"/>
    <numFmt numFmtId="169" formatCode="#,##0;\(#,##0\);\-"/>
    <numFmt numFmtId="170" formatCode="#,##0.0;[Red]\(#,##0.0\);\-"/>
    <numFmt numFmtId="171" formatCode="0.00%;[Red]\(0.00%\);\-"/>
    <numFmt numFmtId="172" formatCode="#,##0.0_);[Red]\(#,##0.0\);\-"/>
    <numFmt numFmtId="173" formatCode="[Blue]#,##0.0;[Blue]\(#,##0.0\);\-"/>
    <numFmt numFmtId="174" formatCode="#,##0.0;\(#,##0.0\);\-"/>
    <numFmt numFmtId="175" formatCode="_-* #,##0_-;\(#,##0\)_-;_-* &quot;-&quot;_-;_-@_-"/>
    <numFmt numFmtId="176" formatCode="#,##0.0_);\(#,##0.0\)"/>
    <numFmt numFmtId="177" formatCode="#,##0.000_);\(#,##0.000\)"/>
    <numFmt numFmtId="178" formatCode="#,##0.000000000_);\(#,##0.000000000\)"/>
    <numFmt numFmtId="179" formatCode="0.00\x"/>
  </numFmts>
  <fonts count="4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man"/>
    </font>
    <font>
      <sz val="8"/>
      <name val="Book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Book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14"/>
      <color theme="0"/>
      <name val="Arial Narrow"/>
      <family val="2"/>
    </font>
    <font>
      <sz val="14"/>
      <color theme="1"/>
      <name val="Arial Narrow"/>
      <family val="2"/>
    </font>
    <font>
      <sz val="11"/>
      <color rgb="FF0000FF"/>
      <name val="Arial Narrow"/>
      <family val="2"/>
    </font>
    <font>
      <i/>
      <sz val="8"/>
      <name val="Arial Narrow"/>
      <family val="2"/>
    </font>
    <font>
      <i/>
      <sz val="11"/>
      <name val="Arial Narrow"/>
      <family val="2"/>
    </font>
    <font>
      <sz val="9"/>
      <color theme="0"/>
      <name val="Arial Narrow"/>
      <family val="2"/>
    </font>
    <font>
      <b/>
      <sz val="11"/>
      <color theme="0"/>
      <name val="Arial Narrow"/>
      <family val="2"/>
    </font>
    <font>
      <i/>
      <sz val="10"/>
      <color theme="0"/>
      <name val="Arial Narrow"/>
      <family val="2"/>
    </font>
    <font>
      <u/>
      <sz val="10"/>
      <color theme="10"/>
      <name val="Arial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theme="0" tint="-0.249977111117893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u/>
      <sz val="10"/>
      <color rgb="FF0000FF"/>
      <name val="Arial"/>
      <family val="2"/>
    </font>
    <font>
      <sz val="11"/>
      <color theme="0"/>
      <name val="Arial Narrow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0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164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5" fillId="23" borderId="7" applyNumberFormat="0" applyFont="0" applyAlignment="0" applyProtection="0"/>
    <xf numFmtId="0" fontId="20" fillId="20" borderId="8" applyNumberFormat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5" fillId="0" borderId="0"/>
    <xf numFmtId="0" fontId="37" fillId="0" borderId="0" applyNumberFormat="0" applyFill="0" applyBorder="0" applyAlignment="0" applyProtection="0"/>
    <xf numFmtId="0" fontId="2" fillId="0" borderId="0"/>
    <xf numFmtId="0" fontId="1" fillId="0" borderId="0"/>
    <xf numFmtId="0" fontId="37" fillId="0" borderId="0" applyNumberFormat="0" applyFill="0" applyBorder="0" applyAlignment="0" applyProtection="0"/>
  </cellStyleXfs>
  <cellXfs count="121">
    <xf numFmtId="0" fontId="0" fillId="0" borderId="0" xfId="0"/>
    <xf numFmtId="37" fontId="24" fillId="0" borderId="0" xfId="0" applyNumberFormat="1" applyFont="1"/>
    <xf numFmtId="175" fontId="25" fillId="0" borderId="0" xfId="28" applyNumberFormat="1" applyFont="1" applyProtection="1">
      <protection locked="0"/>
    </xf>
    <xf numFmtId="175" fontId="25" fillId="0" borderId="0" xfId="28" applyNumberFormat="1" applyFont="1" applyAlignment="1" applyProtection="1">
      <alignment horizontal="center"/>
      <protection locked="0"/>
    </xf>
    <xf numFmtId="175" fontId="25" fillId="0" borderId="0" xfId="28" applyNumberFormat="1" applyFont="1" applyAlignment="1" applyProtection="1">
      <alignment horizontal="right"/>
    </xf>
    <xf numFmtId="175" fontId="24" fillId="0" borderId="0" xfId="28" applyNumberFormat="1" applyFont="1" applyProtection="1">
      <protection locked="0"/>
    </xf>
    <xf numFmtId="0" fontId="26" fillId="0" borderId="0" xfId="0" applyFont="1" applyProtection="1"/>
    <xf numFmtId="0" fontId="27" fillId="0" borderId="0" xfId="0" applyFont="1" applyProtection="1"/>
    <xf numFmtId="0" fontId="28" fillId="0" borderId="0" xfId="0" applyFont="1" applyProtection="1"/>
    <xf numFmtId="173" fontId="26" fillId="0" borderId="0" xfId="0" applyNumberFormat="1" applyFont="1" applyFill="1" applyProtection="1">
      <protection locked="0"/>
    </xf>
    <xf numFmtId="172" fontId="26" fillId="0" borderId="11" xfId="0" applyNumberFormat="1" applyFont="1" applyFill="1" applyBorder="1" applyProtection="1"/>
    <xf numFmtId="0" fontId="26" fillId="0" borderId="0" xfId="45" applyFont="1" applyProtection="1"/>
    <xf numFmtId="0" fontId="26" fillId="0" borderId="0" xfId="0" applyFont="1" applyFill="1" applyBorder="1" applyProtection="1"/>
    <xf numFmtId="170" fontId="26" fillId="0" borderId="0" xfId="45" applyNumberFormat="1" applyFont="1" applyFill="1" applyProtection="1"/>
    <xf numFmtId="0" fontId="28" fillId="0" borderId="0" xfId="45" applyFont="1" applyProtection="1"/>
    <xf numFmtId="171" fontId="26" fillId="0" borderId="0" xfId="45" applyNumberFormat="1" applyFont="1" applyProtection="1"/>
    <xf numFmtId="165" fontId="26" fillId="0" borderId="0" xfId="40" applyNumberFormat="1" applyFont="1" applyFill="1" applyProtection="1"/>
    <xf numFmtId="166" fontId="26" fillId="0" borderId="0" xfId="40" applyNumberFormat="1" applyFont="1" applyFill="1" applyProtection="1">
      <protection locked="0"/>
    </xf>
    <xf numFmtId="169" fontId="26" fillId="0" borderId="0" xfId="0" applyNumberFormat="1" applyFont="1" applyFill="1" applyProtection="1"/>
    <xf numFmtId="0" fontId="26" fillId="0" borderId="0" xfId="0" applyFont="1" applyFill="1" applyProtection="1"/>
    <xf numFmtId="37" fontId="29" fillId="25" borderId="0" xfId="0" applyNumberFormat="1" applyFont="1" applyFill="1" applyAlignment="1">
      <alignment vertical="center"/>
    </xf>
    <xf numFmtId="37" fontId="30" fillId="0" borderId="0" xfId="0" applyNumberFormat="1" applyFont="1" applyAlignment="1">
      <alignment vertical="center"/>
    </xf>
    <xf numFmtId="165" fontId="31" fillId="0" borderId="0" xfId="40" applyNumberFormat="1" applyFont="1" applyFill="1" applyProtection="1"/>
    <xf numFmtId="174" fontId="26" fillId="0" borderId="0" xfId="0" applyNumberFormat="1" applyFont="1" applyFill="1" applyBorder="1" applyProtection="1"/>
    <xf numFmtId="174" fontId="26" fillId="0" borderId="12" xfId="0" applyNumberFormat="1" applyFont="1" applyFill="1" applyBorder="1" applyProtection="1"/>
    <xf numFmtId="172" fontId="26" fillId="0" borderId="0" xfId="45" applyNumberFormat="1" applyFont="1" applyProtection="1"/>
    <xf numFmtId="0" fontId="26" fillId="0" borderId="0" xfId="45" applyFont="1" applyFill="1" applyProtection="1"/>
    <xf numFmtId="172" fontId="26" fillId="0" borderId="11" xfId="45" applyNumberFormat="1" applyFont="1" applyFill="1" applyBorder="1" applyProtection="1"/>
    <xf numFmtId="0" fontId="28" fillId="0" borderId="0" xfId="0" applyFont="1"/>
    <xf numFmtId="0" fontId="26" fillId="0" borderId="0" xfId="0" applyFont="1"/>
    <xf numFmtId="0" fontId="26" fillId="0" borderId="0" xfId="0" applyFont="1" applyFill="1"/>
    <xf numFmtId="176" fontId="26" fillId="0" borderId="0" xfId="0" applyNumberFormat="1" applyFont="1" applyProtection="1"/>
    <xf numFmtId="177" fontId="33" fillId="0" borderId="0" xfId="0" applyNumberFormat="1" applyFont="1" applyProtection="1"/>
    <xf numFmtId="0" fontId="33" fillId="0" borderId="0" xfId="0" applyFont="1" applyProtection="1"/>
    <xf numFmtId="10" fontId="31" fillId="0" borderId="0" xfId="40" applyNumberFormat="1" applyFont="1" applyProtection="1"/>
    <xf numFmtId="170" fontId="26" fillId="0" borderId="14" xfId="45" applyNumberFormat="1" applyFont="1" applyFill="1" applyBorder="1" applyProtection="1"/>
    <xf numFmtId="0" fontId="26" fillId="0" borderId="14" xfId="0" applyFont="1" applyBorder="1" applyProtection="1"/>
    <xf numFmtId="0" fontId="28" fillId="0" borderId="14" xfId="0" applyFont="1" applyBorder="1" applyProtection="1"/>
    <xf numFmtId="37" fontId="34" fillId="24" borderId="0" xfId="0" applyNumberFormat="1" applyFont="1" applyFill="1" applyAlignment="1">
      <alignment vertical="top"/>
    </xf>
    <xf numFmtId="176" fontId="31" fillId="0" borderId="0" xfId="0" applyNumberFormat="1" applyFont="1" applyProtection="1"/>
    <xf numFmtId="178" fontId="26" fillId="0" borderId="0" xfId="0" applyNumberFormat="1" applyFont="1" applyFill="1" applyProtection="1"/>
    <xf numFmtId="179" fontId="26" fillId="0" borderId="0" xfId="0" applyNumberFormat="1" applyFont="1" applyProtection="1"/>
    <xf numFmtId="179" fontId="31" fillId="0" borderId="0" xfId="0" applyNumberFormat="1" applyFont="1" applyProtection="1"/>
    <xf numFmtId="179" fontId="26" fillId="0" borderId="0" xfId="45" applyNumberFormat="1" applyFont="1" applyFill="1" applyProtection="1"/>
    <xf numFmtId="172" fontId="28" fillId="0" borderId="11" xfId="45" applyNumberFormat="1" applyFont="1" applyFill="1" applyBorder="1" applyProtection="1"/>
    <xf numFmtId="0" fontId="26" fillId="0" borderId="14" xfId="45" applyFont="1" applyBorder="1" applyProtection="1"/>
    <xf numFmtId="0" fontId="26" fillId="0" borderId="14" xfId="0" applyFont="1" applyBorder="1"/>
    <xf numFmtId="0" fontId="28" fillId="0" borderId="14" xfId="0" applyFont="1" applyBorder="1"/>
    <xf numFmtId="0" fontId="35" fillId="24" borderId="0" xfId="0" applyFont="1" applyFill="1" applyAlignment="1" applyProtection="1">
      <alignment horizontal="centerContinuous" vertical="center"/>
    </xf>
    <xf numFmtId="175" fontId="36" fillId="24" borderId="0" xfId="28" applyNumberFormat="1" applyFont="1" applyFill="1" applyAlignment="1" applyProtection="1">
      <alignment horizontal="left"/>
      <protection locked="0"/>
    </xf>
    <xf numFmtId="170" fontId="26" fillId="0" borderId="0" xfId="45" applyNumberFormat="1" applyFont="1" applyFill="1" applyProtection="1">
      <protection locked="0"/>
    </xf>
    <xf numFmtId="0" fontId="26" fillId="0" borderId="0" xfId="0" applyFont="1" applyProtection="1">
      <protection locked="0"/>
    </xf>
    <xf numFmtId="165" fontId="26" fillId="0" borderId="0" xfId="40" applyNumberFormat="1" applyFont="1" applyFill="1" applyProtection="1">
      <protection locked="0"/>
    </xf>
    <xf numFmtId="165" fontId="26" fillId="0" borderId="0" xfId="0" applyNumberFormat="1" applyFont="1" applyFill="1" applyBorder="1" applyProtection="1">
      <protection locked="0"/>
    </xf>
    <xf numFmtId="0" fontId="26" fillId="0" borderId="0" xfId="0" applyFont="1" applyFill="1" applyProtection="1">
      <protection locked="0"/>
    </xf>
    <xf numFmtId="165" fontId="31" fillId="0" borderId="0" xfId="40" applyNumberFormat="1" applyFont="1" applyFill="1" applyProtection="1">
      <protection locked="0"/>
    </xf>
    <xf numFmtId="10" fontId="31" fillId="0" borderId="0" xfId="40" applyNumberFormat="1" applyFont="1" applyProtection="1">
      <protection locked="0"/>
    </xf>
    <xf numFmtId="176" fontId="26" fillId="0" borderId="0" xfId="0" applyNumberFormat="1" applyFont="1" applyFill="1"/>
    <xf numFmtId="176" fontId="31" fillId="0" borderId="0" xfId="0" applyNumberFormat="1" applyFont="1" applyFill="1" applyProtection="1">
      <protection locked="0"/>
    </xf>
    <xf numFmtId="176" fontId="31" fillId="0" borderId="0" xfId="45" applyNumberFormat="1" applyFont="1" applyProtection="1"/>
    <xf numFmtId="176" fontId="26" fillId="0" borderId="0" xfId="45" applyNumberFormat="1" applyFont="1" applyFill="1" applyProtection="1"/>
    <xf numFmtId="176" fontId="26" fillId="0" borderId="0" xfId="45" applyNumberFormat="1" applyFont="1" applyProtection="1"/>
    <xf numFmtId="176" fontId="26" fillId="0" borderId="14" xfId="45" applyNumberFormat="1" applyFont="1" applyFill="1" applyBorder="1" applyProtection="1"/>
    <xf numFmtId="176" fontId="26" fillId="0" borderId="11" xfId="45" applyNumberFormat="1" applyFont="1" applyFill="1" applyBorder="1" applyProtection="1"/>
    <xf numFmtId="176" fontId="32" fillId="0" borderId="0" xfId="45" applyNumberFormat="1" applyFont="1" applyAlignment="1" applyProtection="1">
      <alignment horizontal="right"/>
    </xf>
    <xf numFmtId="176" fontId="31" fillId="0" borderId="0" xfId="45" applyNumberFormat="1" applyFont="1" applyFill="1" applyProtection="1"/>
    <xf numFmtId="176" fontId="28" fillId="0" borderId="0" xfId="0" applyNumberFormat="1" applyFont="1"/>
    <xf numFmtId="176" fontId="26" fillId="0" borderId="0" xfId="0" applyNumberFormat="1" applyFont="1"/>
    <xf numFmtId="176" fontId="26" fillId="0" borderId="13" xfId="0" applyNumberFormat="1" applyFont="1" applyFill="1" applyBorder="1"/>
    <xf numFmtId="176" fontId="31" fillId="0" borderId="0" xfId="0" applyNumberFormat="1" applyFont="1" applyFill="1" applyProtection="1"/>
    <xf numFmtId="176" fontId="26" fillId="0" borderId="0" xfId="0" applyNumberFormat="1" applyFont="1" applyFill="1" applyProtection="1"/>
    <xf numFmtId="176" fontId="26" fillId="0" borderId="0" xfId="0" applyNumberFormat="1" applyFont="1" applyFill="1" applyProtection="1">
      <protection locked="0"/>
    </xf>
    <xf numFmtId="176" fontId="26" fillId="0" borderId="10" xfId="0" applyNumberFormat="1" applyFont="1" applyFill="1" applyBorder="1" applyProtection="1"/>
    <xf numFmtId="176" fontId="26" fillId="0" borderId="0" xfId="0" applyNumberFormat="1" applyFont="1" applyFill="1" applyBorder="1" applyProtection="1"/>
    <xf numFmtId="176" fontId="28" fillId="0" borderId="0" xfId="0" applyNumberFormat="1" applyFont="1" applyProtection="1"/>
    <xf numFmtId="176" fontId="26" fillId="0" borderId="12" xfId="0" applyNumberFormat="1" applyFont="1" applyFill="1" applyBorder="1" applyProtection="1"/>
    <xf numFmtId="176" fontId="27" fillId="0" borderId="0" xfId="0" applyNumberFormat="1" applyFont="1" applyProtection="1"/>
    <xf numFmtId="176" fontId="26" fillId="0" borderId="13" xfId="0" applyNumberFormat="1" applyFont="1" applyFill="1" applyBorder="1" applyProtection="1"/>
    <xf numFmtId="176" fontId="26" fillId="0" borderId="14" xfId="0" applyNumberFormat="1" applyFont="1" applyFill="1" applyBorder="1" applyProtection="1"/>
    <xf numFmtId="176" fontId="26" fillId="0" borderId="11" xfId="0" applyNumberFormat="1" applyFont="1" applyFill="1" applyBorder="1" applyProtection="1"/>
    <xf numFmtId="10" fontId="26" fillId="0" borderId="0" xfId="40" applyNumberFormat="1" applyFont="1" applyFill="1" applyProtection="1"/>
    <xf numFmtId="166" fontId="31" fillId="0" borderId="0" xfId="40" applyNumberFormat="1" applyFont="1" applyFill="1" applyProtection="1">
      <protection locked="0"/>
    </xf>
    <xf numFmtId="167" fontId="31" fillId="0" borderId="0" xfId="0" applyNumberFormat="1" applyFont="1" applyProtection="1">
      <protection locked="0"/>
    </xf>
    <xf numFmtId="176" fontId="31" fillId="0" borderId="0" xfId="0" applyNumberFormat="1" applyFont="1" applyFill="1" applyBorder="1" applyProtection="1">
      <protection locked="0"/>
    </xf>
    <xf numFmtId="176" fontId="31" fillId="0" borderId="10" xfId="0" applyNumberFormat="1" applyFont="1" applyFill="1" applyBorder="1" applyProtection="1">
      <protection locked="0"/>
    </xf>
    <xf numFmtId="176" fontId="31" fillId="0" borderId="0" xfId="0" applyNumberFormat="1" applyFont="1" applyFill="1" applyBorder="1" applyProtection="1"/>
    <xf numFmtId="176" fontId="31" fillId="0" borderId="10" xfId="0" applyNumberFormat="1" applyFont="1" applyFill="1" applyBorder="1" applyProtection="1"/>
    <xf numFmtId="37" fontId="38" fillId="24" borderId="0" xfId="0" applyNumberFormat="1" applyFont="1" applyFill="1" applyAlignment="1">
      <alignment vertical="top"/>
    </xf>
    <xf numFmtId="37" fontId="39" fillId="26" borderId="0" xfId="0" applyNumberFormat="1" applyFont="1" applyFill="1" applyAlignment="1">
      <alignment vertical="top"/>
    </xf>
    <xf numFmtId="37" fontId="38" fillId="26" borderId="0" xfId="0" applyNumberFormat="1" applyFont="1" applyFill="1" applyAlignment="1">
      <alignment vertical="top"/>
    </xf>
    <xf numFmtId="37" fontId="38" fillId="26" borderId="0" xfId="0" applyNumberFormat="1" applyFont="1" applyFill="1" applyAlignment="1">
      <alignment horizontal="right" vertical="top"/>
    </xf>
    <xf numFmtId="37" fontId="39" fillId="24" borderId="0" xfId="0" applyNumberFormat="1" applyFont="1" applyFill="1" applyAlignment="1">
      <alignment vertical="top"/>
    </xf>
    <xf numFmtId="37" fontId="38" fillId="24" borderId="0" xfId="0" applyNumberFormat="1" applyFont="1" applyFill="1" applyAlignment="1">
      <alignment horizontal="right" vertical="top"/>
    </xf>
    <xf numFmtId="168" fontId="38" fillId="26" borderId="0" xfId="0" applyNumberFormat="1" applyFont="1" applyFill="1" applyAlignment="1" applyProtection="1">
      <alignment horizontal="right"/>
    </xf>
    <xf numFmtId="168" fontId="38" fillId="24" borderId="0" xfId="0" applyNumberFormat="1" applyFont="1" applyFill="1" applyAlignment="1" applyProtection="1">
      <alignment horizontal="right"/>
    </xf>
    <xf numFmtId="0" fontId="28" fillId="0" borderId="0" xfId="45" applyFont="1" applyFill="1" applyProtection="1"/>
    <xf numFmtId="176" fontId="32" fillId="0" borderId="0" xfId="45" applyNumberFormat="1" applyFont="1" applyFill="1" applyAlignment="1" applyProtection="1">
      <alignment horizontal="right"/>
    </xf>
    <xf numFmtId="0" fontId="26" fillId="0" borderId="14" xfId="45" applyFont="1" applyFill="1" applyBorder="1" applyProtection="1"/>
    <xf numFmtId="0" fontId="28" fillId="0" borderId="0" xfId="0" applyFont="1" applyFill="1" applyProtection="1"/>
    <xf numFmtId="37" fontId="31" fillId="0" borderId="0" xfId="0" applyNumberFormat="1" applyFont="1" applyFill="1" applyProtection="1"/>
    <xf numFmtId="176" fontId="26" fillId="27" borderId="0" xfId="0" applyNumberFormat="1" applyFont="1" applyFill="1"/>
    <xf numFmtId="168" fontId="40" fillId="26" borderId="0" xfId="0" applyNumberFormat="1" applyFont="1" applyFill="1" applyAlignment="1" applyProtection="1">
      <alignment horizontal="right"/>
    </xf>
    <xf numFmtId="0" fontId="24" fillId="25" borderId="0" xfId="47" applyFont="1" applyFill="1"/>
    <xf numFmtId="0" fontId="24" fillId="0" borderId="0" xfId="47" applyFont="1" applyFill="1" applyBorder="1"/>
    <xf numFmtId="0" fontId="41" fillId="0" borderId="0" xfId="47" applyFont="1" applyFill="1" applyBorder="1" applyProtection="1">
      <protection locked="0"/>
    </xf>
    <xf numFmtId="0" fontId="42" fillId="0" borderId="0" xfId="47" applyFont="1" applyFill="1" applyBorder="1" applyAlignment="1">
      <alignment horizontal="right"/>
    </xf>
    <xf numFmtId="0" fontId="24" fillId="0" borderId="0" xfId="47" applyFont="1" applyFill="1" applyBorder="1" applyProtection="1">
      <protection locked="0"/>
    </xf>
    <xf numFmtId="0" fontId="42" fillId="0" borderId="0" xfId="47" applyFont="1" applyFill="1" applyBorder="1" applyProtection="1">
      <protection locked="0"/>
    </xf>
    <xf numFmtId="0" fontId="43" fillId="0" borderId="0" xfId="46" applyFont="1" applyFill="1" applyBorder="1" applyProtection="1">
      <protection locked="0"/>
    </xf>
    <xf numFmtId="0" fontId="45" fillId="0" borderId="14" xfId="46" quotePrefix="1" applyFont="1" applyFill="1" applyBorder="1" applyProtection="1">
      <protection locked="0"/>
    </xf>
    <xf numFmtId="179" fontId="26" fillId="0" borderId="0" xfId="45" applyNumberFormat="1" applyFont="1" applyFill="1" applyAlignment="1" applyProtection="1">
      <alignment horizontal="right"/>
    </xf>
    <xf numFmtId="165" fontId="26" fillId="0" borderId="0" xfId="40" applyNumberFormat="1" applyFont="1" applyFill="1" applyAlignment="1" applyProtection="1">
      <alignment horizontal="right"/>
      <protection locked="0"/>
    </xf>
    <xf numFmtId="176" fontId="31" fillId="0" borderId="0" xfId="0" applyNumberFormat="1" applyFont="1" applyProtection="1">
      <protection locked="0"/>
    </xf>
    <xf numFmtId="179" fontId="31" fillId="0" borderId="0" xfId="0" applyNumberFormat="1" applyFont="1" applyProtection="1">
      <protection locked="0"/>
    </xf>
    <xf numFmtId="0" fontId="24" fillId="0" borderId="0" xfId="48" applyFont="1" applyFill="1" applyBorder="1"/>
    <xf numFmtId="0" fontId="24" fillId="0" borderId="14" xfId="48" applyFont="1" applyFill="1" applyBorder="1"/>
    <xf numFmtId="0" fontId="44" fillId="0" borderId="0" xfId="49" applyFont="1" applyFill="1" applyBorder="1"/>
    <xf numFmtId="0" fontId="46" fillId="24" borderId="0" xfId="48" applyFont="1" applyFill="1" applyBorder="1"/>
    <xf numFmtId="0" fontId="24" fillId="24" borderId="0" xfId="48" applyFont="1" applyFill="1" applyBorder="1"/>
    <xf numFmtId="0" fontId="24" fillId="28" borderId="0" xfId="48" applyFont="1" applyFill="1"/>
    <xf numFmtId="0" fontId="46" fillId="24" borderId="0" xfId="48" applyFont="1" applyFill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6" builtinId="8"/>
    <cellStyle name="Hyperlink 2 2" xfId="49" xr:uid="{6ADDB0B7-4188-4972-9A06-EB54F91FC4BC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7" xr:uid="{708072CB-5594-4CBE-800C-28D569303AC3}"/>
    <cellStyle name="Normal 2 2" xfId="48" xr:uid="{A5740D42-86F9-49EC-80E6-A303AF7CB677}"/>
    <cellStyle name="Normal_Copy of GAPValuationModelFullForecast2008" xfId="45" xr:uid="{00000000-0005-0000-0000-000026000000}"/>
    <cellStyle name="Note" xfId="38" builtinId="10" customBuiltin="1"/>
    <cellStyle name="Output" xfId="39" builtinId="21" customBuiltin="1"/>
    <cellStyle name="Percent" xfId="40" builtinId="5"/>
    <cellStyle name="Percent 2" xfId="41" xr:uid="{00000000-0005-0000-0000-00002A000000}"/>
    <cellStyle name="Title" xfId="42" builtinId="15" customBuiltin="1"/>
    <cellStyle name="Total" xfId="43" builtinId="25" customBuiltin="1"/>
    <cellStyle name="Warning Text" xfId="4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0000FF"/>
      <color rgb="FF132E57"/>
      <color rgb="FF1E8496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711520598969"/>
          <c:y val="3.7453703703703704E-2"/>
          <c:w val="0.87064037382099357"/>
          <c:h val="0.73493875765529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'12 Month Rolling Forecast'!$A$150</c:f>
              <c:strCache>
                <c:ptCount val="1"/>
                <c:pt idx="0">
                  <c:v>Operating cash flow</c:v>
                </c:pt>
              </c:strCache>
            </c:strRef>
          </c:tx>
          <c:spPr>
            <a:solidFill>
              <a:srgbClr val="1E8496"/>
            </a:solidFill>
            <a:ln>
              <a:noFill/>
            </a:ln>
            <a:effectLst/>
          </c:spPr>
          <c:invertIfNegative val="0"/>
          <c:cat>
            <c:numRef>
              <c:f>'12 Month Rolling Forecast'!$C$2:$R$2</c:f>
              <c:numCache>
                <c:formatCode>[$-409]dd/mmm/yy;@</c:formatCode>
                <c:ptCount val="16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</c:numCache>
            </c:numRef>
          </c:cat>
          <c:val>
            <c:numRef>
              <c:f>'12 Month Rolling Forecast'!$C$150:$R$150</c:f>
              <c:numCache>
                <c:formatCode>#,##0.0_);\(#,##0.0\)</c:formatCode>
                <c:ptCount val="16"/>
                <c:pt idx="1">
                  <c:v>158.01135708592028</c:v>
                </c:pt>
                <c:pt idx="2">
                  <c:v>506.14990557601277</c:v>
                </c:pt>
                <c:pt idx="3">
                  <c:v>-293.5479905567372</c:v>
                </c:pt>
                <c:pt idx="4">
                  <c:v>1268.5072533602161</c:v>
                </c:pt>
                <c:pt idx="5">
                  <c:v>-207.43650336021255</c:v>
                </c:pt>
                <c:pt idx="6">
                  <c:v>2621.975425403225</c:v>
                </c:pt>
                <c:pt idx="7">
                  <c:v>1113.9705329301112</c:v>
                </c:pt>
                <c:pt idx="8">
                  <c:v>1673.4702641129034</c:v>
                </c:pt>
                <c:pt idx="9">
                  <c:v>1466.7006247759878</c:v>
                </c:pt>
                <c:pt idx="10">
                  <c:v>2218.774708557351</c:v>
                </c:pt>
                <c:pt idx="11">
                  <c:v>1845.0736041666692</c:v>
                </c:pt>
                <c:pt idx="12">
                  <c:v>1295.855346998208</c:v>
                </c:pt>
                <c:pt idx="13">
                  <c:v>2607.1764917114729</c:v>
                </c:pt>
                <c:pt idx="14">
                  <c:v>1824.102591621865</c:v>
                </c:pt>
                <c:pt idx="15">
                  <c:v>2610.2910750448063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7-4C13-A6C6-EF91424D9A20}"/>
            </c:ext>
          </c:extLst>
        </c:ser>
        <c:ser>
          <c:idx val="2"/>
          <c:order val="2"/>
          <c:tx>
            <c:strRef>
              <c:f>'12 Month Rolling Forecast'!$A$151</c:f>
              <c:strCache>
                <c:ptCount val="1"/>
                <c:pt idx="0">
                  <c:v>Investing cash flow</c:v>
                </c:pt>
              </c:strCache>
            </c:strRef>
          </c:tx>
          <c:spPr>
            <a:solidFill>
              <a:srgbClr val="ED942D"/>
            </a:solidFill>
            <a:ln>
              <a:noFill/>
            </a:ln>
            <a:effectLst/>
          </c:spPr>
          <c:invertIfNegative val="0"/>
          <c:val>
            <c:numRef>
              <c:f>'12 Month Rolling Forecast'!$C$151:$R$151</c:f>
              <c:numCache>
                <c:formatCode>#,##0.0_);\(#,##0.0\)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-4600</c:v>
                </c:pt>
                <c:pt idx="6">
                  <c:v>0</c:v>
                </c:pt>
                <c:pt idx="7">
                  <c:v>0</c:v>
                </c:pt>
                <c:pt idx="8">
                  <c:v>-4600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-4600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77-4C13-A6C6-EF91424D9A20}"/>
            </c:ext>
          </c:extLst>
        </c:ser>
        <c:ser>
          <c:idx val="3"/>
          <c:order val="3"/>
          <c:tx>
            <c:strRef>
              <c:f>'12 Month Rolling Forecast'!$A$152</c:f>
              <c:strCache>
                <c:ptCount val="1"/>
                <c:pt idx="0">
                  <c:v>Financing cash flow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'12 Month Rolling Forecast'!$C$152:$R$152</c:f>
              <c:numCache>
                <c:formatCode>#,##0.0_);\(#,##0.0\)</c:formatCode>
                <c:ptCount val="16"/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77-4C13-A6C6-EF91424D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376435440"/>
        <c:axId val="308032312"/>
      </c:barChart>
      <c:lineChart>
        <c:grouping val="standard"/>
        <c:varyColors val="0"/>
        <c:ser>
          <c:idx val="1"/>
          <c:order val="1"/>
          <c:tx>
            <c:strRef>
              <c:f>'12 Month Rolling Forecast'!$A$153</c:f>
              <c:strCache>
                <c:ptCount val="1"/>
                <c:pt idx="0">
                  <c:v>Monthly cash balance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val>
            <c:numRef>
              <c:f>'12 Month Rolling Forecast'!$C$153:$R$153</c:f>
              <c:numCache>
                <c:formatCode>#,##0.0_);\(#,##0.0\)</c:formatCode>
                <c:ptCount val="16"/>
                <c:pt idx="1">
                  <c:v>6007.9713570859303</c:v>
                </c:pt>
                <c:pt idx="2">
                  <c:v>6014.1212626619435</c:v>
                </c:pt>
                <c:pt idx="3">
                  <c:v>5220.5732721052027</c:v>
                </c:pt>
                <c:pt idx="4">
                  <c:v>5989.0805254654188</c:v>
                </c:pt>
                <c:pt idx="5">
                  <c:v>681.6440221052062</c:v>
                </c:pt>
                <c:pt idx="6">
                  <c:v>2803.6194475084312</c:v>
                </c:pt>
                <c:pt idx="7">
                  <c:v>3417.5899804385426</c:v>
                </c:pt>
                <c:pt idx="8">
                  <c:v>-8.939755448554024</c:v>
                </c:pt>
                <c:pt idx="9">
                  <c:v>957.76086932743374</c:v>
                </c:pt>
                <c:pt idx="10">
                  <c:v>2676.5355778847847</c:v>
                </c:pt>
                <c:pt idx="11">
                  <c:v>4021.6091820514539</c:v>
                </c:pt>
                <c:pt idx="12">
                  <c:v>217.46452904966191</c:v>
                </c:pt>
                <c:pt idx="13">
                  <c:v>2324.6410207611348</c:v>
                </c:pt>
                <c:pt idx="14">
                  <c:v>3648.7436123829998</c:v>
                </c:pt>
                <c:pt idx="15">
                  <c:v>5759.0346874278057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7-4C13-A6C6-EF91424D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35440"/>
        <c:axId val="308032312"/>
      </c:lineChart>
      <c:dateAx>
        <c:axId val="376435440"/>
        <c:scaling>
          <c:orientation val="minMax"/>
        </c:scaling>
        <c:delete val="0"/>
        <c:axPos val="b"/>
        <c:numFmt formatCode="[$-409]dd/mmm/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32312"/>
        <c:crosses val="autoZero"/>
        <c:auto val="1"/>
        <c:lblOffset val="100"/>
        <c:baseTimeUnit val="months"/>
      </c:dateAx>
      <c:valAx>
        <c:axId val="308032312"/>
        <c:scaling>
          <c:orientation val="minMax"/>
        </c:scaling>
        <c:delete val="0"/>
        <c:axPos val="l"/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038186581626158"/>
          <c:y val="1.5370861905668247E-3"/>
          <c:w val="0.32187278146296"/>
          <c:h val="0.2355329542140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326700362875962E-2"/>
          <c:y val="3.7453703703703704E-2"/>
          <c:w val="0.88440074782368427"/>
          <c:h val="0.73493875765529304"/>
        </c:manualLayout>
      </c:layout>
      <c:lineChart>
        <c:grouping val="standard"/>
        <c:varyColors val="0"/>
        <c:ser>
          <c:idx val="1"/>
          <c:order val="0"/>
          <c:tx>
            <c:strRef>
              <c:f>'12 Month Rolling Forecast'!$A$156</c:f>
              <c:strCache>
                <c:ptCount val="1"/>
                <c:pt idx="0">
                  <c:v>Debt service ratio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'12 Month Rolling Forecast'!$C$2:$R$2</c:f>
              <c:numCache>
                <c:formatCode>[$-409]dd/mmm/yy;@</c:formatCode>
                <c:ptCount val="16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</c:numCache>
            </c:numRef>
          </c:cat>
          <c:val>
            <c:numRef>
              <c:f>'12 Month Rolling Forecast'!$C$156:$R$156</c:f>
              <c:numCache>
                <c:formatCode>0.00\x</c:formatCode>
                <c:ptCount val="16"/>
                <c:pt idx="1">
                  <c:v>2.9944453467597856</c:v>
                </c:pt>
                <c:pt idx="2">
                  <c:v>3.5736289533746266</c:v>
                </c:pt>
                <c:pt idx="3">
                  <c:v>3.5163868433971519</c:v>
                </c:pt>
                <c:pt idx="4">
                  <c:v>2.16348226775282</c:v>
                </c:pt>
                <c:pt idx="5">
                  <c:v>3.0335706616007281</c:v>
                </c:pt>
                <c:pt idx="6">
                  <c:v>3.0451405356106469</c:v>
                </c:pt>
                <c:pt idx="7">
                  <c:v>3.0567990012484407</c:v>
                </c:pt>
                <c:pt idx="8">
                  <c:v>3.9403525774918604</c:v>
                </c:pt>
                <c:pt idx="9">
                  <c:v>3.9555548100310385</c:v>
                </c:pt>
                <c:pt idx="10">
                  <c:v>3.9708748000336849</c:v>
                </c:pt>
                <c:pt idx="11">
                  <c:v>3.9863139210548626</c:v>
                </c:pt>
                <c:pt idx="12">
                  <c:v>4.8872906236741676</c:v>
                </c:pt>
                <c:pt idx="13">
                  <c:v>4.9064417752789904</c:v>
                </c:pt>
                <c:pt idx="14">
                  <c:v>4.9257436072864165</c:v>
                </c:pt>
                <c:pt idx="15">
                  <c:v>4.9451979050399295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3-4226-BC99-D83367BBFC42}"/>
            </c:ext>
          </c:extLst>
        </c:ser>
        <c:ser>
          <c:idx val="0"/>
          <c:order val="1"/>
          <c:tx>
            <c:strRef>
              <c:f>'12 Month Rolling Forecast'!$A$157</c:f>
              <c:strCache>
                <c:ptCount val="1"/>
                <c:pt idx="0">
                  <c:v>Debt service ratio covenant</c:v>
                </c:pt>
              </c:strCache>
            </c:strRef>
          </c:tx>
          <c:spPr>
            <a:ln w="28575" cap="rnd">
              <a:solidFill>
                <a:srgbClr val="ED942D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'12 Month Rolling Forecast'!$C$2:$R$2</c:f>
              <c:numCache>
                <c:formatCode>[$-409]dd/mmm/yy;@</c:formatCode>
                <c:ptCount val="16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</c:numCache>
            </c:numRef>
          </c:cat>
          <c:val>
            <c:numRef>
              <c:f>'12 Month Rolling Forecast'!$C$157:$R$157</c:f>
              <c:numCache>
                <c:formatCode>0.00\x</c:formatCode>
                <c:ptCount val="16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73-4226-BC99-D83367BB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435440"/>
        <c:axId val="308032312"/>
      </c:lineChart>
      <c:dateAx>
        <c:axId val="376435440"/>
        <c:scaling>
          <c:orientation val="minMax"/>
        </c:scaling>
        <c:delete val="0"/>
        <c:axPos val="b"/>
        <c:numFmt formatCode="[$-409]dd/mmm/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32312"/>
        <c:crosses val="autoZero"/>
        <c:auto val="1"/>
        <c:lblOffset val="100"/>
        <c:baseTimeUnit val="months"/>
      </c:dateAx>
      <c:valAx>
        <c:axId val="308032312"/>
        <c:scaling>
          <c:orientation val="minMax"/>
        </c:scaling>
        <c:delete val="0"/>
        <c:axPos val="l"/>
        <c:numFmt formatCode="0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614171607626595"/>
          <c:y val="3.3519675801663945E-3"/>
          <c:w val="0.34949114600653775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661827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EFD39A-1D27-48AE-A778-5557777CE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4" y="762000"/>
          <a:ext cx="3525043" cy="158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18899</xdr:colOff>
      <xdr:row>159</xdr:row>
      <xdr:rowOff>126206</xdr:rowOff>
    </xdr:from>
    <xdr:to>
      <xdr:col>9</xdr:col>
      <xdr:colOff>1</xdr:colOff>
      <xdr:row>175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159</xdr:row>
      <xdr:rowOff>150813</xdr:rowOff>
    </xdr:from>
    <xdr:to>
      <xdr:col>17</xdr:col>
      <xdr:colOff>706215</xdr:colOff>
      <xdr:row>175</xdr:row>
      <xdr:rowOff>150813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3643-DC83-4BAE-BDAC-F90518C5DA7B}">
  <dimension ref="B1:O46"/>
  <sheetViews>
    <sheetView showGridLines="0" zoomScaleNormal="100" workbookViewId="0"/>
  </sheetViews>
  <sheetFormatPr defaultColWidth="9.28515625" defaultRowHeight="16.5"/>
  <cols>
    <col min="1" max="2" width="11" style="102" customWidth="1"/>
    <col min="3" max="3" width="29.28515625" style="102" customWidth="1"/>
    <col min="4" max="22" width="11" style="102" customWidth="1"/>
    <col min="23" max="25" width="9.28515625" style="102"/>
    <col min="26" max="26" width="9.28515625" style="102" customWidth="1"/>
    <col min="27" max="16384" width="9.28515625" style="102"/>
  </cols>
  <sheetData>
    <row r="1" spans="2:15" ht="19.5" customHeight="1"/>
    <row r="2" spans="2:15" ht="19.5" customHeight="1"/>
    <row r="3" spans="2:15" ht="19.5" customHeight="1"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</row>
    <row r="4" spans="2:15" ht="19.5" customHeight="1"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</row>
    <row r="5" spans="2:15" ht="19.5" customHeight="1"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</row>
    <row r="6" spans="2:15" ht="19.5" customHeight="1"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</row>
    <row r="7" spans="2:15" ht="19.5" customHeight="1"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</row>
    <row r="8" spans="2:15" ht="19.5" customHeight="1"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</row>
    <row r="9" spans="2:15" ht="19.5" customHeight="1"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</row>
    <row r="10" spans="2:15" ht="19.5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</row>
    <row r="11" spans="2:15" ht="19.5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15" ht="27">
      <c r="B12" s="103"/>
      <c r="C12" s="104" t="s">
        <v>121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5" t="s">
        <v>114</v>
      </c>
      <c r="O12" s="103"/>
    </row>
    <row r="13" spans="2:15" ht="19.5" customHeight="1">
      <c r="B13" s="103"/>
      <c r="C13" s="106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15" ht="19.5" customHeight="1">
      <c r="B14" s="103"/>
      <c r="C14" s="107" t="s">
        <v>115</v>
      </c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15" ht="19.5" customHeight="1">
      <c r="B15" s="103"/>
      <c r="C15" s="109" t="s">
        <v>120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15" ht="19.5" customHeight="1">
      <c r="B16" s="103"/>
      <c r="C16" s="108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 ht="19.5" customHeight="1">
      <c r="B17" s="103"/>
      <c r="C17" s="108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 ht="19.5" customHeight="1">
      <c r="B18" s="103"/>
      <c r="C18" s="108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 ht="19.5" customHeight="1">
      <c r="B19" s="114"/>
      <c r="C19" s="114" t="s">
        <v>116</v>
      </c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</row>
    <row r="20" spans="2:15" ht="19.5" customHeight="1">
      <c r="B20" s="114"/>
      <c r="C20" s="115" t="s">
        <v>117</v>
      </c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4"/>
    </row>
    <row r="21" spans="2:15" ht="19.5" customHeight="1">
      <c r="B21" s="114"/>
      <c r="C21" s="114" t="s">
        <v>118</v>
      </c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</row>
    <row r="22" spans="2:15" ht="19.5" customHeight="1">
      <c r="B22" s="114"/>
      <c r="C22" s="116" t="s">
        <v>119</v>
      </c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</row>
    <row r="23" spans="2:15" ht="19.5" customHeight="1">
      <c r="B23" s="114"/>
      <c r="C23" s="116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</row>
    <row r="24" spans="2:15" ht="19.5" customHeight="1">
      <c r="B24" s="114"/>
      <c r="C24" s="117" t="s">
        <v>122</v>
      </c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4"/>
    </row>
    <row r="25" spans="2:15" ht="19.5" customHeight="1">
      <c r="B25" s="119"/>
      <c r="C25" s="120" t="s">
        <v>123</v>
      </c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19"/>
    </row>
    <row r="26" spans="2:15" ht="19.5" customHeight="1">
      <c r="B26" s="119"/>
      <c r="C26" s="120" t="s">
        <v>124</v>
      </c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19"/>
    </row>
    <row r="27" spans="2:15" ht="19.5" customHeight="1">
      <c r="B27" s="119"/>
      <c r="C27" s="120" t="s">
        <v>125</v>
      </c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19"/>
    </row>
    <row r="28" spans="2:15" ht="19.5" customHeight="1">
      <c r="B28" s="119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19"/>
    </row>
    <row r="29" spans="2:15" ht="19.5" customHeight="1"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15" location="'12 Month Rolling Forecast'!A1" display="'12 Month Rolling Forecast'!A1" xr:uid="{EDBD7811-EDEB-469C-B623-52109D28A82C}"/>
    <hyperlink ref="C22" r:id="rId1" xr:uid="{B71B810F-C653-4377-8A6C-B67E2952DF82}"/>
  </hyperlinks>
  <pageMargins left="0.7" right="0.7" top="0.75" bottom="0.75" header="0.3" footer="0.3"/>
  <pageSetup scale="9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77"/>
  <sheetViews>
    <sheetView showGridLines="0" tabSelected="1"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51" sqref="I51"/>
    </sheetView>
  </sheetViews>
  <sheetFormatPr defaultColWidth="9.28515625" defaultRowHeight="16.5" outlineLevelRow="1"/>
  <cols>
    <col min="1" max="1" width="22.7109375" style="6" customWidth="1"/>
    <col min="2" max="18" width="11.28515625" style="6" customWidth="1"/>
    <col min="19" max="16384" width="9.28515625" style="6"/>
  </cols>
  <sheetData>
    <row r="1" spans="1:18" s="1" customFormat="1" ht="16.5" customHeight="1">
      <c r="A1" s="38" t="s">
        <v>91</v>
      </c>
      <c r="B1" s="88"/>
      <c r="C1" s="88" t="s">
        <v>83</v>
      </c>
      <c r="D1" s="89"/>
      <c r="E1" s="89"/>
      <c r="F1" s="90"/>
      <c r="G1" s="91" t="s">
        <v>84</v>
      </c>
      <c r="H1" s="87"/>
      <c r="I1" s="87"/>
      <c r="J1" s="87"/>
      <c r="K1" s="87"/>
      <c r="L1" s="92"/>
      <c r="M1" s="92"/>
      <c r="N1" s="92"/>
      <c r="O1" s="92"/>
      <c r="P1" s="92"/>
      <c r="Q1" s="92"/>
      <c r="R1" s="92"/>
    </row>
    <row r="2" spans="1:18" s="1" customFormat="1" ht="16.5" customHeight="1">
      <c r="A2" s="49" t="s">
        <v>103</v>
      </c>
      <c r="B2" s="101">
        <v>42978</v>
      </c>
      <c r="C2" s="93">
        <f>EOMONTH(B2,1)</f>
        <v>43008</v>
      </c>
      <c r="D2" s="93">
        <f t="shared" ref="D2:R2" si="0">EOMONTH(C2,1)</f>
        <v>43039</v>
      </c>
      <c r="E2" s="93">
        <f t="shared" si="0"/>
        <v>43069</v>
      </c>
      <c r="F2" s="93">
        <f t="shared" si="0"/>
        <v>43100</v>
      </c>
      <c r="G2" s="94">
        <f t="shared" si="0"/>
        <v>43131</v>
      </c>
      <c r="H2" s="94">
        <f t="shared" si="0"/>
        <v>43159</v>
      </c>
      <c r="I2" s="94">
        <f t="shared" si="0"/>
        <v>43190</v>
      </c>
      <c r="J2" s="94">
        <f t="shared" si="0"/>
        <v>43220</v>
      </c>
      <c r="K2" s="94">
        <f t="shared" si="0"/>
        <v>43251</v>
      </c>
      <c r="L2" s="94">
        <f t="shared" si="0"/>
        <v>43281</v>
      </c>
      <c r="M2" s="94">
        <f t="shared" si="0"/>
        <v>43312</v>
      </c>
      <c r="N2" s="94">
        <f t="shared" si="0"/>
        <v>43343</v>
      </c>
      <c r="O2" s="94">
        <f t="shared" si="0"/>
        <v>43373</v>
      </c>
      <c r="P2" s="94">
        <f t="shared" si="0"/>
        <v>43404</v>
      </c>
      <c r="Q2" s="94">
        <f t="shared" si="0"/>
        <v>43434</v>
      </c>
      <c r="R2" s="94">
        <f t="shared" si="0"/>
        <v>43465</v>
      </c>
    </row>
    <row r="3" spans="1:18" s="5" customFormat="1">
      <c r="A3" s="2" t="s">
        <v>55</v>
      </c>
      <c r="B3" s="2"/>
      <c r="C3" s="4" t="str">
        <f t="shared" ref="C3:N3" si="1">IFERROR(IF(ABS(C87)&gt;1,"ERROR","OK"),"OK")</f>
        <v>OK</v>
      </c>
      <c r="D3" s="4" t="str">
        <f t="shared" si="1"/>
        <v>OK</v>
      </c>
      <c r="E3" s="4" t="str">
        <f t="shared" si="1"/>
        <v>OK</v>
      </c>
      <c r="F3" s="4" t="str">
        <f t="shared" si="1"/>
        <v>OK</v>
      </c>
      <c r="G3" s="4" t="str">
        <f t="shared" si="1"/>
        <v>OK</v>
      </c>
      <c r="H3" s="4" t="str">
        <f t="shared" si="1"/>
        <v>OK</v>
      </c>
      <c r="I3" s="4" t="str">
        <f t="shared" si="1"/>
        <v>OK</v>
      </c>
      <c r="J3" s="4" t="str">
        <f t="shared" si="1"/>
        <v>OK</v>
      </c>
      <c r="K3" s="4" t="str">
        <f t="shared" si="1"/>
        <v>OK</v>
      </c>
      <c r="L3" s="4" t="str">
        <f t="shared" si="1"/>
        <v>OK</v>
      </c>
      <c r="M3" s="4" t="str">
        <f t="shared" si="1"/>
        <v>OK</v>
      </c>
      <c r="N3" s="4" t="str">
        <f t="shared" si="1"/>
        <v>OK</v>
      </c>
      <c r="O3" s="4" t="str">
        <f t="shared" ref="O3:R3" si="2">IFERROR(IF(ABS(O87)&gt;1,"ERROR","OK"),"OK")</f>
        <v>OK</v>
      </c>
      <c r="P3" s="4" t="str">
        <f t="shared" si="2"/>
        <v>OK</v>
      </c>
      <c r="Q3" s="4" t="str">
        <f t="shared" si="2"/>
        <v>OK</v>
      </c>
      <c r="R3" s="4" t="str">
        <f t="shared" si="2"/>
        <v>OK</v>
      </c>
    </row>
    <row r="4" spans="1:18" s="5" customFormat="1">
      <c r="A4" s="2"/>
      <c r="B4" s="2"/>
      <c r="C4" s="2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s="21" customFormat="1" ht="19.149999999999999" customHeight="1">
      <c r="A5" s="20" t="s">
        <v>56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outlineLevel="1">
      <c r="A6" s="98" t="s">
        <v>108</v>
      </c>
      <c r="B6" s="19"/>
      <c r="C6" s="70"/>
      <c r="D6" s="70"/>
      <c r="E6" s="70"/>
      <c r="F6" s="70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</row>
    <row r="7" spans="1:18" outlineLevel="1">
      <c r="A7" s="19" t="s">
        <v>112</v>
      </c>
      <c r="B7" s="19"/>
      <c r="C7" s="99">
        <v>365</v>
      </c>
      <c r="D7" s="99">
        <v>365</v>
      </c>
      <c r="E7" s="99">
        <v>365</v>
      </c>
      <c r="F7" s="99">
        <v>365</v>
      </c>
      <c r="G7" s="99">
        <v>365</v>
      </c>
      <c r="H7" s="99">
        <v>365</v>
      </c>
      <c r="I7" s="99">
        <v>365</v>
      </c>
      <c r="J7" s="99">
        <v>365</v>
      </c>
      <c r="K7" s="99">
        <v>365</v>
      </c>
      <c r="L7" s="99">
        <v>365</v>
      </c>
      <c r="M7" s="99">
        <v>365</v>
      </c>
      <c r="N7" s="99">
        <v>365</v>
      </c>
      <c r="O7" s="99">
        <v>365</v>
      </c>
      <c r="P7" s="99">
        <v>365</v>
      </c>
      <c r="Q7" s="99">
        <v>365</v>
      </c>
      <c r="R7" s="99">
        <v>365</v>
      </c>
    </row>
    <row r="8" spans="1:18" outlineLevel="1">
      <c r="A8" s="19" t="s">
        <v>109</v>
      </c>
      <c r="B8" s="19"/>
      <c r="C8" s="70">
        <f>C2-B2</f>
        <v>30</v>
      </c>
      <c r="D8" s="70">
        <f t="shared" ref="D8:R8" si="3">D2-C2</f>
        <v>31</v>
      </c>
      <c r="E8" s="70">
        <f t="shared" si="3"/>
        <v>30</v>
      </c>
      <c r="F8" s="70">
        <f t="shared" si="3"/>
        <v>31</v>
      </c>
      <c r="G8" s="70">
        <f t="shared" si="3"/>
        <v>31</v>
      </c>
      <c r="H8" s="70">
        <f t="shared" si="3"/>
        <v>28</v>
      </c>
      <c r="I8" s="70">
        <f t="shared" si="3"/>
        <v>31</v>
      </c>
      <c r="J8" s="70">
        <f t="shared" si="3"/>
        <v>30</v>
      </c>
      <c r="K8" s="70">
        <f t="shared" si="3"/>
        <v>31</v>
      </c>
      <c r="L8" s="70">
        <f t="shared" si="3"/>
        <v>30</v>
      </c>
      <c r="M8" s="70">
        <f t="shared" si="3"/>
        <v>31</v>
      </c>
      <c r="N8" s="70">
        <f t="shared" si="3"/>
        <v>31</v>
      </c>
      <c r="O8" s="70">
        <f t="shared" si="3"/>
        <v>30</v>
      </c>
      <c r="P8" s="70">
        <f t="shared" si="3"/>
        <v>31</v>
      </c>
      <c r="Q8" s="70">
        <f t="shared" si="3"/>
        <v>30</v>
      </c>
      <c r="R8" s="70">
        <f t="shared" si="3"/>
        <v>31</v>
      </c>
    </row>
    <row r="9" spans="1:18" outlineLevel="1">
      <c r="A9" s="19" t="s">
        <v>110</v>
      </c>
      <c r="B9" s="19"/>
      <c r="C9" s="70">
        <f>ROUND(C7/MROUND(C8,10),0)</f>
        <v>12</v>
      </c>
      <c r="D9" s="70">
        <f t="shared" ref="D9:H9" si="4">ROUND(D7/MROUND(D8,10),0)</f>
        <v>12</v>
      </c>
      <c r="E9" s="70">
        <f t="shared" si="4"/>
        <v>12</v>
      </c>
      <c r="F9" s="70">
        <f t="shared" si="4"/>
        <v>12</v>
      </c>
      <c r="G9" s="70">
        <f t="shared" si="4"/>
        <v>12</v>
      </c>
      <c r="H9" s="70">
        <f t="shared" si="4"/>
        <v>12</v>
      </c>
      <c r="I9" s="70">
        <f t="shared" ref="I9" si="5">ROUND(I7/MROUND(I8,10),0)</f>
        <v>12</v>
      </c>
      <c r="J9" s="70">
        <f t="shared" ref="J9" si="6">ROUND(J7/MROUND(J8,10),0)</f>
        <v>12</v>
      </c>
      <c r="K9" s="70">
        <f t="shared" ref="K9" si="7">ROUND(K7/MROUND(K8,10),0)</f>
        <v>12</v>
      </c>
      <c r="L9" s="70">
        <f t="shared" ref="L9" si="8">ROUND(L7/MROUND(L8,10),0)</f>
        <v>12</v>
      </c>
      <c r="M9" s="70">
        <f t="shared" ref="M9" si="9">ROUND(M7/MROUND(M8,10),0)</f>
        <v>12</v>
      </c>
      <c r="N9" s="70">
        <f t="shared" ref="N9" si="10">ROUND(N7/MROUND(N8,10),0)</f>
        <v>12</v>
      </c>
      <c r="O9" s="70">
        <f t="shared" ref="O9" si="11">ROUND(O7/MROUND(O8,10),0)</f>
        <v>12</v>
      </c>
      <c r="P9" s="70">
        <f t="shared" ref="P9" si="12">ROUND(P7/MROUND(P8,10),0)</f>
        <v>12</v>
      </c>
      <c r="Q9" s="70">
        <f t="shared" ref="Q9" si="13">ROUND(Q7/MROUND(Q8,10),0)</f>
        <v>12</v>
      </c>
      <c r="R9" s="70">
        <f t="shared" ref="R9" si="14">ROUND(R7/MROUND(R8,10),0)</f>
        <v>12</v>
      </c>
    </row>
    <row r="10" spans="1:18" outlineLevel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outlineLevel="1">
      <c r="A11" s="8" t="s">
        <v>33</v>
      </c>
      <c r="B11" s="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outlineLevel="1">
      <c r="A12" s="6" t="s">
        <v>40</v>
      </c>
      <c r="C12" s="58">
        <v>20</v>
      </c>
      <c r="D12" s="58">
        <v>20</v>
      </c>
      <c r="E12" s="58">
        <v>20</v>
      </c>
      <c r="F12" s="58">
        <v>20</v>
      </c>
      <c r="G12" s="70">
        <f>F12+G13</f>
        <v>20</v>
      </c>
      <c r="H12" s="70">
        <f t="shared" ref="H12:R12" si="15">G12+H13</f>
        <v>21</v>
      </c>
      <c r="I12" s="70">
        <f t="shared" si="15"/>
        <v>21</v>
      </c>
      <c r="J12" s="70">
        <f t="shared" si="15"/>
        <v>21</v>
      </c>
      <c r="K12" s="70">
        <f t="shared" si="15"/>
        <v>22</v>
      </c>
      <c r="L12" s="70">
        <f t="shared" si="15"/>
        <v>22</v>
      </c>
      <c r="M12" s="70">
        <f t="shared" si="15"/>
        <v>22</v>
      </c>
      <c r="N12" s="70">
        <f t="shared" si="15"/>
        <v>22</v>
      </c>
      <c r="O12" s="70">
        <f t="shared" si="15"/>
        <v>23</v>
      </c>
      <c r="P12" s="70">
        <f t="shared" si="15"/>
        <v>23</v>
      </c>
      <c r="Q12" s="70">
        <f t="shared" si="15"/>
        <v>23</v>
      </c>
      <c r="R12" s="70">
        <f t="shared" si="15"/>
        <v>23</v>
      </c>
    </row>
    <row r="13" spans="1:18" outlineLevel="1">
      <c r="A13" s="11" t="s">
        <v>41</v>
      </c>
      <c r="B13" s="11"/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1</v>
      </c>
      <c r="I13" s="58">
        <v>0</v>
      </c>
      <c r="J13" s="58">
        <v>0</v>
      </c>
      <c r="K13" s="58">
        <v>1</v>
      </c>
      <c r="L13" s="58">
        <v>0</v>
      </c>
      <c r="M13" s="58">
        <v>0</v>
      </c>
      <c r="N13" s="58">
        <v>0</v>
      </c>
      <c r="O13" s="58">
        <v>1</v>
      </c>
      <c r="P13" s="58">
        <v>0</v>
      </c>
      <c r="Q13" s="58">
        <v>0</v>
      </c>
      <c r="R13" s="58">
        <v>0</v>
      </c>
    </row>
    <row r="14" spans="1:18" outlineLevel="1">
      <c r="A14" s="12" t="s">
        <v>42</v>
      </c>
      <c r="B14" s="12"/>
      <c r="C14" s="58">
        <v>46000</v>
      </c>
      <c r="D14" s="58">
        <v>46000</v>
      </c>
      <c r="E14" s="58">
        <v>46000</v>
      </c>
      <c r="F14" s="58">
        <v>46000</v>
      </c>
      <c r="G14" s="58">
        <v>46000</v>
      </c>
      <c r="H14" s="58">
        <v>46000</v>
      </c>
      <c r="I14" s="58">
        <v>46000</v>
      </c>
      <c r="J14" s="58">
        <v>46000</v>
      </c>
      <c r="K14" s="58">
        <v>46000</v>
      </c>
      <c r="L14" s="58">
        <v>46000</v>
      </c>
      <c r="M14" s="58">
        <v>46000</v>
      </c>
      <c r="N14" s="58">
        <v>46000</v>
      </c>
      <c r="O14" s="58">
        <v>46000</v>
      </c>
      <c r="P14" s="58">
        <v>46000</v>
      </c>
      <c r="Q14" s="58">
        <v>46000</v>
      </c>
      <c r="R14" s="58">
        <v>46000</v>
      </c>
    </row>
    <row r="15" spans="1:18" outlineLevel="1">
      <c r="A15" s="12" t="s">
        <v>113</v>
      </c>
      <c r="B15" s="12"/>
      <c r="C15" s="65">
        <v>532.83521739130424</v>
      </c>
      <c r="D15" s="65">
        <v>535.43478260869563</v>
      </c>
      <c r="E15" s="65">
        <v>569.08956521739128</v>
      </c>
      <c r="F15" s="65">
        <v>576.60652173913047</v>
      </c>
      <c r="G15" s="58">
        <v>535</v>
      </c>
      <c r="H15" s="58">
        <v>535</v>
      </c>
      <c r="I15" s="58">
        <v>535</v>
      </c>
      <c r="J15" s="58">
        <v>535</v>
      </c>
      <c r="K15" s="58">
        <v>535</v>
      </c>
      <c r="L15" s="58">
        <v>535</v>
      </c>
      <c r="M15" s="58">
        <v>535</v>
      </c>
      <c r="N15" s="58">
        <v>535</v>
      </c>
      <c r="O15" s="58">
        <v>535</v>
      </c>
      <c r="P15" s="58">
        <v>535</v>
      </c>
      <c r="Q15" s="58">
        <v>535</v>
      </c>
      <c r="R15" s="58">
        <v>535</v>
      </c>
    </row>
    <row r="16" spans="1:18" outlineLevel="1"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</row>
    <row r="17" spans="1:18" outlineLevel="1">
      <c r="A17" s="14" t="s">
        <v>34</v>
      </c>
      <c r="B17" s="14"/>
      <c r="C17" s="14"/>
      <c r="D17" s="14"/>
      <c r="E17" s="15"/>
      <c r="F17" s="13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 spans="1:18" outlineLevel="1">
      <c r="A18" s="6" t="s">
        <v>43</v>
      </c>
      <c r="C18" s="16">
        <f>C50/C48</f>
        <v>0.28624968482792212</v>
      </c>
      <c r="D18" s="16">
        <f t="shared" ref="D18:F18" si="16">D50/D48</f>
        <v>0.28276492082825821</v>
      </c>
      <c r="E18" s="16">
        <f t="shared" si="16"/>
        <v>0.27031047302098082</v>
      </c>
      <c r="F18" s="16">
        <f t="shared" si="16"/>
        <v>0.26511938289618042</v>
      </c>
      <c r="G18" s="81">
        <v>0.26500000000000001</v>
      </c>
      <c r="H18" s="81">
        <v>0.26500000000000001</v>
      </c>
      <c r="I18" s="81">
        <v>0.26500000000000001</v>
      </c>
      <c r="J18" s="81">
        <v>0.26500000000000001</v>
      </c>
      <c r="K18" s="81">
        <v>0.26500000000000001</v>
      </c>
      <c r="L18" s="81">
        <v>0.26500000000000001</v>
      </c>
      <c r="M18" s="81">
        <v>0.26500000000000001</v>
      </c>
      <c r="N18" s="81">
        <v>0.26500000000000001</v>
      </c>
      <c r="O18" s="81">
        <v>0.26500000000000001</v>
      </c>
      <c r="P18" s="81">
        <v>0.26500000000000001</v>
      </c>
      <c r="Q18" s="81">
        <v>0.26500000000000001</v>
      </c>
      <c r="R18" s="81">
        <v>0.26500000000000001</v>
      </c>
    </row>
    <row r="19" spans="1:18" outlineLevel="1">
      <c r="A19" s="6" t="s">
        <v>32</v>
      </c>
      <c r="C19" s="18">
        <f>-C51</f>
        <v>9577</v>
      </c>
      <c r="D19" s="18">
        <f t="shared" ref="D19:F19" si="17">-D51</f>
        <v>9687</v>
      </c>
      <c r="E19" s="18">
        <f t="shared" si="17"/>
        <v>9510.3000000000011</v>
      </c>
      <c r="F19" s="18">
        <f t="shared" si="17"/>
        <v>9481.6</v>
      </c>
      <c r="G19" s="82">
        <v>9500</v>
      </c>
      <c r="H19" s="82">
        <v>9500</v>
      </c>
      <c r="I19" s="82">
        <v>9500</v>
      </c>
      <c r="J19" s="82">
        <v>9500</v>
      </c>
      <c r="K19" s="82">
        <v>9500</v>
      </c>
      <c r="L19" s="82">
        <v>9500</v>
      </c>
      <c r="M19" s="82">
        <v>9500</v>
      </c>
      <c r="N19" s="82">
        <v>9500</v>
      </c>
      <c r="O19" s="82">
        <v>9500</v>
      </c>
      <c r="P19" s="82">
        <v>9500</v>
      </c>
      <c r="Q19" s="82">
        <v>9500</v>
      </c>
      <c r="R19" s="82">
        <v>9500</v>
      </c>
    </row>
    <row r="20" spans="1:18" outlineLevel="1">
      <c r="A20" s="6" t="s">
        <v>44</v>
      </c>
      <c r="C20" s="16">
        <f>C19/C48</f>
        <v>0.23443906713960841</v>
      </c>
      <c r="D20" s="16">
        <f t="shared" ref="D20:F20" si="18">D19/D48</f>
        <v>0.23598051157125458</v>
      </c>
      <c r="E20" s="16">
        <f t="shared" si="18"/>
        <v>0.21797516399191388</v>
      </c>
      <c r="F20" s="16">
        <f t="shared" si="18"/>
        <v>0.21448429529594065</v>
      </c>
      <c r="G20" s="111">
        <f>IFERROR(G19/G48,"na")</f>
        <v>0.23161316537992688</v>
      </c>
      <c r="H20" s="111">
        <f t="shared" ref="H20:R20" si="19">IFERROR(H19/H48,"na")</f>
        <v>0.22058396702850178</v>
      </c>
      <c r="I20" s="111">
        <f t="shared" si="19"/>
        <v>0.22058396702850178</v>
      </c>
      <c r="J20" s="111">
        <f t="shared" si="19"/>
        <v>0.22058396702850178</v>
      </c>
      <c r="K20" s="111">
        <f t="shared" si="19"/>
        <v>0.21055742307266076</v>
      </c>
      <c r="L20" s="111">
        <f t="shared" si="19"/>
        <v>0.21055742307266076</v>
      </c>
      <c r="M20" s="111">
        <f t="shared" si="19"/>
        <v>0.21055742307266076</v>
      </c>
      <c r="N20" s="111">
        <f t="shared" si="19"/>
        <v>0.21055742307266076</v>
      </c>
      <c r="O20" s="111">
        <f t="shared" si="19"/>
        <v>0.20140275250428424</v>
      </c>
      <c r="P20" s="111">
        <f t="shared" si="19"/>
        <v>0.20140275250428424</v>
      </c>
      <c r="Q20" s="111">
        <f t="shared" si="19"/>
        <v>0.20140275250428424</v>
      </c>
      <c r="R20" s="111">
        <f t="shared" si="19"/>
        <v>0.20140275250428424</v>
      </c>
    </row>
    <row r="21" spans="1:18" outlineLevel="1"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outlineLevel="1">
      <c r="A22" s="8" t="s">
        <v>35</v>
      </c>
      <c r="B22" s="8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</row>
    <row r="23" spans="1:18" outlineLevel="1">
      <c r="A23" s="6" t="s">
        <v>45</v>
      </c>
      <c r="C23" s="16">
        <f>-C57/C56</f>
        <v>0.57650059545526067</v>
      </c>
      <c r="D23" s="16">
        <f t="shared" ref="D23:F23" si="20">-D57/D56</f>
        <v>0.77525850255450379</v>
      </c>
      <c r="E23" s="16">
        <f t="shared" si="20"/>
        <v>0.54658570577274446</v>
      </c>
      <c r="F23" s="16">
        <f t="shared" si="20"/>
        <v>0.55263622385806854</v>
      </c>
      <c r="G23" s="81">
        <v>0.35</v>
      </c>
      <c r="H23" s="81">
        <v>0.35</v>
      </c>
      <c r="I23" s="81">
        <v>0.35</v>
      </c>
      <c r="J23" s="81">
        <v>0.35</v>
      </c>
      <c r="K23" s="81">
        <v>0.35</v>
      </c>
      <c r="L23" s="81">
        <v>0.35</v>
      </c>
      <c r="M23" s="81">
        <v>0.35</v>
      </c>
      <c r="N23" s="81">
        <v>0.35</v>
      </c>
      <c r="O23" s="81">
        <v>0.35</v>
      </c>
      <c r="P23" s="81">
        <v>0.35</v>
      </c>
      <c r="Q23" s="81">
        <v>0.35</v>
      </c>
      <c r="R23" s="81">
        <v>0.35</v>
      </c>
    </row>
    <row r="24" spans="1:18" outlineLevel="1"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</row>
    <row r="25" spans="1:18" outlineLevel="1">
      <c r="A25" s="8" t="s">
        <v>38</v>
      </c>
      <c r="B25" s="8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</row>
    <row r="26" spans="1:18" outlineLevel="1">
      <c r="A26" s="6" t="s">
        <v>94</v>
      </c>
      <c r="C26" s="70">
        <f>C68/C48*C8</f>
        <v>4.6036910016229831</v>
      </c>
      <c r="D26" s="70">
        <f t="shared" ref="D26:F26" si="21">D68/D48*D8</f>
        <v>5.0512253349573681</v>
      </c>
      <c r="E26" s="70">
        <f t="shared" si="21"/>
        <v>5.3715087256074927</v>
      </c>
      <c r="F26" s="70">
        <f t="shared" si="21"/>
        <v>7.6492823453564514</v>
      </c>
      <c r="G26" s="58">
        <v>7</v>
      </c>
      <c r="H26" s="58">
        <v>7</v>
      </c>
      <c r="I26" s="58">
        <v>7</v>
      </c>
      <c r="J26" s="58">
        <v>7</v>
      </c>
      <c r="K26" s="58">
        <v>7</v>
      </c>
      <c r="L26" s="58">
        <v>7</v>
      </c>
      <c r="M26" s="58">
        <v>7</v>
      </c>
      <c r="N26" s="58">
        <v>7</v>
      </c>
      <c r="O26" s="58">
        <v>7</v>
      </c>
      <c r="P26" s="58">
        <v>7</v>
      </c>
      <c r="Q26" s="58">
        <v>7</v>
      </c>
      <c r="R26" s="58">
        <v>7</v>
      </c>
    </row>
    <row r="27" spans="1:18" outlineLevel="1">
      <c r="A27" s="6" t="s">
        <v>95</v>
      </c>
      <c r="C27" s="70">
        <f>C69/-C49*C8</f>
        <v>30.977048550615287</v>
      </c>
      <c r="D27" s="70">
        <f t="shared" ref="D27:F27" si="22">D69/-D49*D8</f>
        <v>33.146125498853699</v>
      </c>
      <c r="E27" s="70">
        <f t="shared" si="22"/>
        <v>27.930205895748589</v>
      </c>
      <c r="F27" s="70">
        <f t="shared" si="22"/>
        <v>29.337232388838441</v>
      </c>
      <c r="G27" s="58">
        <v>29</v>
      </c>
      <c r="H27" s="58">
        <v>29</v>
      </c>
      <c r="I27" s="58">
        <v>29</v>
      </c>
      <c r="J27" s="58">
        <v>29</v>
      </c>
      <c r="K27" s="58">
        <v>29</v>
      </c>
      <c r="L27" s="58">
        <v>29</v>
      </c>
      <c r="M27" s="58">
        <v>29</v>
      </c>
      <c r="N27" s="58">
        <v>29</v>
      </c>
      <c r="O27" s="58">
        <v>29</v>
      </c>
      <c r="P27" s="58">
        <v>29</v>
      </c>
      <c r="Q27" s="58">
        <v>29</v>
      </c>
      <c r="R27" s="58">
        <v>29</v>
      </c>
    </row>
    <row r="28" spans="1:18" outlineLevel="1">
      <c r="A28" s="6" t="s">
        <v>96</v>
      </c>
      <c r="C28" s="70">
        <f>C77/-C49*C8</f>
        <v>30.359705321498641</v>
      </c>
      <c r="D28" s="70">
        <f t="shared" ref="D28:F28" si="23">D77/-D49*D8</f>
        <v>32.008993801477459</v>
      </c>
      <c r="E28" s="70">
        <f t="shared" si="23"/>
        <v>27.09437281108162</v>
      </c>
      <c r="F28" s="70">
        <f t="shared" si="23"/>
        <v>29.820079109784064</v>
      </c>
      <c r="G28" s="58">
        <v>28</v>
      </c>
      <c r="H28" s="58">
        <v>28</v>
      </c>
      <c r="I28" s="58">
        <v>28</v>
      </c>
      <c r="J28" s="58">
        <v>28</v>
      </c>
      <c r="K28" s="58">
        <v>28</v>
      </c>
      <c r="L28" s="58">
        <v>28</v>
      </c>
      <c r="M28" s="58">
        <v>28</v>
      </c>
      <c r="N28" s="58">
        <v>28</v>
      </c>
      <c r="O28" s="58">
        <v>28</v>
      </c>
      <c r="P28" s="58">
        <v>28</v>
      </c>
      <c r="Q28" s="58">
        <v>28</v>
      </c>
      <c r="R28" s="58">
        <v>28</v>
      </c>
    </row>
    <row r="29" spans="1:18" outlineLevel="1"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</row>
    <row r="30" spans="1:18" s="7" customFormat="1" outlineLevel="1">
      <c r="A30" s="8" t="s">
        <v>37</v>
      </c>
      <c r="B30" s="8"/>
      <c r="C30" s="6"/>
      <c r="D30" s="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1:18" s="7" customFormat="1" outlineLevel="1">
      <c r="A31" s="6" t="s">
        <v>47</v>
      </c>
      <c r="B31" s="6"/>
      <c r="C31" s="81">
        <v>0.1</v>
      </c>
      <c r="D31" s="22">
        <v>0.1</v>
      </c>
      <c r="E31" s="22">
        <v>0.1</v>
      </c>
      <c r="F31" s="22">
        <v>0.1</v>
      </c>
      <c r="G31" s="55">
        <v>0.1</v>
      </c>
      <c r="H31" s="55">
        <v>0.1</v>
      </c>
      <c r="I31" s="55">
        <v>0.1</v>
      </c>
      <c r="J31" s="55">
        <v>0.1</v>
      </c>
      <c r="K31" s="55">
        <v>0.1</v>
      </c>
      <c r="L31" s="55">
        <v>0.1</v>
      </c>
      <c r="M31" s="55">
        <v>0.1</v>
      </c>
      <c r="N31" s="55">
        <v>0.1</v>
      </c>
      <c r="O31" s="55">
        <v>0.1</v>
      </c>
      <c r="P31" s="55">
        <v>0.1</v>
      </c>
      <c r="Q31" s="55">
        <v>0.1</v>
      </c>
      <c r="R31" s="55">
        <v>0.1</v>
      </c>
    </row>
    <row r="32" spans="1:18" s="7" customFormat="1" outlineLevel="1">
      <c r="A32" s="6" t="s">
        <v>52</v>
      </c>
      <c r="B32" s="6"/>
      <c r="C32" s="83">
        <v>100</v>
      </c>
      <c r="D32" s="83">
        <v>100</v>
      </c>
      <c r="E32" s="83">
        <v>100</v>
      </c>
      <c r="F32" s="83">
        <v>100</v>
      </c>
      <c r="G32" s="83">
        <v>100</v>
      </c>
      <c r="H32" s="83">
        <v>100</v>
      </c>
      <c r="I32" s="83">
        <v>100</v>
      </c>
      <c r="J32" s="83">
        <v>100</v>
      </c>
      <c r="K32" s="83">
        <v>100</v>
      </c>
      <c r="L32" s="83">
        <v>100</v>
      </c>
      <c r="M32" s="83">
        <v>100</v>
      </c>
      <c r="N32" s="83">
        <v>100</v>
      </c>
      <c r="O32" s="83">
        <v>100</v>
      </c>
      <c r="P32" s="83">
        <v>100</v>
      </c>
      <c r="Q32" s="83">
        <v>100</v>
      </c>
      <c r="R32" s="83">
        <v>100</v>
      </c>
    </row>
    <row r="33" spans="1:18" outlineLevel="1"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</row>
    <row r="34" spans="1:18" outlineLevel="1">
      <c r="A34" s="8" t="s">
        <v>61</v>
      </c>
      <c r="B34" s="8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</row>
    <row r="35" spans="1:18" outlineLevel="1">
      <c r="A35" s="6" t="s">
        <v>62</v>
      </c>
      <c r="C35" s="39">
        <v>0</v>
      </c>
      <c r="D35" s="39">
        <v>0</v>
      </c>
      <c r="E35" s="39">
        <v>0</v>
      </c>
      <c r="F35" s="39">
        <v>0</v>
      </c>
      <c r="G35" s="112">
        <v>0</v>
      </c>
      <c r="H35" s="112">
        <v>0</v>
      </c>
      <c r="I35" s="112">
        <v>0</v>
      </c>
      <c r="J35" s="112">
        <v>0</v>
      </c>
      <c r="K35" s="112">
        <v>0</v>
      </c>
      <c r="L35" s="112">
        <v>0</v>
      </c>
      <c r="M35" s="112">
        <v>0</v>
      </c>
      <c r="N35" s="112">
        <v>0</v>
      </c>
      <c r="O35" s="112">
        <v>0</v>
      </c>
      <c r="P35" s="112">
        <v>0</v>
      </c>
      <c r="Q35" s="112">
        <v>0</v>
      </c>
      <c r="R35" s="112">
        <v>0</v>
      </c>
    </row>
    <row r="36" spans="1:18" outlineLevel="1">
      <c r="A36" s="6" t="s">
        <v>65</v>
      </c>
      <c r="C36" s="39">
        <v>0</v>
      </c>
      <c r="D36" s="39">
        <v>0</v>
      </c>
      <c r="E36" s="39">
        <v>0</v>
      </c>
      <c r="F36" s="39">
        <v>0</v>
      </c>
      <c r="G36" s="112">
        <v>0</v>
      </c>
      <c r="H36" s="112">
        <v>0</v>
      </c>
      <c r="I36" s="112">
        <v>0</v>
      </c>
      <c r="J36" s="112">
        <v>0</v>
      </c>
      <c r="K36" s="112">
        <v>0</v>
      </c>
      <c r="L36" s="112">
        <v>0</v>
      </c>
      <c r="M36" s="112">
        <v>0</v>
      </c>
      <c r="N36" s="112">
        <v>0</v>
      </c>
      <c r="O36" s="112">
        <v>0</v>
      </c>
      <c r="P36" s="112">
        <v>0</v>
      </c>
      <c r="Q36" s="112">
        <v>0</v>
      </c>
      <c r="R36" s="112">
        <v>0</v>
      </c>
    </row>
    <row r="37" spans="1:18" outlineLevel="1">
      <c r="C37" s="31"/>
      <c r="D37" s="31"/>
      <c r="E37" s="31"/>
      <c r="F37" s="3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</row>
    <row r="38" spans="1:18" outlineLevel="1">
      <c r="A38" s="6" t="s">
        <v>69</v>
      </c>
      <c r="C38" s="31"/>
      <c r="D38" s="39">
        <v>0</v>
      </c>
      <c r="E38" s="39">
        <v>0</v>
      </c>
      <c r="F38" s="39">
        <v>0</v>
      </c>
      <c r="G38" s="112">
        <v>0</v>
      </c>
      <c r="H38" s="112">
        <v>0</v>
      </c>
      <c r="I38" s="112">
        <v>0</v>
      </c>
      <c r="J38" s="112">
        <v>0</v>
      </c>
      <c r="K38" s="112">
        <v>0</v>
      </c>
      <c r="L38" s="112">
        <v>0</v>
      </c>
      <c r="M38" s="112">
        <v>0</v>
      </c>
      <c r="N38" s="112">
        <v>0</v>
      </c>
      <c r="O38" s="112">
        <v>0</v>
      </c>
      <c r="P38" s="112">
        <v>0</v>
      </c>
      <c r="Q38" s="112">
        <v>0</v>
      </c>
      <c r="R38" s="112">
        <v>0</v>
      </c>
    </row>
    <row r="39" spans="1:18" outlineLevel="1">
      <c r="A39" s="6" t="s">
        <v>64</v>
      </c>
      <c r="C39" s="83">
        <v>500</v>
      </c>
      <c r="D39" s="83">
        <v>500</v>
      </c>
      <c r="E39" s="83">
        <v>500</v>
      </c>
      <c r="F39" s="83">
        <v>500</v>
      </c>
      <c r="G39" s="83">
        <v>500</v>
      </c>
      <c r="H39" s="83">
        <v>500</v>
      </c>
      <c r="I39" s="83">
        <v>500</v>
      </c>
      <c r="J39" s="83">
        <v>500</v>
      </c>
      <c r="K39" s="83">
        <v>500</v>
      </c>
      <c r="L39" s="83">
        <v>500</v>
      </c>
      <c r="M39" s="83">
        <v>500</v>
      </c>
      <c r="N39" s="83">
        <v>500</v>
      </c>
      <c r="O39" s="83">
        <v>500</v>
      </c>
      <c r="P39" s="83">
        <v>500</v>
      </c>
      <c r="Q39" s="83">
        <v>500</v>
      </c>
      <c r="R39" s="83">
        <v>500</v>
      </c>
    </row>
    <row r="40" spans="1:18" outlineLevel="1">
      <c r="A40" s="6" t="s">
        <v>63</v>
      </c>
      <c r="C40" s="34">
        <v>5.7500000000000002E-2</v>
      </c>
      <c r="D40" s="34">
        <v>5.7500000000000002E-2</v>
      </c>
      <c r="E40" s="34">
        <v>5.7500000000000002E-2</v>
      </c>
      <c r="F40" s="34">
        <v>5.7500000000000002E-2</v>
      </c>
      <c r="G40" s="56">
        <v>5.7500000000000002E-2</v>
      </c>
      <c r="H40" s="56">
        <v>5.7500000000000002E-2</v>
      </c>
      <c r="I40" s="56">
        <v>5.7500000000000002E-2</v>
      </c>
      <c r="J40" s="56">
        <v>5.7500000000000002E-2</v>
      </c>
      <c r="K40" s="56">
        <v>5.7500000000000002E-2</v>
      </c>
      <c r="L40" s="56">
        <v>5.7500000000000002E-2</v>
      </c>
      <c r="M40" s="56">
        <v>5.7500000000000002E-2</v>
      </c>
      <c r="N40" s="56">
        <v>5.7500000000000002E-2</v>
      </c>
      <c r="O40" s="56">
        <v>5.7500000000000002E-2</v>
      </c>
      <c r="P40" s="56">
        <v>5.7500000000000002E-2</v>
      </c>
      <c r="Q40" s="56">
        <v>5.7500000000000002E-2</v>
      </c>
      <c r="R40" s="56">
        <v>5.7500000000000002E-2</v>
      </c>
    </row>
    <row r="41" spans="1:18" outlineLevel="1">
      <c r="C41" s="34"/>
      <c r="D41" s="34"/>
      <c r="E41" s="34"/>
      <c r="F41" s="34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</row>
    <row r="42" spans="1:18" outlineLevel="1">
      <c r="A42" s="6" t="s">
        <v>86</v>
      </c>
      <c r="C42" s="42">
        <v>0.75</v>
      </c>
      <c r="D42" s="42">
        <v>0.75</v>
      </c>
      <c r="E42" s="42">
        <v>0.75</v>
      </c>
      <c r="F42" s="42">
        <v>0.75</v>
      </c>
      <c r="G42" s="113">
        <v>0.75</v>
      </c>
      <c r="H42" s="113">
        <v>0.75</v>
      </c>
      <c r="I42" s="113">
        <v>0.75</v>
      </c>
      <c r="J42" s="113">
        <v>0.75</v>
      </c>
      <c r="K42" s="113">
        <v>0.75</v>
      </c>
      <c r="L42" s="113">
        <v>0.75</v>
      </c>
      <c r="M42" s="113">
        <v>0.75</v>
      </c>
      <c r="N42" s="113">
        <v>0.75</v>
      </c>
      <c r="O42" s="113">
        <v>0.75</v>
      </c>
      <c r="P42" s="113">
        <v>0.75</v>
      </c>
      <c r="Q42" s="113">
        <v>0.75</v>
      </c>
      <c r="R42" s="113">
        <v>0.75</v>
      </c>
    </row>
    <row r="43" spans="1:18" outlineLevel="1">
      <c r="A43" s="6" t="s">
        <v>87</v>
      </c>
      <c r="C43" s="42">
        <v>3</v>
      </c>
      <c r="D43" s="42">
        <v>3</v>
      </c>
      <c r="E43" s="42">
        <v>3</v>
      </c>
      <c r="F43" s="42">
        <v>3</v>
      </c>
      <c r="G43" s="113">
        <v>3</v>
      </c>
      <c r="H43" s="113">
        <v>3</v>
      </c>
      <c r="I43" s="113">
        <v>3</v>
      </c>
      <c r="J43" s="113">
        <v>3</v>
      </c>
      <c r="K43" s="113">
        <v>3</v>
      </c>
      <c r="L43" s="113">
        <v>3</v>
      </c>
      <c r="M43" s="113">
        <v>3</v>
      </c>
      <c r="N43" s="113">
        <v>3</v>
      </c>
      <c r="O43" s="113">
        <v>3</v>
      </c>
      <c r="P43" s="113">
        <v>3</v>
      </c>
      <c r="Q43" s="113">
        <v>3</v>
      </c>
      <c r="R43" s="113">
        <v>3</v>
      </c>
    </row>
    <row r="44" spans="1:18" outlineLevel="1">
      <c r="C44" s="42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</row>
    <row r="45" spans="1:18"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1:18" s="21" customFormat="1" ht="19.149999999999999" customHeight="1">
      <c r="A46" s="20" t="s">
        <v>58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18" outlineLevel="1"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1:18" outlineLevel="1">
      <c r="A48" s="6" t="s">
        <v>28</v>
      </c>
      <c r="B48" s="8"/>
      <c r="C48" s="58">
        <v>40850.699999999997</v>
      </c>
      <c r="D48" s="58">
        <v>41050</v>
      </c>
      <c r="E48" s="58">
        <v>43630.2</v>
      </c>
      <c r="F48" s="58">
        <v>44206.5</v>
      </c>
      <c r="G48" s="70">
        <f>G12*G14*G15/G9/1000</f>
        <v>41016.666666666664</v>
      </c>
      <c r="H48" s="70">
        <f t="shared" ref="H48:R48" si="24">H12*H14*H15/H9/1000</f>
        <v>43067.5</v>
      </c>
      <c r="I48" s="70">
        <f t="shared" si="24"/>
        <v>43067.5</v>
      </c>
      <c r="J48" s="70">
        <f t="shared" si="24"/>
        <v>43067.5</v>
      </c>
      <c r="K48" s="70">
        <f t="shared" si="24"/>
        <v>45118.333333333336</v>
      </c>
      <c r="L48" s="70">
        <f t="shared" si="24"/>
        <v>45118.333333333336</v>
      </c>
      <c r="M48" s="70">
        <f t="shared" si="24"/>
        <v>45118.333333333336</v>
      </c>
      <c r="N48" s="70">
        <f t="shared" si="24"/>
        <v>45118.333333333336</v>
      </c>
      <c r="O48" s="70">
        <f t="shared" si="24"/>
        <v>47169.166666666664</v>
      </c>
      <c r="P48" s="70">
        <f t="shared" si="24"/>
        <v>47169.166666666664</v>
      </c>
      <c r="Q48" s="70">
        <f t="shared" si="24"/>
        <v>47169.166666666664</v>
      </c>
      <c r="R48" s="70">
        <f t="shared" si="24"/>
        <v>47169.166666666664</v>
      </c>
    </row>
    <row r="49" spans="1:18" outlineLevel="1">
      <c r="A49" s="6" t="s">
        <v>29</v>
      </c>
      <c r="C49" s="84">
        <v>-29157.200000000001</v>
      </c>
      <c r="D49" s="84">
        <v>-29442.5</v>
      </c>
      <c r="E49" s="84">
        <v>-31836.5</v>
      </c>
      <c r="F49" s="84">
        <v>-32486.5</v>
      </c>
      <c r="G49" s="72">
        <f>-(G48*(1-G18))</f>
        <v>-30147.249999999996</v>
      </c>
      <c r="H49" s="72">
        <f t="shared" ref="H49:R49" si="25">-(H48*(1-H18))</f>
        <v>-31654.612499999999</v>
      </c>
      <c r="I49" s="72">
        <f t="shared" si="25"/>
        <v>-31654.612499999999</v>
      </c>
      <c r="J49" s="72">
        <f t="shared" si="25"/>
        <v>-31654.612499999999</v>
      </c>
      <c r="K49" s="72">
        <f t="shared" si="25"/>
        <v>-33161.974999999999</v>
      </c>
      <c r="L49" s="72">
        <f t="shared" si="25"/>
        <v>-33161.974999999999</v>
      </c>
      <c r="M49" s="72">
        <f t="shared" si="25"/>
        <v>-33161.974999999999</v>
      </c>
      <c r="N49" s="72">
        <f t="shared" si="25"/>
        <v>-33161.974999999999</v>
      </c>
      <c r="O49" s="72">
        <f t="shared" si="25"/>
        <v>-34669.337499999994</v>
      </c>
      <c r="P49" s="72">
        <f t="shared" si="25"/>
        <v>-34669.337499999994</v>
      </c>
      <c r="Q49" s="72">
        <f t="shared" si="25"/>
        <v>-34669.337499999994</v>
      </c>
      <c r="R49" s="72">
        <f t="shared" si="25"/>
        <v>-34669.337499999994</v>
      </c>
    </row>
    <row r="50" spans="1:18" outlineLevel="1">
      <c r="A50" s="36" t="s">
        <v>30</v>
      </c>
      <c r="B50" s="37"/>
      <c r="C50" s="70">
        <f>C48+C49</f>
        <v>11693.499999999996</v>
      </c>
      <c r="D50" s="70">
        <f>D48+D49</f>
        <v>11607.5</v>
      </c>
      <c r="E50" s="70">
        <f>E48+E49</f>
        <v>11793.699999999997</v>
      </c>
      <c r="F50" s="70">
        <f>F48+F49</f>
        <v>11720</v>
      </c>
      <c r="G50" s="70">
        <f>G48+G49</f>
        <v>10869.416666666668</v>
      </c>
      <c r="H50" s="70">
        <f t="shared" ref="H50:R50" si="26">H48+H49</f>
        <v>11412.887500000001</v>
      </c>
      <c r="I50" s="70">
        <f t="shared" si="26"/>
        <v>11412.887500000001</v>
      </c>
      <c r="J50" s="70">
        <f t="shared" si="26"/>
        <v>11412.887500000001</v>
      </c>
      <c r="K50" s="70">
        <f t="shared" si="26"/>
        <v>11956.358333333337</v>
      </c>
      <c r="L50" s="70">
        <f t="shared" si="26"/>
        <v>11956.358333333337</v>
      </c>
      <c r="M50" s="70">
        <f t="shared" si="26"/>
        <v>11956.358333333337</v>
      </c>
      <c r="N50" s="70">
        <f t="shared" si="26"/>
        <v>11956.358333333337</v>
      </c>
      <c r="O50" s="70">
        <f t="shared" si="26"/>
        <v>12499.82916666667</v>
      </c>
      <c r="P50" s="70">
        <f t="shared" si="26"/>
        <v>12499.82916666667</v>
      </c>
      <c r="Q50" s="70">
        <f t="shared" si="26"/>
        <v>12499.82916666667</v>
      </c>
      <c r="R50" s="70">
        <f t="shared" si="26"/>
        <v>12499.82916666667</v>
      </c>
    </row>
    <row r="51" spans="1:18" outlineLevel="1">
      <c r="A51" s="6" t="s">
        <v>32</v>
      </c>
      <c r="C51" s="84">
        <v>-9577</v>
      </c>
      <c r="D51" s="84">
        <v>-9687</v>
      </c>
      <c r="E51" s="84">
        <v>-9510.3000000000011</v>
      </c>
      <c r="F51" s="84">
        <v>-9481.6</v>
      </c>
      <c r="G51" s="72">
        <f>-G19</f>
        <v>-9500</v>
      </c>
      <c r="H51" s="72">
        <f t="shared" ref="H51:R51" si="27">-H19</f>
        <v>-9500</v>
      </c>
      <c r="I51" s="72">
        <f t="shared" si="27"/>
        <v>-9500</v>
      </c>
      <c r="J51" s="72">
        <f t="shared" si="27"/>
        <v>-9500</v>
      </c>
      <c r="K51" s="72">
        <f t="shared" si="27"/>
        <v>-9500</v>
      </c>
      <c r="L51" s="72">
        <f t="shared" si="27"/>
        <v>-9500</v>
      </c>
      <c r="M51" s="72">
        <f t="shared" si="27"/>
        <v>-9500</v>
      </c>
      <c r="N51" s="72">
        <f t="shared" si="27"/>
        <v>-9500</v>
      </c>
      <c r="O51" s="72">
        <f t="shared" si="27"/>
        <v>-9500</v>
      </c>
      <c r="P51" s="72">
        <f t="shared" si="27"/>
        <v>-9500</v>
      </c>
      <c r="Q51" s="72">
        <f t="shared" si="27"/>
        <v>-9500</v>
      </c>
      <c r="R51" s="72">
        <f t="shared" si="27"/>
        <v>-9500</v>
      </c>
    </row>
    <row r="52" spans="1:18" outlineLevel="1">
      <c r="A52" s="36" t="s">
        <v>54</v>
      </c>
      <c r="B52" s="37"/>
      <c r="C52" s="70">
        <f>SUM(C50:C51)</f>
        <v>2116.4999999999964</v>
      </c>
      <c r="D52" s="70">
        <f t="shared" ref="D52:F52" si="28">SUM(D50:D51)</f>
        <v>1920.5</v>
      </c>
      <c r="E52" s="70">
        <f t="shared" si="28"/>
        <v>2283.399999999996</v>
      </c>
      <c r="F52" s="70">
        <f t="shared" si="28"/>
        <v>2238.3999999999996</v>
      </c>
      <c r="G52" s="70">
        <f>G50+G51</f>
        <v>1369.4166666666679</v>
      </c>
      <c r="H52" s="70">
        <f t="shared" ref="H52:R52" si="29">H50+H51</f>
        <v>1912.8875000000007</v>
      </c>
      <c r="I52" s="70">
        <f t="shared" si="29"/>
        <v>1912.8875000000007</v>
      </c>
      <c r="J52" s="70">
        <f t="shared" si="29"/>
        <v>1912.8875000000007</v>
      </c>
      <c r="K52" s="70">
        <f t="shared" si="29"/>
        <v>2456.3583333333372</v>
      </c>
      <c r="L52" s="70">
        <f t="shared" si="29"/>
        <v>2456.3583333333372</v>
      </c>
      <c r="M52" s="70">
        <f t="shared" si="29"/>
        <v>2456.3583333333372</v>
      </c>
      <c r="N52" s="70">
        <f t="shared" si="29"/>
        <v>2456.3583333333372</v>
      </c>
      <c r="O52" s="70">
        <f t="shared" si="29"/>
        <v>2999.8291666666701</v>
      </c>
      <c r="P52" s="70">
        <f t="shared" si="29"/>
        <v>2999.8291666666701</v>
      </c>
      <c r="Q52" s="70">
        <f t="shared" si="29"/>
        <v>2999.8291666666701</v>
      </c>
      <c r="R52" s="70">
        <f t="shared" si="29"/>
        <v>2999.8291666666701</v>
      </c>
    </row>
    <row r="53" spans="1:18" outlineLevel="1">
      <c r="A53" s="6" t="s">
        <v>19</v>
      </c>
      <c r="C53" s="84">
        <v>-848.96</v>
      </c>
      <c r="D53" s="84">
        <v>-848.96</v>
      </c>
      <c r="E53" s="84">
        <v>-848.96</v>
      </c>
      <c r="F53" s="84">
        <v>-848.96</v>
      </c>
      <c r="G53" s="72">
        <f>-G125</f>
        <v>-848.96</v>
      </c>
      <c r="H53" s="72">
        <f t="shared" ref="H53:R53" si="30">-H125</f>
        <v>-848.96</v>
      </c>
      <c r="I53" s="72">
        <f t="shared" si="30"/>
        <v>-887.29333333333341</v>
      </c>
      <c r="J53" s="72">
        <f t="shared" si="30"/>
        <v>-887.29333333333341</v>
      </c>
      <c r="K53" s="72">
        <f t="shared" si="30"/>
        <v>-887.29333333333341</v>
      </c>
      <c r="L53" s="72">
        <f t="shared" si="30"/>
        <v>-925.62666666666667</v>
      </c>
      <c r="M53" s="72">
        <f t="shared" si="30"/>
        <v>-925.62666666666667</v>
      </c>
      <c r="N53" s="72">
        <f t="shared" si="30"/>
        <v>-925.62666666666667</v>
      </c>
      <c r="O53" s="72">
        <f t="shared" si="30"/>
        <v>-925.62666666666667</v>
      </c>
      <c r="P53" s="72">
        <f t="shared" si="30"/>
        <v>-963.96</v>
      </c>
      <c r="Q53" s="72">
        <f t="shared" si="30"/>
        <v>-963.96</v>
      </c>
      <c r="R53" s="72">
        <f t="shared" si="30"/>
        <v>-963.96</v>
      </c>
    </row>
    <row r="54" spans="1:18" outlineLevel="1">
      <c r="A54" s="36" t="s">
        <v>31</v>
      </c>
      <c r="B54" s="37"/>
      <c r="C54" s="70">
        <f>SUM(C52:C53)</f>
        <v>1267.5399999999963</v>
      </c>
      <c r="D54" s="70">
        <f t="shared" ref="D54:G54" si="31">SUM(D52:D53)</f>
        <v>1071.54</v>
      </c>
      <c r="E54" s="70">
        <f t="shared" si="31"/>
        <v>1434.439999999996</v>
      </c>
      <c r="F54" s="70">
        <f t="shared" si="31"/>
        <v>1389.4399999999996</v>
      </c>
      <c r="G54" s="70">
        <f t="shared" si="31"/>
        <v>520.45666666666784</v>
      </c>
      <c r="H54" s="70">
        <f t="shared" ref="H54:R54" si="32">SUM(H52:H53)</f>
        <v>1063.9275000000007</v>
      </c>
      <c r="I54" s="70">
        <f t="shared" si="32"/>
        <v>1025.5941666666672</v>
      </c>
      <c r="J54" s="70">
        <f t="shared" si="32"/>
        <v>1025.5941666666672</v>
      </c>
      <c r="K54" s="70">
        <f t="shared" si="32"/>
        <v>1569.0650000000037</v>
      </c>
      <c r="L54" s="70">
        <f t="shared" si="32"/>
        <v>1530.7316666666707</v>
      </c>
      <c r="M54" s="70">
        <f t="shared" si="32"/>
        <v>1530.7316666666707</v>
      </c>
      <c r="N54" s="70">
        <f t="shared" si="32"/>
        <v>1530.7316666666707</v>
      </c>
      <c r="O54" s="70">
        <f t="shared" si="32"/>
        <v>2074.2025000000035</v>
      </c>
      <c r="P54" s="70">
        <f t="shared" si="32"/>
        <v>2035.86916666667</v>
      </c>
      <c r="Q54" s="70">
        <f t="shared" si="32"/>
        <v>2035.86916666667</v>
      </c>
      <c r="R54" s="70">
        <f t="shared" si="32"/>
        <v>2035.86916666667</v>
      </c>
    </row>
    <row r="55" spans="1:18" outlineLevel="1">
      <c r="A55" s="6" t="s">
        <v>2</v>
      </c>
      <c r="C55" s="85">
        <v>-143.75</v>
      </c>
      <c r="D55" s="86">
        <v>-141.35416666666666</v>
      </c>
      <c r="E55" s="86">
        <v>-138.95833333333334</v>
      </c>
      <c r="F55" s="86">
        <v>-136.5625</v>
      </c>
      <c r="G55" s="72">
        <f>-G136</f>
        <v>-132.96875</v>
      </c>
      <c r="H55" s="72">
        <f t="shared" ref="H55:R55" si="33">-H136</f>
        <v>-130.57291666666666</v>
      </c>
      <c r="I55" s="72">
        <f t="shared" si="33"/>
        <v>-128.17708333333334</v>
      </c>
      <c r="J55" s="72">
        <f t="shared" si="33"/>
        <v>-125.78125</v>
      </c>
      <c r="K55" s="72">
        <f t="shared" si="33"/>
        <v>-123.38541666666667</v>
      </c>
      <c r="L55" s="72">
        <f t="shared" si="33"/>
        <v>-120.98958333333333</v>
      </c>
      <c r="M55" s="72">
        <f t="shared" si="33"/>
        <v>-118.59375</v>
      </c>
      <c r="N55" s="72">
        <f t="shared" si="33"/>
        <v>-116.19791666666667</v>
      </c>
      <c r="O55" s="72">
        <f t="shared" si="33"/>
        <v>-113.80208333333333</v>
      </c>
      <c r="P55" s="72">
        <f t="shared" si="33"/>
        <v>-111.40625</v>
      </c>
      <c r="Q55" s="72">
        <f t="shared" si="33"/>
        <v>-109.01041666666667</v>
      </c>
      <c r="R55" s="72">
        <f t="shared" si="33"/>
        <v>-106.61458333333333</v>
      </c>
    </row>
    <row r="56" spans="1:18" outlineLevel="1">
      <c r="A56" s="36" t="s">
        <v>0</v>
      </c>
      <c r="B56" s="36"/>
      <c r="C56" s="78">
        <f>SUM(C54:C55)</f>
        <v>1123.7899999999963</v>
      </c>
      <c r="D56" s="70">
        <f>D54+D55</f>
        <v>930.18583333333333</v>
      </c>
      <c r="E56" s="70">
        <f>E54+E55</f>
        <v>1295.4816666666627</v>
      </c>
      <c r="F56" s="70">
        <f>F54+F55</f>
        <v>1252.8774999999996</v>
      </c>
      <c r="G56" s="70">
        <f>G54+G55</f>
        <v>387.48791666666784</v>
      </c>
      <c r="H56" s="70">
        <f t="shared" ref="H56:R56" si="34">H54+H55</f>
        <v>933.35458333333406</v>
      </c>
      <c r="I56" s="70">
        <f t="shared" si="34"/>
        <v>897.41708333333384</v>
      </c>
      <c r="J56" s="70">
        <f t="shared" si="34"/>
        <v>899.81291666666721</v>
      </c>
      <c r="K56" s="70">
        <f t="shared" si="34"/>
        <v>1445.679583333337</v>
      </c>
      <c r="L56" s="70">
        <f t="shared" si="34"/>
        <v>1409.7420833333374</v>
      </c>
      <c r="M56" s="70">
        <f t="shared" si="34"/>
        <v>1412.1379166666707</v>
      </c>
      <c r="N56" s="70">
        <f t="shared" si="34"/>
        <v>1414.5337500000039</v>
      </c>
      <c r="O56" s="70">
        <f t="shared" si="34"/>
        <v>1960.4004166666703</v>
      </c>
      <c r="P56" s="70">
        <f t="shared" si="34"/>
        <v>1924.46291666667</v>
      </c>
      <c r="Q56" s="70">
        <f t="shared" si="34"/>
        <v>1926.8587500000033</v>
      </c>
      <c r="R56" s="70">
        <f t="shared" si="34"/>
        <v>1929.2545833333368</v>
      </c>
    </row>
    <row r="57" spans="1:18" outlineLevel="1">
      <c r="A57" s="6" t="s">
        <v>1</v>
      </c>
      <c r="C57" s="58">
        <v>-647.86560416666532</v>
      </c>
      <c r="D57" s="58">
        <v>-721.1344762474132</v>
      </c>
      <c r="E57" s="58">
        <v>-708.09176109064913</v>
      </c>
      <c r="F57" s="58">
        <v>-692.38549055673707</v>
      </c>
      <c r="G57" s="72">
        <f>-IF(G56&gt;0,G56*G23,0)</f>
        <v>-135.62077083333372</v>
      </c>
      <c r="H57" s="72">
        <f t="shared" ref="H57:R57" si="35">-IF(H56&gt;0,H56*H23,0)</f>
        <v>-326.67410416666689</v>
      </c>
      <c r="I57" s="72">
        <f t="shared" si="35"/>
        <v>-314.09597916666684</v>
      </c>
      <c r="J57" s="72">
        <f t="shared" si="35"/>
        <v>-314.93452083333352</v>
      </c>
      <c r="K57" s="72">
        <f t="shared" si="35"/>
        <v>-505.98785416666789</v>
      </c>
      <c r="L57" s="72">
        <f t="shared" si="35"/>
        <v>-493.40972916666806</v>
      </c>
      <c r="M57" s="72">
        <f t="shared" si="35"/>
        <v>-494.24827083333469</v>
      </c>
      <c r="N57" s="72">
        <f t="shared" si="35"/>
        <v>-495.08681250000132</v>
      </c>
      <c r="O57" s="72">
        <f t="shared" si="35"/>
        <v>-686.1401458333346</v>
      </c>
      <c r="P57" s="72">
        <f t="shared" si="35"/>
        <v>-673.56202083333449</v>
      </c>
      <c r="Q57" s="72">
        <f t="shared" si="35"/>
        <v>-674.40056250000112</v>
      </c>
      <c r="R57" s="72">
        <f t="shared" si="35"/>
        <v>-675.23910416666786</v>
      </c>
    </row>
    <row r="58" spans="1:18" ht="17.25" outlineLevel="1" thickBot="1">
      <c r="A58" s="10" t="s">
        <v>18</v>
      </c>
      <c r="B58" s="10"/>
      <c r="C58" s="79">
        <f>C56+C57</f>
        <v>475.924395833331</v>
      </c>
      <c r="D58" s="79">
        <f>D56+D57</f>
        <v>209.05135708592013</v>
      </c>
      <c r="E58" s="79">
        <f>E56+E57</f>
        <v>587.38990557601358</v>
      </c>
      <c r="F58" s="79">
        <f>F56+F57</f>
        <v>560.49200944326253</v>
      </c>
      <c r="G58" s="79">
        <f>G56+G57</f>
        <v>251.86714583333412</v>
      </c>
      <c r="H58" s="79">
        <f t="shared" ref="H58:R58" si="36">H56+H57</f>
        <v>606.68047916666717</v>
      </c>
      <c r="I58" s="79">
        <f t="shared" si="36"/>
        <v>583.32110416666706</v>
      </c>
      <c r="J58" s="79">
        <f t="shared" si="36"/>
        <v>584.87839583333368</v>
      </c>
      <c r="K58" s="79">
        <f t="shared" si="36"/>
        <v>939.69172916666912</v>
      </c>
      <c r="L58" s="79">
        <f t="shared" si="36"/>
        <v>916.33235416666935</v>
      </c>
      <c r="M58" s="79">
        <f t="shared" si="36"/>
        <v>917.88964583333598</v>
      </c>
      <c r="N58" s="79">
        <f t="shared" si="36"/>
        <v>919.4469375000026</v>
      </c>
      <c r="O58" s="79">
        <f t="shared" si="36"/>
        <v>1274.2602708333357</v>
      </c>
      <c r="P58" s="79">
        <f t="shared" si="36"/>
        <v>1250.9008958333357</v>
      </c>
      <c r="Q58" s="79">
        <f t="shared" si="36"/>
        <v>1252.4581875000022</v>
      </c>
      <c r="R58" s="79">
        <f t="shared" si="36"/>
        <v>1254.0154791666689</v>
      </c>
    </row>
    <row r="59" spans="1:18" ht="17.25" outlineLevel="1" thickTop="1"/>
    <row r="60" spans="1:18" outlineLevel="1">
      <c r="A60" s="6" t="s">
        <v>65</v>
      </c>
      <c r="C60" s="39">
        <v>0</v>
      </c>
      <c r="D60" s="39">
        <v>0</v>
      </c>
      <c r="E60" s="39">
        <v>0</v>
      </c>
      <c r="F60" s="39">
        <v>0</v>
      </c>
      <c r="G60" s="31">
        <f>G36</f>
        <v>0</v>
      </c>
      <c r="H60" s="31">
        <f t="shared" ref="H60:R60" si="37">H36</f>
        <v>0</v>
      </c>
      <c r="I60" s="31">
        <f t="shared" si="37"/>
        <v>0</v>
      </c>
      <c r="J60" s="31">
        <f t="shared" si="37"/>
        <v>0</v>
      </c>
      <c r="K60" s="31">
        <f t="shared" si="37"/>
        <v>0</v>
      </c>
      <c r="L60" s="31">
        <f t="shared" si="37"/>
        <v>0</v>
      </c>
      <c r="M60" s="31">
        <f t="shared" si="37"/>
        <v>0</v>
      </c>
      <c r="N60" s="31">
        <f t="shared" si="37"/>
        <v>0</v>
      </c>
      <c r="O60" s="31">
        <f t="shared" si="37"/>
        <v>0</v>
      </c>
      <c r="P60" s="31">
        <f t="shared" si="37"/>
        <v>0</v>
      </c>
      <c r="Q60" s="31">
        <f t="shared" si="37"/>
        <v>0</v>
      </c>
      <c r="R60" s="31">
        <f t="shared" si="37"/>
        <v>0</v>
      </c>
    </row>
    <row r="61" spans="1:18" outlineLevel="1">
      <c r="C61" s="9"/>
      <c r="D61" s="9"/>
      <c r="E61" s="9"/>
      <c r="F61" s="9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</row>
    <row r="63" spans="1:18" s="21" customFormat="1" ht="19.149999999999999" customHeight="1">
      <c r="A63" s="20" t="s">
        <v>57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outlineLevel="1"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outlineLevel="1">
      <c r="A65" s="8" t="s">
        <v>3</v>
      </c>
      <c r="B65" s="8"/>
      <c r="C65" s="8"/>
      <c r="D65" s="8"/>
    </row>
    <row r="66" spans="1:18" outlineLevel="1">
      <c r="A66" s="8" t="s">
        <v>11</v>
      </c>
      <c r="B66" s="8"/>
      <c r="C66" s="8"/>
      <c r="D66" s="8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outlineLevel="1">
      <c r="A67" s="6" t="s">
        <v>4</v>
      </c>
      <c r="C67" s="58">
        <v>6349.96000000001</v>
      </c>
      <c r="D67" s="69">
        <v>6007.9713570859303</v>
      </c>
      <c r="E67" s="69">
        <v>6014.1212626619399</v>
      </c>
      <c r="F67" s="69">
        <v>5220.5732721052</v>
      </c>
      <c r="G67" s="70">
        <f>G113</f>
        <v>5989.0805254654188</v>
      </c>
      <c r="H67" s="70">
        <f t="shared" ref="H67:R67" si="38">H113</f>
        <v>681.6440221052062</v>
      </c>
      <c r="I67" s="70">
        <f t="shared" si="38"/>
        <v>2803.6194475084312</v>
      </c>
      <c r="J67" s="70">
        <f t="shared" si="38"/>
        <v>3417.5899804385426</v>
      </c>
      <c r="K67" s="70">
        <f t="shared" si="38"/>
        <v>-8.939755448554024</v>
      </c>
      <c r="L67" s="70">
        <f t="shared" si="38"/>
        <v>957.76086932743374</v>
      </c>
      <c r="M67" s="70">
        <f t="shared" si="38"/>
        <v>2676.5355778847847</v>
      </c>
      <c r="N67" s="70">
        <f t="shared" si="38"/>
        <v>4021.6091820514539</v>
      </c>
      <c r="O67" s="70">
        <f t="shared" si="38"/>
        <v>217.46452904966191</v>
      </c>
      <c r="P67" s="70">
        <f t="shared" si="38"/>
        <v>2324.6410207611348</v>
      </c>
      <c r="Q67" s="70">
        <f t="shared" si="38"/>
        <v>3648.7436123829998</v>
      </c>
      <c r="R67" s="70">
        <f t="shared" si="38"/>
        <v>5759.0346874278057</v>
      </c>
    </row>
    <row r="68" spans="1:18" outlineLevel="1">
      <c r="A68" s="6" t="s">
        <v>5</v>
      </c>
      <c r="C68" s="58">
        <v>6268.7999999999993</v>
      </c>
      <c r="D68" s="58">
        <v>6688.7999999999993</v>
      </c>
      <c r="E68" s="58">
        <v>7812</v>
      </c>
      <c r="F68" s="58">
        <v>10908</v>
      </c>
      <c r="G68" s="70">
        <f>G48/G8*G26</f>
        <v>9261.8279569892475</v>
      </c>
      <c r="H68" s="70">
        <f t="shared" ref="H68:R68" si="39">H48/H8*H26</f>
        <v>10766.875</v>
      </c>
      <c r="I68" s="70">
        <f t="shared" si="39"/>
        <v>9724.9193548387102</v>
      </c>
      <c r="J68" s="70">
        <f t="shared" si="39"/>
        <v>10049.083333333332</v>
      </c>
      <c r="K68" s="70">
        <f t="shared" si="39"/>
        <v>10188.010752688173</v>
      </c>
      <c r="L68" s="70">
        <f t="shared" si="39"/>
        <v>10527.611111111111</v>
      </c>
      <c r="M68" s="70">
        <f t="shared" si="39"/>
        <v>10188.010752688173</v>
      </c>
      <c r="N68" s="70">
        <f t="shared" si="39"/>
        <v>10188.010752688173</v>
      </c>
      <c r="O68" s="70">
        <f t="shared" si="39"/>
        <v>11006.138888888889</v>
      </c>
      <c r="P68" s="70">
        <f t="shared" si="39"/>
        <v>10651.102150537634</v>
      </c>
      <c r="Q68" s="70">
        <f t="shared" si="39"/>
        <v>11006.138888888889</v>
      </c>
      <c r="R68" s="70">
        <f t="shared" si="39"/>
        <v>10651.102150537634</v>
      </c>
    </row>
    <row r="69" spans="1:18" outlineLevel="1">
      <c r="A69" s="6" t="s">
        <v>6</v>
      </c>
      <c r="C69" s="84">
        <v>30106.800000000003</v>
      </c>
      <c r="D69" s="84">
        <v>31480.800000000003</v>
      </c>
      <c r="E69" s="84">
        <v>29640</v>
      </c>
      <c r="F69" s="84">
        <v>30744</v>
      </c>
      <c r="G69" s="72">
        <f>-G49/G8*G27</f>
        <v>28202.266129032254</v>
      </c>
      <c r="H69" s="72">
        <f t="shared" ref="H69:R69" si="40">-H49/H8*H27</f>
        <v>32785.134374999994</v>
      </c>
      <c r="I69" s="72">
        <f t="shared" si="40"/>
        <v>29612.379435483868</v>
      </c>
      <c r="J69" s="72">
        <f t="shared" si="40"/>
        <v>30599.458749999998</v>
      </c>
      <c r="K69" s="72">
        <f t="shared" si="40"/>
        <v>31022.492741935479</v>
      </c>
      <c r="L69" s="72">
        <f t="shared" si="40"/>
        <v>32056.575833333332</v>
      </c>
      <c r="M69" s="72">
        <f t="shared" si="40"/>
        <v>31022.492741935479</v>
      </c>
      <c r="N69" s="72">
        <f t="shared" si="40"/>
        <v>31022.492741935479</v>
      </c>
      <c r="O69" s="72">
        <f t="shared" si="40"/>
        <v>33513.692916666667</v>
      </c>
      <c r="P69" s="72">
        <f t="shared" si="40"/>
        <v>32432.60604838709</v>
      </c>
      <c r="Q69" s="72">
        <f t="shared" si="40"/>
        <v>33513.692916666667</v>
      </c>
      <c r="R69" s="72">
        <f t="shared" si="40"/>
        <v>32432.60604838709</v>
      </c>
    </row>
    <row r="70" spans="1:18" outlineLevel="1">
      <c r="A70" s="36" t="s">
        <v>12</v>
      </c>
      <c r="B70" s="37"/>
      <c r="C70" s="73">
        <f t="shared" ref="C70:G70" si="41">SUM(C67:C69)</f>
        <v>42725.560000000012</v>
      </c>
      <c r="D70" s="73">
        <f t="shared" si="41"/>
        <v>44177.571357085937</v>
      </c>
      <c r="E70" s="73">
        <f t="shared" si="41"/>
        <v>43466.121262661938</v>
      </c>
      <c r="F70" s="73">
        <f t="shared" si="41"/>
        <v>46872.573272105205</v>
      </c>
      <c r="G70" s="73">
        <f t="shared" si="41"/>
        <v>43453.174611486917</v>
      </c>
      <c r="H70" s="73">
        <f t="shared" ref="H70:R70" si="42">SUM(H67:H69)</f>
        <v>44233.653397105198</v>
      </c>
      <c r="I70" s="73">
        <f t="shared" si="42"/>
        <v>42140.918237831007</v>
      </c>
      <c r="J70" s="73">
        <f t="shared" si="42"/>
        <v>44066.132063771875</v>
      </c>
      <c r="K70" s="73">
        <f t="shared" si="42"/>
        <v>41201.563739175093</v>
      </c>
      <c r="L70" s="73">
        <f t="shared" si="42"/>
        <v>43541.947813771876</v>
      </c>
      <c r="M70" s="73">
        <f t="shared" si="42"/>
        <v>43887.039072508436</v>
      </c>
      <c r="N70" s="73">
        <f t="shared" si="42"/>
        <v>45232.112676675104</v>
      </c>
      <c r="O70" s="73">
        <f t="shared" si="42"/>
        <v>44737.296334605213</v>
      </c>
      <c r="P70" s="73">
        <f t="shared" si="42"/>
        <v>45408.349219685857</v>
      </c>
      <c r="Q70" s="73">
        <f t="shared" si="42"/>
        <v>48168.575417938555</v>
      </c>
      <c r="R70" s="73">
        <f t="shared" si="42"/>
        <v>48842.742886352527</v>
      </c>
    </row>
    <row r="71" spans="1:18" outlineLevel="1">
      <c r="A71" s="8" t="s">
        <v>7</v>
      </c>
      <c r="B71" s="8"/>
      <c r="C71" s="74"/>
      <c r="D71" s="74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</row>
    <row r="72" spans="1:18" outlineLevel="1">
      <c r="A72" s="6" t="s">
        <v>8</v>
      </c>
      <c r="C72" s="58">
        <v>63172.24</v>
      </c>
      <c r="D72" s="58">
        <v>62323.28</v>
      </c>
      <c r="E72" s="58">
        <v>61474.32</v>
      </c>
      <c r="F72" s="58">
        <v>60625.36</v>
      </c>
      <c r="G72" s="70">
        <f>G128</f>
        <v>59776.4</v>
      </c>
      <c r="H72" s="70">
        <f t="shared" ref="H72:R72" si="43">H128</f>
        <v>63527.44</v>
      </c>
      <c r="I72" s="70">
        <f t="shared" si="43"/>
        <v>62640.146666666667</v>
      </c>
      <c r="J72" s="70">
        <f t="shared" si="43"/>
        <v>61752.853333333333</v>
      </c>
      <c r="K72" s="70">
        <f t="shared" si="43"/>
        <v>65465.56</v>
      </c>
      <c r="L72" s="70">
        <f t="shared" si="43"/>
        <v>64539.933333333334</v>
      </c>
      <c r="M72" s="70">
        <f t="shared" si="43"/>
        <v>63614.306666666671</v>
      </c>
      <c r="N72" s="70">
        <f t="shared" si="43"/>
        <v>62688.680000000008</v>
      </c>
      <c r="O72" s="70">
        <f t="shared" si="43"/>
        <v>66363.053333333344</v>
      </c>
      <c r="P72" s="70">
        <f t="shared" si="43"/>
        <v>65399.093333333345</v>
      </c>
      <c r="Q72" s="70">
        <f t="shared" si="43"/>
        <v>64435.133333333346</v>
      </c>
      <c r="R72" s="70">
        <f t="shared" si="43"/>
        <v>63471.173333333347</v>
      </c>
    </row>
    <row r="73" spans="1:18" ht="17.25" outlineLevel="1" thickBot="1">
      <c r="A73" s="24" t="s">
        <v>27</v>
      </c>
      <c r="B73" s="24"/>
      <c r="C73" s="75">
        <f>C72+C70</f>
        <v>105897.80000000002</v>
      </c>
      <c r="D73" s="75">
        <f>D72+D70</f>
        <v>106500.85135708594</v>
      </c>
      <c r="E73" s="75">
        <f>E72+E70</f>
        <v>104940.44126266195</v>
      </c>
      <c r="F73" s="75">
        <f>F72+F70</f>
        <v>107497.93327210521</v>
      </c>
      <c r="G73" s="75">
        <f t="shared" ref="G73" si="44">G72+G70</f>
        <v>103229.57461148693</v>
      </c>
      <c r="H73" s="75">
        <f t="shared" ref="H73" si="45">H72+H70</f>
        <v>107761.0933971052</v>
      </c>
      <c r="I73" s="75">
        <f t="shared" ref="I73" si="46">I72+I70</f>
        <v>104781.06490449767</v>
      </c>
      <c r="J73" s="75">
        <f t="shared" ref="J73" si="47">J72+J70</f>
        <v>105818.98539710521</v>
      </c>
      <c r="K73" s="75">
        <f t="shared" ref="K73" si="48">K72+K70</f>
        <v>106667.12373917509</v>
      </c>
      <c r="L73" s="75">
        <f t="shared" ref="L73" si="49">L72+L70</f>
        <v>108081.88114710522</v>
      </c>
      <c r="M73" s="75">
        <f t="shared" ref="M73" si="50">M72+M70</f>
        <v>107501.3457391751</v>
      </c>
      <c r="N73" s="75">
        <f t="shared" ref="N73" si="51">N72+N70</f>
        <v>107920.7926766751</v>
      </c>
      <c r="O73" s="75">
        <f t="shared" ref="O73" si="52">O72+O70</f>
        <v>111100.34966793856</v>
      </c>
      <c r="P73" s="75">
        <f t="shared" ref="P73" si="53">P72+P70</f>
        <v>110807.44255301921</v>
      </c>
      <c r="Q73" s="75">
        <f t="shared" ref="Q73" si="54">Q72+Q70</f>
        <v>112603.7087512719</v>
      </c>
      <c r="R73" s="75">
        <f t="shared" ref="R73" si="55">R72+R70</f>
        <v>112313.91621968587</v>
      </c>
    </row>
    <row r="74" spans="1:18" outlineLevel="1">
      <c r="C74" s="31"/>
      <c r="D74" s="31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</row>
    <row r="75" spans="1:18" outlineLevel="1">
      <c r="A75" s="8" t="s">
        <v>10</v>
      </c>
      <c r="B75" s="8"/>
      <c r="C75" s="74"/>
      <c r="D75" s="74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</row>
    <row r="76" spans="1:18" outlineLevel="1">
      <c r="A76" s="8" t="s">
        <v>67</v>
      </c>
      <c r="B76" s="8"/>
      <c r="C76" s="74"/>
      <c r="D76" s="74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18" outlineLevel="1">
      <c r="A77" s="6" t="s">
        <v>17</v>
      </c>
      <c r="C77" s="58">
        <v>29506.800000000003</v>
      </c>
      <c r="D77" s="58">
        <v>30400.800000000003</v>
      </c>
      <c r="E77" s="58">
        <v>28753</v>
      </c>
      <c r="F77" s="58">
        <v>31250</v>
      </c>
      <c r="G77" s="70">
        <f>-G49/G8*G28</f>
        <v>27229.774193548383</v>
      </c>
      <c r="H77" s="70">
        <f t="shared" ref="H77:R77" si="56">-H49/H8*H28</f>
        <v>31654.612499999996</v>
      </c>
      <c r="I77" s="70">
        <f t="shared" si="56"/>
        <v>28591.262903225805</v>
      </c>
      <c r="J77" s="70">
        <f t="shared" si="56"/>
        <v>29544.305</v>
      </c>
      <c r="K77" s="70">
        <f t="shared" si="56"/>
        <v>29952.751612903223</v>
      </c>
      <c r="L77" s="70">
        <f t="shared" si="56"/>
        <v>30951.176666666666</v>
      </c>
      <c r="M77" s="70">
        <f t="shared" si="56"/>
        <v>29952.751612903223</v>
      </c>
      <c r="N77" s="70">
        <f t="shared" si="56"/>
        <v>29952.751612903223</v>
      </c>
      <c r="O77" s="70">
        <f t="shared" si="56"/>
        <v>32358.048333333332</v>
      </c>
      <c r="P77" s="70">
        <f t="shared" si="56"/>
        <v>31314.240322580637</v>
      </c>
      <c r="Q77" s="70">
        <f t="shared" si="56"/>
        <v>32358.048333333332</v>
      </c>
      <c r="R77" s="70">
        <f t="shared" si="56"/>
        <v>31314.240322580637</v>
      </c>
    </row>
    <row r="78" spans="1:18" outlineLevel="1">
      <c r="A78" s="6" t="s">
        <v>39</v>
      </c>
      <c r="C78" s="58">
        <v>29500</v>
      </c>
      <c r="D78" s="58">
        <v>29000</v>
      </c>
      <c r="E78" s="58">
        <v>28500</v>
      </c>
      <c r="F78" s="58">
        <v>28000</v>
      </c>
      <c r="G78" s="70">
        <f>G134</f>
        <v>27500</v>
      </c>
      <c r="H78" s="70">
        <f t="shared" ref="H78:R78" si="57">H134</f>
        <v>27000</v>
      </c>
      <c r="I78" s="70">
        <f t="shared" si="57"/>
        <v>26500</v>
      </c>
      <c r="J78" s="70">
        <f t="shared" si="57"/>
        <v>26000</v>
      </c>
      <c r="K78" s="70">
        <f t="shared" si="57"/>
        <v>25500</v>
      </c>
      <c r="L78" s="70">
        <f t="shared" si="57"/>
        <v>25000</v>
      </c>
      <c r="M78" s="70">
        <f t="shared" si="57"/>
        <v>24500</v>
      </c>
      <c r="N78" s="70">
        <f t="shared" si="57"/>
        <v>24000</v>
      </c>
      <c r="O78" s="70">
        <f t="shared" si="57"/>
        <v>23500</v>
      </c>
      <c r="P78" s="70">
        <f t="shared" si="57"/>
        <v>23000</v>
      </c>
      <c r="Q78" s="70">
        <f t="shared" si="57"/>
        <v>22500</v>
      </c>
      <c r="R78" s="70">
        <f t="shared" si="57"/>
        <v>22000</v>
      </c>
    </row>
    <row r="79" spans="1:18" ht="17.25" outlineLevel="1" thickBot="1">
      <c r="A79" s="24" t="s">
        <v>68</v>
      </c>
      <c r="B79" s="24"/>
      <c r="C79" s="75">
        <f>SUM(C77:C78)</f>
        <v>59006.8</v>
      </c>
      <c r="D79" s="75">
        <f t="shared" ref="D79:G79" si="58">SUM(D77:D78)</f>
        <v>59400.800000000003</v>
      </c>
      <c r="E79" s="75">
        <f t="shared" si="58"/>
        <v>57253</v>
      </c>
      <c r="F79" s="75">
        <f t="shared" si="58"/>
        <v>59250</v>
      </c>
      <c r="G79" s="75">
        <f t="shared" si="58"/>
        <v>54729.774193548379</v>
      </c>
      <c r="H79" s="75">
        <f t="shared" ref="H79:R79" si="59">SUM(H77:H78)</f>
        <v>58654.612499999996</v>
      </c>
      <c r="I79" s="75">
        <f t="shared" si="59"/>
        <v>55091.262903225805</v>
      </c>
      <c r="J79" s="75">
        <f t="shared" si="59"/>
        <v>55544.305</v>
      </c>
      <c r="K79" s="75">
        <f t="shared" si="59"/>
        <v>55452.751612903223</v>
      </c>
      <c r="L79" s="75">
        <f t="shared" si="59"/>
        <v>55951.176666666666</v>
      </c>
      <c r="M79" s="75">
        <f t="shared" si="59"/>
        <v>54452.751612903223</v>
      </c>
      <c r="N79" s="75">
        <f t="shared" si="59"/>
        <v>53952.751612903223</v>
      </c>
      <c r="O79" s="75">
        <f t="shared" si="59"/>
        <v>55858.048333333332</v>
      </c>
      <c r="P79" s="75">
        <f t="shared" si="59"/>
        <v>54314.240322580634</v>
      </c>
      <c r="Q79" s="75">
        <f t="shared" si="59"/>
        <v>54858.048333333332</v>
      </c>
      <c r="R79" s="75">
        <f t="shared" si="59"/>
        <v>53314.240322580634</v>
      </c>
    </row>
    <row r="80" spans="1:18" outlineLevel="1">
      <c r="C80" s="31"/>
      <c r="D80" s="31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1:18" outlineLevel="1">
      <c r="A81" s="8" t="s">
        <v>13</v>
      </c>
      <c r="B81" s="8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</row>
    <row r="82" spans="1:18" outlineLevel="1">
      <c r="A82" s="6" t="s">
        <v>76</v>
      </c>
      <c r="C82" s="58">
        <v>7025</v>
      </c>
      <c r="D82" s="58">
        <v>7025</v>
      </c>
      <c r="E82" s="58">
        <v>7025</v>
      </c>
      <c r="F82" s="58">
        <v>7025</v>
      </c>
      <c r="G82" s="70">
        <f>F82+G35</f>
        <v>7025</v>
      </c>
      <c r="H82" s="70">
        <f t="shared" ref="H82:R82" si="60">G82+H35</f>
        <v>7025</v>
      </c>
      <c r="I82" s="70">
        <f t="shared" si="60"/>
        <v>7025</v>
      </c>
      <c r="J82" s="70">
        <f t="shared" si="60"/>
        <v>7025</v>
      </c>
      <c r="K82" s="70">
        <f t="shared" si="60"/>
        <v>7025</v>
      </c>
      <c r="L82" s="70">
        <f t="shared" si="60"/>
        <v>7025</v>
      </c>
      <c r="M82" s="70">
        <f t="shared" si="60"/>
        <v>7025</v>
      </c>
      <c r="N82" s="70">
        <f t="shared" si="60"/>
        <v>7025</v>
      </c>
      <c r="O82" s="70">
        <f t="shared" si="60"/>
        <v>7025</v>
      </c>
      <c r="P82" s="70">
        <f t="shared" si="60"/>
        <v>7025</v>
      </c>
      <c r="Q82" s="70">
        <f t="shared" si="60"/>
        <v>7025</v>
      </c>
      <c r="R82" s="70">
        <f t="shared" si="60"/>
        <v>7025</v>
      </c>
    </row>
    <row r="83" spans="1:18" outlineLevel="1">
      <c r="A83" s="6" t="s">
        <v>14</v>
      </c>
      <c r="C83" s="58">
        <v>39866</v>
      </c>
      <c r="D83" s="58">
        <v>40075.051357085918</v>
      </c>
      <c r="E83" s="58">
        <v>40662.441262661931</v>
      </c>
      <c r="F83" s="58">
        <v>41222.933272105191</v>
      </c>
      <c r="G83" s="70">
        <f>F83+G58-G60</f>
        <v>41474.800417938524</v>
      </c>
      <c r="H83" s="70">
        <f t="shared" ref="H83:R83" si="61">G83+H58-H60</f>
        <v>42081.48089710519</v>
      </c>
      <c r="I83" s="70">
        <f t="shared" si="61"/>
        <v>42664.802001271855</v>
      </c>
      <c r="J83" s="70">
        <f t="shared" si="61"/>
        <v>43249.680397105192</v>
      </c>
      <c r="K83" s="70">
        <f t="shared" si="61"/>
        <v>44189.372126271861</v>
      </c>
      <c r="L83" s="70">
        <f t="shared" si="61"/>
        <v>45105.70448043853</v>
      </c>
      <c r="M83" s="70">
        <f t="shared" si="61"/>
        <v>46023.594126271862</v>
      </c>
      <c r="N83" s="70">
        <f t="shared" si="61"/>
        <v>46943.041063771867</v>
      </c>
      <c r="O83" s="70">
        <f t="shared" si="61"/>
        <v>48217.301334605203</v>
      </c>
      <c r="P83" s="70">
        <f t="shared" si="61"/>
        <v>49468.202230438539</v>
      </c>
      <c r="Q83" s="70">
        <f t="shared" si="61"/>
        <v>50720.660417938539</v>
      </c>
      <c r="R83" s="70">
        <f t="shared" si="61"/>
        <v>51974.675897105211</v>
      </c>
    </row>
    <row r="84" spans="1:18" outlineLevel="1">
      <c r="A84" s="36" t="s">
        <v>15</v>
      </c>
      <c r="B84" s="36"/>
      <c r="C84" s="77">
        <f>SUM(C81:C83)</f>
        <v>46891</v>
      </c>
      <c r="D84" s="77">
        <f>SUM(D81:D83)</f>
        <v>47100.051357085918</v>
      </c>
      <c r="E84" s="77">
        <f>SUM(E81:E83)</f>
        <v>47687.441262661931</v>
      </c>
      <c r="F84" s="77">
        <f t="shared" ref="F84:G84" si="62">SUM(F82:F83)</f>
        <v>48247.933272105191</v>
      </c>
      <c r="G84" s="77">
        <f t="shared" si="62"/>
        <v>48499.800417938524</v>
      </c>
      <c r="H84" s="77">
        <f t="shared" ref="H84:R84" si="63">SUM(H82:H83)</f>
        <v>49106.48089710519</v>
      </c>
      <c r="I84" s="77">
        <f t="shared" si="63"/>
        <v>49689.802001271855</v>
      </c>
      <c r="J84" s="77">
        <f t="shared" si="63"/>
        <v>50274.680397105192</v>
      </c>
      <c r="K84" s="77">
        <f t="shared" si="63"/>
        <v>51214.372126271861</v>
      </c>
      <c r="L84" s="77">
        <f t="shared" si="63"/>
        <v>52130.70448043853</v>
      </c>
      <c r="M84" s="77">
        <f t="shared" si="63"/>
        <v>53048.594126271862</v>
      </c>
      <c r="N84" s="77">
        <f t="shared" si="63"/>
        <v>53968.041063771867</v>
      </c>
      <c r="O84" s="77">
        <f t="shared" si="63"/>
        <v>55242.301334605203</v>
      </c>
      <c r="P84" s="77">
        <f t="shared" si="63"/>
        <v>56493.202230438539</v>
      </c>
      <c r="Q84" s="77">
        <f t="shared" si="63"/>
        <v>57745.660417938539</v>
      </c>
      <c r="R84" s="77">
        <f t="shared" si="63"/>
        <v>58999.675897105211</v>
      </c>
    </row>
    <row r="85" spans="1:18" ht="17.25" outlineLevel="1" thickBot="1">
      <c r="A85" s="24" t="s">
        <v>16</v>
      </c>
      <c r="B85" s="24"/>
      <c r="C85" s="75">
        <f>C84+C79</f>
        <v>105897.8</v>
      </c>
      <c r="D85" s="75">
        <f t="shared" ref="D85:F85" si="64">D84+D79</f>
        <v>106500.85135708592</v>
      </c>
      <c r="E85" s="75">
        <f t="shared" si="64"/>
        <v>104940.44126266193</v>
      </c>
      <c r="F85" s="75">
        <f t="shared" si="64"/>
        <v>107497.93327210519</v>
      </c>
      <c r="G85" s="75">
        <f t="shared" ref="G85" si="65">G84+G79</f>
        <v>103229.5746114869</v>
      </c>
      <c r="H85" s="75">
        <f t="shared" ref="H85:R85" si="66">H84+H79</f>
        <v>107761.09339710519</v>
      </c>
      <c r="I85" s="75">
        <f t="shared" si="66"/>
        <v>104781.06490449766</v>
      </c>
      <c r="J85" s="75">
        <f t="shared" si="66"/>
        <v>105818.98539710519</v>
      </c>
      <c r="K85" s="75">
        <f t="shared" si="66"/>
        <v>106667.12373917509</v>
      </c>
      <c r="L85" s="75">
        <f t="shared" si="66"/>
        <v>108081.88114710519</v>
      </c>
      <c r="M85" s="75">
        <f t="shared" si="66"/>
        <v>107501.34573917509</v>
      </c>
      <c r="N85" s="75">
        <f t="shared" si="66"/>
        <v>107920.79267667509</v>
      </c>
      <c r="O85" s="75">
        <f t="shared" si="66"/>
        <v>111100.34966793854</v>
      </c>
      <c r="P85" s="75">
        <f t="shared" si="66"/>
        <v>110807.44255301918</v>
      </c>
      <c r="Q85" s="75">
        <f t="shared" si="66"/>
        <v>112603.70875127187</v>
      </c>
      <c r="R85" s="75">
        <f t="shared" si="66"/>
        <v>112313.91621968584</v>
      </c>
    </row>
    <row r="86" spans="1:18" outlineLevel="1"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outlineLevel="1">
      <c r="A87" s="33" t="s">
        <v>66</v>
      </c>
      <c r="B87" s="33"/>
      <c r="C87" s="32">
        <f t="shared" ref="C87:R87" si="67">C85-C73</f>
        <v>0</v>
      </c>
      <c r="D87" s="32">
        <f t="shared" si="67"/>
        <v>0</v>
      </c>
      <c r="E87" s="32">
        <f t="shared" si="67"/>
        <v>0</v>
      </c>
      <c r="F87" s="32">
        <f t="shared" si="67"/>
        <v>0</v>
      </c>
      <c r="G87" s="32">
        <f t="shared" si="67"/>
        <v>0</v>
      </c>
      <c r="H87" s="32">
        <f t="shared" si="67"/>
        <v>0</v>
      </c>
      <c r="I87" s="32">
        <f t="shared" si="67"/>
        <v>0</v>
      </c>
      <c r="J87" s="32">
        <f t="shared" si="67"/>
        <v>0</v>
      </c>
      <c r="K87" s="32">
        <f t="shared" si="67"/>
        <v>0</v>
      </c>
      <c r="L87" s="32">
        <f t="shared" si="67"/>
        <v>0</v>
      </c>
      <c r="M87" s="32">
        <f t="shared" si="67"/>
        <v>0</v>
      </c>
      <c r="N87" s="32">
        <f t="shared" si="67"/>
        <v>0</v>
      </c>
      <c r="O87" s="32">
        <f t="shared" si="67"/>
        <v>0</v>
      </c>
      <c r="P87" s="32">
        <f t="shared" si="67"/>
        <v>0</v>
      </c>
      <c r="Q87" s="32">
        <f t="shared" si="67"/>
        <v>0</v>
      </c>
      <c r="R87" s="32">
        <f t="shared" si="67"/>
        <v>0</v>
      </c>
    </row>
    <row r="88" spans="1:18" outlineLevel="1">
      <c r="G88" s="19"/>
      <c r="H88" s="19"/>
      <c r="I88" s="19"/>
      <c r="J88" s="19"/>
      <c r="K88" s="19"/>
      <c r="L88" s="19"/>
      <c r="M88" s="19"/>
      <c r="N88" s="19"/>
      <c r="O88" s="40"/>
      <c r="P88" s="40"/>
      <c r="Q88" s="40"/>
      <c r="R88" s="40"/>
    </row>
    <row r="89" spans="1:18"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s="21" customFormat="1" ht="19.149999999999999" customHeight="1">
      <c r="A90" s="20" t="s">
        <v>60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outlineLevel="1"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s="29" customFormat="1" outlineLevel="1">
      <c r="A92" s="28" t="s">
        <v>81</v>
      </c>
      <c r="B92" s="28"/>
      <c r="C92" s="66"/>
      <c r="D92" s="66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</row>
    <row r="93" spans="1:18" s="29" customFormat="1" outlineLevel="1">
      <c r="A93" s="29" t="s">
        <v>18</v>
      </c>
      <c r="C93" s="100"/>
      <c r="D93" s="57">
        <f>+D58</f>
        <v>209.05135708592013</v>
      </c>
      <c r="E93" s="57">
        <f>+E58</f>
        <v>587.38990557601358</v>
      </c>
      <c r="F93" s="57">
        <f>+F58</f>
        <v>560.49200944326253</v>
      </c>
      <c r="G93" s="57">
        <f>G58</f>
        <v>251.86714583333412</v>
      </c>
      <c r="H93" s="57">
        <f t="shared" ref="H93:R93" si="68">H58</f>
        <v>606.68047916666717</v>
      </c>
      <c r="I93" s="57">
        <f t="shared" si="68"/>
        <v>583.32110416666706</v>
      </c>
      <c r="J93" s="57">
        <f t="shared" si="68"/>
        <v>584.87839583333368</v>
      </c>
      <c r="K93" s="57">
        <f t="shared" si="68"/>
        <v>939.69172916666912</v>
      </c>
      <c r="L93" s="57">
        <f t="shared" si="68"/>
        <v>916.33235416666935</v>
      </c>
      <c r="M93" s="57">
        <f t="shared" si="68"/>
        <v>917.88964583333598</v>
      </c>
      <c r="N93" s="57">
        <f t="shared" si="68"/>
        <v>919.4469375000026</v>
      </c>
      <c r="O93" s="57">
        <f t="shared" si="68"/>
        <v>1274.2602708333357</v>
      </c>
      <c r="P93" s="57">
        <f t="shared" si="68"/>
        <v>1250.9008958333357</v>
      </c>
      <c r="Q93" s="57">
        <f t="shared" si="68"/>
        <v>1252.4581875000022</v>
      </c>
      <c r="R93" s="57">
        <f t="shared" si="68"/>
        <v>1254.0154791666689</v>
      </c>
    </row>
    <row r="94" spans="1:18" s="29" customFormat="1" outlineLevel="1">
      <c r="A94" s="29" t="s">
        <v>19</v>
      </c>
      <c r="C94" s="100"/>
      <c r="D94" s="57">
        <f>+-D53</f>
        <v>848.96</v>
      </c>
      <c r="E94" s="57">
        <f>+-E53</f>
        <v>848.96</v>
      </c>
      <c r="F94" s="57">
        <f>+-F53</f>
        <v>848.96</v>
      </c>
      <c r="G94" s="57">
        <f>-G53</f>
        <v>848.96</v>
      </c>
      <c r="H94" s="57">
        <f t="shared" ref="H94:R94" si="69">-H53</f>
        <v>848.96</v>
      </c>
      <c r="I94" s="57">
        <f t="shared" si="69"/>
        <v>887.29333333333341</v>
      </c>
      <c r="J94" s="57">
        <f t="shared" si="69"/>
        <v>887.29333333333341</v>
      </c>
      <c r="K94" s="57">
        <f t="shared" si="69"/>
        <v>887.29333333333341</v>
      </c>
      <c r="L94" s="57">
        <f t="shared" si="69"/>
        <v>925.62666666666667</v>
      </c>
      <c r="M94" s="57">
        <f t="shared" si="69"/>
        <v>925.62666666666667</v>
      </c>
      <c r="N94" s="57">
        <f t="shared" si="69"/>
        <v>925.62666666666667</v>
      </c>
      <c r="O94" s="57">
        <f t="shared" si="69"/>
        <v>925.62666666666667</v>
      </c>
      <c r="P94" s="57">
        <f t="shared" si="69"/>
        <v>963.96</v>
      </c>
      <c r="Q94" s="57">
        <f t="shared" si="69"/>
        <v>963.96</v>
      </c>
      <c r="R94" s="57">
        <f t="shared" si="69"/>
        <v>963.96</v>
      </c>
    </row>
    <row r="95" spans="1:18" s="29" customFormat="1" outlineLevel="1">
      <c r="A95" s="29" t="s">
        <v>77</v>
      </c>
      <c r="C95" s="100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</row>
    <row r="96" spans="1:18" s="29" customFormat="1" outlineLevel="1">
      <c r="A96" s="29" t="s">
        <v>21</v>
      </c>
      <c r="C96" s="100"/>
      <c r="D96" s="57">
        <f t="shared" ref="D96:F97" si="70">-(D68-C68)</f>
        <v>-420</v>
      </c>
      <c r="E96" s="57">
        <f t="shared" si="70"/>
        <v>-1123.2000000000007</v>
      </c>
      <c r="F96" s="57">
        <f t="shared" si="70"/>
        <v>-3096</v>
      </c>
      <c r="G96" s="57">
        <f>-(G68-F68)</f>
        <v>1646.1720430107525</v>
      </c>
      <c r="H96" s="57">
        <f t="shared" ref="H96:R96" si="71">-(H68-G68)</f>
        <v>-1505.0470430107525</v>
      </c>
      <c r="I96" s="57">
        <f t="shared" si="71"/>
        <v>1041.9556451612898</v>
      </c>
      <c r="J96" s="57">
        <f t="shared" si="71"/>
        <v>-324.16397849462192</v>
      </c>
      <c r="K96" s="57">
        <f t="shared" si="71"/>
        <v>-138.92741935484082</v>
      </c>
      <c r="L96" s="57">
        <f t="shared" si="71"/>
        <v>-339.60035842293837</v>
      </c>
      <c r="M96" s="57">
        <f t="shared" si="71"/>
        <v>339.60035842293837</v>
      </c>
      <c r="N96" s="57">
        <f t="shared" si="71"/>
        <v>0</v>
      </c>
      <c r="O96" s="57">
        <f t="shared" si="71"/>
        <v>-818.12813620071574</v>
      </c>
      <c r="P96" s="57">
        <f t="shared" si="71"/>
        <v>355.03673835125483</v>
      </c>
      <c r="Q96" s="57">
        <f t="shared" si="71"/>
        <v>-355.03673835125483</v>
      </c>
      <c r="R96" s="57">
        <f t="shared" si="71"/>
        <v>355.03673835125483</v>
      </c>
    </row>
    <row r="97" spans="1:18" s="29" customFormat="1" outlineLevel="1">
      <c r="A97" s="29" t="s">
        <v>20</v>
      </c>
      <c r="C97" s="100"/>
      <c r="D97" s="57">
        <f t="shared" si="70"/>
        <v>-1374</v>
      </c>
      <c r="E97" s="57">
        <f t="shared" si="70"/>
        <v>1840.8000000000029</v>
      </c>
      <c r="F97" s="57">
        <f t="shared" si="70"/>
        <v>-1104</v>
      </c>
      <c r="G97" s="57">
        <f>-(G69-F69)</f>
        <v>2541.733870967746</v>
      </c>
      <c r="H97" s="57">
        <f t="shared" ref="H97:R97" si="72">-(H69-G69)</f>
        <v>-4582.8682459677402</v>
      </c>
      <c r="I97" s="57">
        <f t="shared" si="72"/>
        <v>3172.7549395161259</v>
      </c>
      <c r="J97" s="57">
        <f t="shared" si="72"/>
        <v>-987.07931451612967</v>
      </c>
      <c r="K97" s="57">
        <f t="shared" si="72"/>
        <v>-423.03399193548103</v>
      </c>
      <c r="L97" s="57">
        <f t="shared" si="72"/>
        <v>-1034.0830913978534</v>
      </c>
      <c r="M97" s="57">
        <f t="shared" si="72"/>
        <v>1034.0830913978534</v>
      </c>
      <c r="N97" s="57">
        <f t="shared" si="72"/>
        <v>0</v>
      </c>
      <c r="O97" s="57">
        <f t="shared" si="72"/>
        <v>-2491.2001747311879</v>
      </c>
      <c r="P97" s="57">
        <f t="shared" si="72"/>
        <v>1081.0868682795772</v>
      </c>
      <c r="Q97" s="57">
        <f t="shared" si="72"/>
        <v>-1081.0868682795772</v>
      </c>
      <c r="R97" s="57">
        <f t="shared" si="72"/>
        <v>1081.0868682795772</v>
      </c>
    </row>
    <row r="98" spans="1:18" s="29" customFormat="1" outlineLevel="1">
      <c r="A98" s="29" t="s">
        <v>22</v>
      </c>
      <c r="C98" s="100"/>
      <c r="D98" s="57">
        <f>D77-C77</f>
        <v>894</v>
      </c>
      <c r="E98" s="57">
        <f>E77-D77</f>
        <v>-1647.8000000000029</v>
      </c>
      <c r="F98" s="57">
        <f>F77-E77</f>
        <v>2497</v>
      </c>
      <c r="G98" s="57">
        <f>(G77-F77)</f>
        <v>-4020.2258064516172</v>
      </c>
      <c r="H98" s="57">
        <f t="shared" ref="H98:R98" si="73">(H77-G77)</f>
        <v>4424.8383064516129</v>
      </c>
      <c r="I98" s="57">
        <f t="shared" si="73"/>
        <v>-3063.349596774191</v>
      </c>
      <c r="J98" s="57">
        <f t="shared" si="73"/>
        <v>953.04209677419567</v>
      </c>
      <c r="K98" s="57">
        <f t="shared" si="73"/>
        <v>408.44661290322256</v>
      </c>
      <c r="L98" s="57">
        <f t="shared" si="73"/>
        <v>998.42505376344343</v>
      </c>
      <c r="M98" s="57">
        <f t="shared" si="73"/>
        <v>-998.42505376344343</v>
      </c>
      <c r="N98" s="57">
        <f t="shared" si="73"/>
        <v>0</v>
      </c>
      <c r="O98" s="57">
        <f t="shared" si="73"/>
        <v>2405.2967204301094</v>
      </c>
      <c r="P98" s="57">
        <f t="shared" si="73"/>
        <v>-1043.8080107526948</v>
      </c>
      <c r="Q98" s="57">
        <f t="shared" si="73"/>
        <v>1043.8080107526948</v>
      </c>
      <c r="R98" s="57">
        <f t="shared" si="73"/>
        <v>-1043.8080107526948</v>
      </c>
    </row>
    <row r="99" spans="1:18" s="29" customFormat="1" outlineLevel="1">
      <c r="A99" s="46" t="s">
        <v>82</v>
      </c>
      <c r="B99" s="46"/>
      <c r="C99" s="68"/>
      <c r="D99" s="68">
        <f t="shared" ref="D99:F99" si="74">SUM(D93:D98)</f>
        <v>158.01135708592028</v>
      </c>
      <c r="E99" s="68">
        <f t="shared" si="74"/>
        <v>506.14990557601277</v>
      </c>
      <c r="F99" s="68">
        <f t="shared" si="74"/>
        <v>-293.5479905567372</v>
      </c>
      <c r="G99" s="68">
        <f>SUM(G93:G98)</f>
        <v>1268.5072533602161</v>
      </c>
      <c r="H99" s="68">
        <f t="shared" ref="H99:R99" si="75">SUM(H93:H98)</f>
        <v>-207.43650336021255</v>
      </c>
      <c r="I99" s="68">
        <f t="shared" si="75"/>
        <v>2621.975425403225</v>
      </c>
      <c r="J99" s="68">
        <f t="shared" si="75"/>
        <v>1113.9705329301112</v>
      </c>
      <c r="K99" s="68">
        <f t="shared" si="75"/>
        <v>1673.4702641129034</v>
      </c>
      <c r="L99" s="68">
        <f t="shared" si="75"/>
        <v>1466.7006247759878</v>
      </c>
      <c r="M99" s="68">
        <f t="shared" si="75"/>
        <v>2218.774708557351</v>
      </c>
      <c r="N99" s="68">
        <f t="shared" si="75"/>
        <v>1845.0736041666692</v>
      </c>
      <c r="O99" s="68">
        <f t="shared" si="75"/>
        <v>1295.855346998208</v>
      </c>
      <c r="P99" s="68">
        <f t="shared" si="75"/>
        <v>2607.1764917114729</v>
      </c>
      <c r="Q99" s="68">
        <f t="shared" si="75"/>
        <v>1824.102591621865</v>
      </c>
      <c r="R99" s="68">
        <f t="shared" si="75"/>
        <v>2610.2910750448063</v>
      </c>
    </row>
    <row r="100" spans="1:18" s="29" customFormat="1" outlineLevel="1">
      <c r="A100" s="46"/>
      <c r="B100" s="46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</row>
    <row r="101" spans="1:18" s="29" customFormat="1" outlineLevel="1">
      <c r="A101" s="28" t="s">
        <v>24</v>
      </c>
      <c r="B101" s="28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</row>
    <row r="102" spans="1:18" s="29" customFormat="1" outlineLevel="1">
      <c r="A102" s="29" t="s">
        <v>78</v>
      </c>
      <c r="C102" s="100"/>
      <c r="D102" s="57">
        <f>-D120</f>
        <v>0</v>
      </c>
      <c r="E102" s="57">
        <f>-E120</f>
        <v>0</v>
      </c>
      <c r="F102" s="57">
        <f>-F120</f>
        <v>0</v>
      </c>
      <c r="G102" s="57">
        <f>-G120</f>
        <v>0</v>
      </c>
      <c r="H102" s="57">
        <f t="shared" ref="H102:R102" si="76">-H120</f>
        <v>-4600</v>
      </c>
      <c r="I102" s="57">
        <f t="shared" si="76"/>
        <v>0</v>
      </c>
      <c r="J102" s="57">
        <f t="shared" si="76"/>
        <v>0</v>
      </c>
      <c r="K102" s="57">
        <f t="shared" si="76"/>
        <v>-4600</v>
      </c>
      <c r="L102" s="57">
        <f t="shared" si="76"/>
        <v>0</v>
      </c>
      <c r="M102" s="57">
        <f t="shared" si="76"/>
        <v>0</v>
      </c>
      <c r="N102" s="57">
        <f t="shared" si="76"/>
        <v>0</v>
      </c>
      <c r="O102" s="57">
        <f t="shared" si="76"/>
        <v>-4600</v>
      </c>
      <c r="P102" s="57">
        <f t="shared" si="76"/>
        <v>0</v>
      </c>
      <c r="Q102" s="57">
        <f t="shared" si="76"/>
        <v>0</v>
      </c>
      <c r="R102" s="57">
        <f t="shared" si="76"/>
        <v>0</v>
      </c>
    </row>
    <row r="103" spans="1:18" s="29" customFormat="1" outlineLevel="1">
      <c r="A103" s="46" t="s">
        <v>79</v>
      </c>
      <c r="B103" s="46"/>
      <c r="C103" s="68"/>
      <c r="D103" s="68">
        <f t="shared" ref="D103:F103" si="77">D102</f>
        <v>0</v>
      </c>
      <c r="E103" s="68">
        <f t="shared" si="77"/>
        <v>0</v>
      </c>
      <c r="F103" s="68">
        <f t="shared" si="77"/>
        <v>0</v>
      </c>
      <c r="G103" s="68">
        <f>G102</f>
        <v>0</v>
      </c>
      <c r="H103" s="68">
        <f t="shared" ref="H103:R103" si="78">H102</f>
        <v>-4600</v>
      </c>
      <c r="I103" s="68">
        <f t="shared" si="78"/>
        <v>0</v>
      </c>
      <c r="J103" s="68">
        <f t="shared" si="78"/>
        <v>0</v>
      </c>
      <c r="K103" s="68">
        <f t="shared" si="78"/>
        <v>-4600</v>
      </c>
      <c r="L103" s="68">
        <f t="shared" si="78"/>
        <v>0</v>
      </c>
      <c r="M103" s="68">
        <f t="shared" si="78"/>
        <v>0</v>
      </c>
      <c r="N103" s="68">
        <f t="shared" si="78"/>
        <v>0</v>
      </c>
      <c r="O103" s="68">
        <f t="shared" si="78"/>
        <v>-4600</v>
      </c>
      <c r="P103" s="68">
        <f t="shared" si="78"/>
        <v>0</v>
      </c>
      <c r="Q103" s="68">
        <f t="shared" si="78"/>
        <v>0</v>
      </c>
      <c r="R103" s="68">
        <f t="shared" si="78"/>
        <v>0</v>
      </c>
    </row>
    <row r="104" spans="1:18" s="29" customFormat="1" outlineLevel="1">
      <c r="A104" s="46"/>
      <c r="B104" s="46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</row>
    <row r="105" spans="1:18" s="29" customFormat="1" outlineLevel="1">
      <c r="A105" s="28" t="s">
        <v>25</v>
      </c>
      <c r="B105" s="28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</row>
    <row r="106" spans="1:18" s="29" customFormat="1" outlineLevel="1">
      <c r="A106" s="29" t="s">
        <v>26</v>
      </c>
      <c r="C106" s="100"/>
      <c r="D106" s="57">
        <f>D82-C82</f>
        <v>0</v>
      </c>
      <c r="E106" s="57">
        <f>E82-D82</f>
        <v>0</v>
      </c>
      <c r="F106" s="57">
        <f>F82-E82</f>
        <v>0</v>
      </c>
      <c r="G106" s="57">
        <f>G82-F82</f>
        <v>0</v>
      </c>
      <c r="H106" s="57">
        <f t="shared" ref="H106:R106" si="79">H82-G82</f>
        <v>0</v>
      </c>
      <c r="I106" s="57">
        <f t="shared" si="79"/>
        <v>0</v>
      </c>
      <c r="J106" s="57">
        <f t="shared" si="79"/>
        <v>0</v>
      </c>
      <c r="K106" s="57">
        <f t="shared" si="79"/>
        <v>0</v>
      </c>
      <c r="L106" s="57">
        <f t="shared" si="79"/>
        <v>0</v>
      </c>
      <c r="M106" s="57">
        <f t="shared" si="79"/>
        <v>0</v>
      </c>
      <c r="N106" s="57">
        <f t="shared" si="79"/>
        <v>0</v>
      </c>
      <c r="O106" s="57">
        <f t="shared" si="79"/>
        <v>0</v>
      </c>
      <c r="P106" s="57">
        <f t="shared" si="79"/>
        <v>0</v>
      </c>
      <c r="Q106" s="57">
        <f t="shared" si="79"/>
        <v>0</v>
      </c>
      <c r="R106" s="57">
        <f t="shared" si="79"/>
        <v>0</v>
      </c>
    </row>
    <row r="107" spans="1:18" s="29" customFormat="1" outlineLevel="1">
      <c r="A107" s="29" t="s">
        <v>104</v>
      </c>
      <c r="C107" s="100"/>
      <c r="D107" s="57">
        <f>-D60</f>
        <v>0</v>
      </c>
      <c r="E107" s="57">
        <f>-E60</f>
        <v>0</v>
      </c>
      <c r="F107" s="57">
        <f>-F60</f>
        <v>0</v>
      </c>
      <c r="G107" s="57">
        <f>G60</f>
        <v>0</v>
      </c>
      <c r="H107" s="57">
        <f t="shared" ref="H107:R107" si="80">H60</f>
        <v>0</v>
      </c>
      <c r="I107" s="57">
        <f t="shared" si="80"/>
        <v>0</v>
      </c>
      <c r="J107" s="57">
        <f t="shared" si="80"/>
        <v>0</v>
      </c>
      <c r="K107" s="57">
        <f t="shared" si="80"/>
        <v>0</v>
      </c>
      <c r="L107" s="57">
        <f t="shared" si="80"/>
        <v>0</v>
      </c>
      <c r="M107" s="57">
        <f t="shared" si="80"/>
        <v>0</v>
      </c>
      <c r="N107" s="57">
        <f t="shared" si="80"/>
        <v>0</v>
      </c>
      <c r="O107" s="57">
        <f t="shared" si="80"/>
        <v>0</v>
      </c>
      <c r="P107" s="57">
        <f t="shared" si="80"/>
        <v>0</v>
      </c>
      <c r="Q107" s="57">
        <f t="shared" si="80"/>
        <v>0</v>
      </c>
      <c r="R107" s="57">
        <f t="shared" si="80"/>
        <v>0</v>
      </c>
    </row>
    <row r="108" spans="1:18" s="29" customFormat="1" outlineLevel="1">
      <c r="A108" s="29" t="s">
        <v>53</v>
      </c>
      <c r="C108" s="100"/>
      <c r="D108" s="57">
        <f t="shared" ref="D108:F108" si="81">D134-C134</f>
        <v>-500</v>
      </c>
      <c r="E108" s="57">
        <f t="shared" si="81"/>
        <v>-500</v>
      </c>
      <c r="F108" s="57">
        <f t="shared" si="81"/>
        <v>-500</v>
      </c>
      <c r="G108" s="57">
        <f>G78-F78</f>
        <v>-500</v>
      </c>
      <c r="H108" s="57">
        <f t="shared" ref="H108:R108" si="82">H78-G78</f>
        <v>-500</v>
      </c>
      <c r="I108" s="57">
        <f t="shared" si="82"/>
        <v>-500</v>
      </c>
      <c r="J108" s="57">
        <f t="shared" si="82"/>
        <v>-500</v>
      </c>
      <c r="K108" s="57">
        <f t="shared" si="82"/>
        <v>-500</v>
      </c>
      <c r="L108" s="57">
        <f t="shared" si="82"/>
        <v>-500</v>
      </c>
      <c r="M108" s="57">
        <f t="shared" si="82"/>
        <v>-500</v>
      </c>
      <c r="N108" s="57">
        <f t="shared" si="82"/>
        <v>-500</v>
      </c>
      <c r="O108" s="57">
        <f t="shared" si="82"/>
        <v>-500</v>
      </c>
      <c r="P108" s="57">
        <f t="shared" si="82"/>
        <v>-500</v>
      </c>
      <c r="Q108" s="57">
        <f t="shared" si="82"/>
        <v>-500</v>
      </c>
      <c r="R108" s="57">
        <f t="shared" si="82"/>
        <v>-500</v>
      </c>
    </row>
    <row r="109" spans="1:18" s="29" customFormat="1" outlineLevel="1">
      <c r="A109" s="46" t="s">
        <v>23</v>
      </c>
      <c r="B109" s="46"/>
      <c r="C109" s="68"/>
      <c r="D109" s="68">
        <f>SUM(D106:D108)</f>
        <v>-500</v>
      </c>
      <c r="E109" s="68">
        <f>SUM(E106:E108)</f>
        <v>-500</v>
      </c>
      <c r="F109" s="68">
        <f>SUM(F106:F108)</f>
        <v>-500</v>
      </c>
      <c r="G109" s="68">
        <f>SUM(G106:G108)</f>
        <v>-500</v>
      </c>
      <c r="H109" s="68">
        <f t="shared" ref="H109:R109" si="83">SUM(H106:H108)</f>
        <v>-500</v>
      </c>
      <c r="I109" s="68">
        <f t="shared" si="83"/>
        <v>-500</v>
      </c>
      <c r="J109" s="68">
        <f t="shared" si="83"/>
        <v>-500</v>
      </c>
      <c r="K109" s="68">
        <f t="shared" si="83"/>
        <v>-500</v>
      </c>
      <c r="L109" s="68">
        <f t="shared" si="83"/>
        <v>-500</v>
      </c>
      <c r="M109" s="68">
        <f t="shared" si="83"/>
        <v>-500</v>
      </c>
      <c r="N109" s="68">
        <f t="shared" si="83"/>
        <v>-500</v>
      </c>
      <c r="O109" s="68">
        <f t="shared" si="83"/>
        <v>-500</v>
      </c>
      <c r="P109" s="68">
        <f t="shared" si="83"/>
        <v>-500</v>
      </c>
      <c r="Q109" s="68">
        <f t="shared" si="83"/>
        <v>-500</v>
      </c>
      <c r="R109" s="68">
        <f t="shared" si="83"/>
        <v>-500</v>
      </c>
    </row>
    <row r="110" spans="1:18" s="29" customFormat="1" outlineLevel="1">
      <c r="A110" s="46"/>
      <c r="B110" s="46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</row>
    <row r="111" spans="1:18" s="29" customFormat="1" outlineLevel="1">
      <c r="A111" s="29" t="s">
        <v>80</v>
      </c>
      <c r="C111" s="100"/>
      <c r="D111" s="57">
        <f>D99+D103+D109</f>
        <v>-341.98864291407972</v>
      </c>
      <c r="E111" s="57">
        <f>E99+E103+E109</f>
        <v>6.1499055760127703</v>
      </c>
      <c r="F111" s="57">
        <f>F99+F103+F109</f>
        <v>-793.5479905567372</v>
      </c>
      <c r="G111" s="57">
        <f>G99+G103+G109</f>
        <v>768.50725336021605</v>
      </c>
      <c r="H111" s="57">
        <f t="shared" ref="H111:R111" si="84">H99+H103+H109</f>
        <v>-5307.4365033602126</v>
      </c>
      <c r="I111" s="57">
        <f t="shared" si="84"/>
        <v>2121.975425403225</v>
      </c>
      <c r="J111" s="57">
        <f t="shared" si="84"/>
        <v>613.97053293011118</v>
      </c>
      <c r="K111" s="57">
        <f t="shared" si="84"/>
        <v>-3426.5297358870966</v>
      </c>
      <c r="L111" s="57">
        <f t="shared" si="84"/>
        <v>966.70062477598776</v>
      </c>
      <c r="M111" s="57">
        <f t="shared" si="84"/>
        <v>1718.774708557351</v>
      </c>
      <c r="N111" s="57">
        <f t="shared" si="84"/>
        <v>1345.0736041666692</v>
      </c>
      <c r="O111" s="57">
        <f t="shared" si="84"/>
        <v>-3804.144653001792</v>
      </c>
      <c r="P111" s="57">
        <f t="shared" si="84"/>
        <v>2107.1764917114729</v>
      </c>
      <c r="Q111" s="57">
        <f t="shared" si="84"/>
        <v>1324.102591621865</v>
      </c>
      <c r="R111" s="57">
        <f t="shared" si="84"/>
        <v>2110.2910750448063</v>
      </c>
    </row>
    <row r="112" spans="1:18" s="29" customFormat="1" outlineLevel="1">
      <c r="A112" s="29" t="s">
        <v>106</v>
      </c>
      <c r="C112" s="100"/>
      <c r="D112" s="57">
        <f>+C67</f>
        <v>6349.96000000001</v>
      </c>
      <c r="E112" s="57">
        <f>+D67</f>
        <v>6007.9713570859303</v>
      </c>
      <c r="F112" s="57">
        <f>+E67</f>
        <v>6014.1212626619399</v>
      </c>
      <c r="G112" s="57">
        <f>F113</f>
        <v>5220.5732721052027</v>
      </c>
      <c r="H112" s="57">
        <f t="shared" ref="H112:R112" si="85">G113</f>
        <v>5989.0805254654188</v>
      </c>
      <c r="I112" s="57">
        <f t="shared" si="85"/>
        <v>681.6440221052062</v>
      </c>
      <c r="J112" s="57">
        <f t="shared" si="85"/>
        <v>2803.6194475084312</v>
      </c>
      <c r="K112" s="57">
        <f t="shared" si="85"/>
        <v>3417.5899804385426</v>
      </c>
      <c r="L112" s="57">
        <f t="shared" si="85"/>
        <v>-8.939755448554024</v>
      </c>
      <c r="M112" s="57">
        <f t="shared" si="85"/>
        <v>957.76086932743374</v>
      </c>
      <c r="N112" s="57">
        <f t="shared" si="85"/>
        <v>2676.5355778847847</v>
      </c>
      <c r="O112" s="57">
        <f t="shared" si="85"/>
        <v>4021.6091820514539</v>
      </c>
      <c r="P112" s="57">
        <f t="shared" si="85"/>
        <v>217.46452904966191</v>
      </c>
      <c r="Q112" s="57">
        <f t="shared" si="85"/>
        <v>2324.6410207611348</v>
      </c>
      <c r="R112" s="57">
        <f t="shared" si="85"/>
        <v>3648.7436123829998</v>
      </c>
    </row>
    <row r="113" spans="1:18" s="29" customFormat="1" outlineLevel="1">
      <c r="A113" s="47" t="s">
        <v>105</v>
      </c>
      <c r="B113" s="47"/>
      <c r="C113" s="68"/>
      <c r="D113" s="68">
        <f t="shared" ref="D113:F113" si="86">SUM(D111:D112)</f>
        <v>6007.9713570859303</v>
      </c>
      <c r="E113" s="68">
        <f t="shared" si="86"/>
        <v>6014.1212626619435</v>
      </c>
      <c r="F113" s="68">
        <f t="shared" si="86"/>
        <v>5220.5732721052027</v>
      </c>
      <c r="G113" s="68">
        <f>G112+G111</f>
        <v>5989.0805254654188</v>
      </c>
      <c r="H113" s="68">
        <f t="shared" ref="H113:R113" si="87">H112+H111</f>
        <v>681.6440221052062</v>
      </c>
      <c r="I113" s="68">
        <f t="shared" si="87"/>
        <v>2803.6194475084312</v>
      </c>
      <c r="J113" s="68">
        <f t="shared" si="87"/>
        <v>3417.5899804385426</v>
      </c>
      <c r="K113" s="68">
        <f t="shared" si="87"/>
        <v>-8.939755448554024</v>
      </c>
      <c r="L113" s="68">
        <f t="shared" si="87"/>
        <v>957.76086932743374</v>
      </c>
      <c r="M113" s="68">
        <f t="shared" si="87"/>
        <v>2676.5355778847847</v>
      </c>
      <c r="N113" s="68">
        <f t="shared" si="87"/>
        <v>4021.6091820514539</v>
      </c>
      <c r="O113" s="68">
        <f t="shared" si="87"/>
        <v>217.46452904966191</v>
      </c>
      <c r="P113" s="68">
        <f t="shared" si="87"/>
        <v>2324.6410207611348</v>
      </c>
      <c r="Q113" s="68">
        <f t="shared" si="87"/>
        <v>3648.7436123829998</v>
      </c>
      <c r="R113" s="68">
        <f t="shared" si="87"/>
        <v>5759.0346874278057</v>
      </c>
    </row>
    <row r="114" spans="1:18" s="29" customFormat="1" outlineLevel="1">
      <c r="A114" s="46"/>
      <c r="B114" s="46"/>
      <c r="C114" s="46"/>
      <c r="E114" s="30"/>
    </row>
    <row r="115" spans="1:18"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s="21" customFormat="1" ht="19.149999999999999" customHeight="1">
      <c r="A116" s="20" t="s">
        <v>59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outlineLevel="1"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s="7" customFormat="1" outlineLevel="1">
      <c r="A118" s="14" t="s">
        <v>70</v>
      </c>
      <c r="B118" s="14"/>
      <c r="C118" s="25"/>
      <c r="D118" s="25"/>
      <c r="E118" s="25"/>
      <c r="F118" s="25"/>
      <c r="G118" s="25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1:18" s="7" customFormat="1" outlineLevel="1">
      <c r="A119" s="11" t="s">
        <v>49</v>
      </c>
      <c r="B119" s="11"/>
      <c r="C119" s="58">
        <v>101875.2</v>
      </c>
      <c r="D119" s="59">
        <v>101875.2</v>
      </c>
      <c r="E119" s="59">
        <v>101875.2</v>
      </c>
      <c r="F119" s="59">
        <v>101875.2</v>
      </c>
      <c r="G119" s="60">
        <f>F121</f>
        <v>101875.2</v>
      </c>
      <c r="H119" s="60">
        <f t="shared" ref="H119:R119" si="88">G121</f>
        <v>101875.2</v>
      </c>
      <c r="I119" s="60">
        <f t="shared" si="88"/>
        <v>106475.2</v>
      </c>
      <c r="J119" s="60">
        <f t="shared" si="88"/>
        <v>106475.2</v>
      </c>
      <c r="K119" s="60">
        <f t="shared" si="88"/>
        <v>106475.2</v>
      </c>
      <c r="L119" s="60">
        <f t="shared" si="88"/>
        <v>111075.2</v>
      </c>
      <c r="M119" s="60">
        <f t="shared" si="88"/>
        <v>111075.2</v>
      </c>
      <c r="N119" s="60">
        <f t="shared" si="88"/>
        <v>111075.2</v>
      </c>
      <c r="O119" s="60">
        <f t="shared" si="88"/>
        <v>111075.2</v>
      </c>
      <c r="P119" s="60">
        <f t="shared" si="88"/>
        <v>115675.2</v>
      </c>
      <c r="Q119" s="60">
        <f t="shared" si="88"/>
        <v>115675.2</v>
      </c>
      <c r="R119" s="60">
        <f t="shared" si="88"/>
        <v>115675.2</v>
      </c>
    </row>
    <row r="120" spans="1:18" s="7" customFormat="1" outlineLevel="1">
      <c r="A120" s="11" t="s">
        <v>48</v>
      </c>
      <c r="B120" s="11"/>
      <c r="C120" s="59">
        <v>0</v>
      </c>
      <c r="D120" s="59">
        <v>0</v>
      </c>
      <c r="E120" s="59">
        <v>0</v>
      </c>
      <c r="F120" s="59">
        <v>0</v>
      </c>
      <c r="G120" s="61">
        <f>IF(G13&gt;0,G13*G14*G32/1000,0)</f>
        <v>0</v>
      </c>
      <c r="H120" s="61">
        <f t="shared" ref="H120:R120" si="89">IF(H13&gt;0,H13*H14*H32/1000,0)</f>
        <v>4600</v>
      </c>
      <c r="I120" s="61">
        <f t="shared" si="89"/>
        <v>0</v>
      </c>
      <c r="J120" s="61">
        <f t="shared" si="89"/>
        <v>0</v>
      </c>
      <c r="K120" s="61">
        <f t="shared" si="89"/>
        <v>4600</v>
      </c>
      <c r="L120" s="61">
        <f t="shared" si="89"/>
        <v>0</v>
      </c>
      <c r="M120" s="61">
        <f t="shared" si="89"/>
        <v>0</v>
      </c>
      <c r="N120" s="61">
        <f t="shared" si="89"/>
        <v>0</v>
      </c>
      <c r="O120" s="61">
        <f t="shared" si="89"/>
        <v>4600</v>
      </c>
      <c r="P120" s="61">
        <f t="shared" si="89"/>
        <v>0</v>
      </c>
      <c r="Q120" s="61">
        <f t="shared" si="89"/>
        <v>0</v>
      </c>
      <c r="R120" s="61">
        <f t="shared" si="89"/>
        <v>0</v>
      </c>
    </row>
    <row r="121" spans="1:18" s="7" customFormat="1" outlineLevel="1">
      <c r="A121" s="45" t="s">
        <v>50</v>
      </c>
      <c r="B121" s="45"/>
      <c r="C121" s="62">
        <f t="shared" ref="C121:F121" si="90">SUM(C119:C120)</f>
        <v>101875.2</v>
      </c>
      <c r="D121" s="62">
        <f t="shared" si="90"/>
        <v>101875.2</v>
      </c>
      <c r="E121" s="62">
        <f t="shared" si="90"/>
        <v>101875.2</v>
      </c>
      <c r="F121" s="62">
        <f t="shared" si="90"/>
        <v>101875.2</v>
      </c>
      <c r="G121" s="62">
        <f>G119+G120</f>
        <v>101875.2</v>
      </c>
      <c r="H121" s="62">
        <f t="shared" ref="H121:R121" si="91">H119+H120</f>
        <v>106475.2</v>
      </c>
      <c r="I121" s="62">
        <f t="shared" si="91"/>
        <v>106475.2</v>
      </c>
      <c r="J121" s="62">
        <f t="shared" si="91"/>
        <v>106475.2</v>
      </c>
      <c r="K121" s="62">
        <f t="shared" si="91"/>
        <v>111075.2</v>
      </c>
      <c r="L121" s="62">
        <f t="shared" si="91"/>
        <v>111075.2</v>
      </c>
      <c r="M121" s="62">
        <f t="shared" si="91"/>
        <v>111075.2</v>
      </c>
      <c r="N121" s="62">
        <f t="shared" si="91"/>
        <v>111075.2</v>
      </c>
      <c r="O121" s="62">
        <f t="shared" si="91"/>
        <v>115675.2</v>
      </c>
      <c r="P121" s="62">
        <f t="shared" si="91"/>
        <v>115675.2</v>
      </c>
      <c r="Q121" s="62">
        <f t="shared" si="91"/>
        <v>115675.2</v>
      </c>
      <c r="R121" s="62">
        <f t="shared" si="91"/>
        <v>115675.2</v>
      </c>
    </row>
    <row r="122" spans="1:18" s="7" customFormat="1" outlineLevel="1">
      <c r="A122" s="11"/>
      <c r="B122" s="11"/>
      <c r="C122" s="61"/>
      <c r="D122" s="61"/>
      <c r="E122" s="61"/>
      <c r="F122" s="61"/>
      <c r="G122" s="61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</row>
    <row r="123" spans="1:18" s="7" customFormat="1" outlineLevel="1">
      <c r="A123" s="14" t="s">
        <v>9</v>
      </c>
      <c r="B123" s="14"/>
      <c r="C123" s="61"/>
      <c r="D123" s="61"/>
      <c r="E123" s="61"/>
      <c r="F123" s="61"/>
      <c r="G123" s="61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</row>
    <row r="124" spans="1:18" s="7" customFormat="1" outlineLevel="1">
      <c r="A124" s="11" t="s">
        <v>49</v>
      </c>
      <c r="B124" s="11"/>
      <c r="C124" s="58">
        <v>37854</v>
      </c>
      <c r="D124" s="59">
        <v>38702.959999999999</v>
      </c>
      <c r="E124" s="59">
        <v>39551.919999999998</v>
      </c>
      <c r="F124" s="59">
        <v>40400.879999999997</v>
      </c>
      <c r="G124" s="61">
        <f>F126</f>
        <v>41249.839999999997</v>
      </c>
      <c r="H124" s="61">
        <f t="shared" ref="H124:R124" si="92">G126</f>
        <v>42098.799999999996</v>
      </c>
      <c r="I124" s="61">
        <f t="shared" si="92"/>
        <v>42947.759999999995</v>
      </c>
      <c r="J124" s="61">
        <f t="shared" si="92"/>
        <v>43835.05333333333</v>
      </c>
      <c r="K124" s="61">
        <f t="shared" si="92"/>
        <v>44722.346666666665</v>
      </c>
      <c r="L124" s="61">
        <f t="shared" si="92"/>
        <v>45609.64</v>
      </c>
      <c r="M124" s="61">
        <f t="shared" si="92"/>
        <v>46535.266666666663</v>
      </c>
      <c r="N124" s="61">
        <f t="shared" si="92"/>
        <v>47460.893333333326</v>
      </c>
      <c r="O124" s="61">
        <f t="shared" si="92"/>
        <v>48386.51999999999</v>
      </c>
      <c r="P124" s="61">
        <f t="shared" si="92"/>
        <v>49312.146666666653</v>
      </c>
      <c r="Q124" s="61">
        <f t="shared" si="92"/>
        <v>50276.106666666652</v>
      </c>
      <c r="R124" s="61">
        <f t="shared" si="92"/>
        <v>51240.066666666651</v>
      </c>
    </row>
    <row r="125" spans="1:18" s="7" customFormat="1" outlineLevel="1">
      <c r="A125" s="11" t="s">
        <v>51</v>
      </c>
      <c r="B125" s="11"/>
      <c r="C125" s="59">
        <v>848.96</v>
      </c>
      <c r="D125" s="59">
        <v>848.96</v>
      </c>
      <c r="E125" s="59">
        <v>848.96</v>
      </c>
      <c r="F125" s="59">
        <v>848.96</v>
      </c>
      <c r="G125" s="61">
        <f>G119*G31/G9</f>
        <v>848.96</v>
      </c>
      <c r="H125" s="61">
        <f t="shared" ref="H125:R125" si="93">H119*H31/H9</f>
        <v>848.96</v>
      </c>
      <c r="I125" s="61">
        <f t="shared" si="93"/>
        <v>887.29333333333341</v>
      </c>
      <c r="J125" s="61">
        <f t="shared" si="93"/>
        <v>887.29333333333341</v>
      </c>
      <c r="K125" s="61">
        <f t="shared" si="93"/>
        <v>887.29333333333341</v>
      </c>
      <c r="L125" s="61">
        <f t="shared" si="93"/>
        <v>925.62666666666667</v>
      </c>
      <c r="M125" s="61">
        <f t="shared" si="93"/>
        <v>925.62666666666667</v>
      </c>
      <c r="N125" s="61">
        <f t="shared" si="93"/>
        <v>925.62666666666667</v>
      </c>
      <c r="O125" s="61">
        <f t="shared" si="93"/>
        <v>925.62666666666667</v>
      </c>
      <c r="P125" s="61">
        <f t="shared" si="93"/>
        <v>963.96</v>
      </c>
      <c r="Q125" s="61">
        <f t="shared" si="93"/>
        <v>963.96</v>
      </c>
      <c r="R125" s="61">
        <f t="shared" si="93"/>
        <v>963.96</v>
      </c>
    </row>
    <row r="126" spans="1:18" s="7" customFormat="1" outlineLevel="1">
      <c r="A126" s="45" t="s">
        <v>50</v>
      </c>
      <c r="B126" s="45"/>
      <c r="C126" s="62">
        <f t="shared" ref="C126:F126" si="94">SUM(C124:C125)</f>
        <v>38702.959999999999</v>
      </c>
      <c r="D126" s="62">
        <f t="shared" si="94"/>
        <v>39551.919999999998</v>
      </c>
      <c r="E126" s="62">
        <f t="shared" si="94"/>
        <v>40400.879999999997</v>
      </c>
      <c r="F126" s="62">
        <f t="shared" si="94"/>
        <v>41249.839999999997</v>
      </c>
      <c r="G126" s="62">
        <f>G124+G125</f>
        <v>42098.799999999996</v>
      </c>
      <c r="H126" s="62">
        <f t="shared" ref="H126:R126" si="95">H124+H125</f>
        <v>42947.759999999995</v>
      </c>
      <c r="I126" s="62">
        <f t="shared" si="95"/>
        <v>43835.05333333333</v>
      </c>
      <c r="J126" s="62">
        <f t="shared" si="95"/>
        <v>44722.346666666665</v>
      </c>
      <c r="K126" s="62">
        <f t="shared" si="95"/>
        <v>45609.64</v>
      </c>
      <c r="L126" s="62">
        <f t="shared" si="95"/>
        <v>46535.266666666663</v>
      </c>
      <c r="M126" s="62">
        <f t="shared" si="95"/>
        <v>47460.893333333326</v>
      </c>
      <c r="N126" s="62">
        <f t="shared" si="95"/>
        <v>48386.51999999999</v>
      </c>
      <c r="O126" s="62">
        <f t="shared" si="95"/>
        <v>49312.146666666653</v>
      </c>
      <c r="P126" s="62">
        <f t="shared" si="95"/>
        <v>50276.106666666652</v>
      </c>
      <c r="Q126" s="62">
        <f t="shared" si="95"/>
        <v>51240.066666666651</v>
      </c>
      <c r="R126" s="62">
        <f t="shared" si="95"/>
        <v>52204.02666666665</v>
      </c>
    </row>
    <row r="127" spans="1:18" s="7" customFormat="1" outlineLevel="1">
      <c r="A127" s="11"/>
      <c r="B127" s="1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</row>
    <row r="128" spans="1:18" s="7" customFormat="1" ht="17.25" outlineLevel="1" thickBot="1">
      <c r="A128" s="44" t="s">
        <v>71</v>
      </c>
      <c r="B128" s="27"/>
      <c r="C128" s="63">
        <f t="shared" ref="C128:F128" si="96">+C121-C126</f>
        <v>63172.24</v>
      </c>
      <c r="D128" s="63">
        <f t="shared" si="96"/>
        <v>62323.28</v>
      </c>
      <c r="E128" s="63">
        <f t="shared" si="96"/>
        <v>61474.32</v>
      </c>
      <c r="F128" s="63">
        <f t="shared" si="96"/>
        <v>60625.36</v>
      </c>
      <c r="G128" s="63">
        <f>G121-G126</f>
        <v>59776.4</v>
      </c>
      <c r="H128" s="63">
        <f t="shared" ref="H128:R128" si="97">H121-H126</f>
        <v>63527.44</v>
      </c>
      <c r="I128" s="63">
        <f t="shared" si="97"/>
        <v>62640.146666666667</v>
      </c>
      <c r="J128" s="63">
        <f t="shared" si="97"/>
        <v>61752.853333333333</v>
      </c>
      <c r="K128" s="63">
        <f t="shared" si="97"/>
        <v>65465.56</v>
      </c>
      <c r="L128" s="63">
        <f t="shared" si="97"/>
        <v>64539.933333333334</v>
      </c>
      <c r="M128" s="63">
        <f t="shared" si="97"/>
        <v>63614.306666666671</v>
      </c>
      <c r="N128" s="63">
        <f t="shared" si="97"/>
        <v>62688.680000000008</v>
      </c>
      <c r="O128" s="63">
        <f t="shared" si="97"/>
        <v>66363.053333333344</v>
      </c>
      <c r="P128" s="63">
        <f t="shared" si="97"/>
        <v>65399.093333333345</v>
      </c>
      <c r="Q128" s="63">
        <f t="shared" si="97"/>
        <v>64435.133333333346</v>
      </c>
      <c r="R128" s="63">
        <f t="shared" si="97"/>
        <v>63471.173333333347</v>
      </c>
    </row>
    <row r="129" spans="1:18" s="7" customFormat="1" ht="17.25" outlineLevel="1" thickTop="1">
      <c r="A129" s="11"/>
      <c r="B129" s="11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</row>
    <row r="130" spans="1:18" s="7" customFormat="1" outlineLevel="1">
      <c r="A130" s="95" t="s">
        <v>72</v>
      </c>
      <c r="B130" s="95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</row>
    <row r="131" spans="1:18" s="7" customFormat="1" outlineLevel="1">
      <c r="A131" s="26" t="s">
        <v>36</v>
      </c>
      <c r="B131" s="13"/>
      <c r="C131" s="65">
        <v>30000</v>
      </c>
      <c r="D131" s="65">
        <v>29500</v>
      </c>
      <c r="E131" s="65">
        <v>29000</v>
      </c>
      <c r="F131" s="65">
        <v>28500</v>
      </c>
      <c r="G131" s="60">
        <f>F134</f>
        <v>28000</v>
      </c>
      <c r="H131" s="60">
        <f t="shared" ref="H131:R131" si="98">G134</f>
        <v>27500</v>
      </c>
      <c r="I131" s="60">
        <f t="shared" si="98"/>
        <v>27000</v>
      </c>
      <c r="J131" s="60">
        <f t="shared" si="98"/>
        <v>26500</v>
      </c>
      <c r="K131" s="60">
        <f t="shared" si="98"/>
        <v>26000</v>
      </c>
      <c r="L131" s="60">
        <f t="shared" si="98"/>
        <v>25500</v>
      </c>
      <c r="M131" s="60">
        <f t="shared" si="98"/>
        <v>25000</v>
      </c>
      <c r="N131" s="60">
        <f t="shared" si="98"/>
        <v>24500</v>
      </c>
      <c r="O131" s="60">
        <f t="shared" si="98"/>
        <v>24000</v>
      </c>
      <c r="P131" s="60">
        <f t="shared" si="98"/>
        <v>23500</v>
      </c>
      <c r="Q131" s="60">
        <f t="shared" si="98"/>
        <v>23000</v>
      </c>
      <c r="R131" s="60">
        <f t="shared" si="98"/>
        <v>22500</v>
      </c>
    </row>
    <row r="132" spans="1:18" s="7" customFormat="1" outlineLevel="1">
      <c r="A132" s="26" t="s">
        <v>111</v>
      </c>
      <c r="B132" s="13"/>
      <c r="C132" s="65">
        <v>0</v>
      </c>
      <c r="D132" s="65">
        <v>0</v>
      </c>
      <c r="E132" s="65">
        <v>0</v>
      </c>
      <c r="F132" s="65">
        <v>0</v>
      </c>
      <c r="G132" s="60">
        <f>G38</f>
        <v>0</v>
      </c>
      <c r="H132" s="60">
        <f t="shared" ref="H132:R132" si="99">H38</f>
        <v>0</v>
      </c>
      <c r="I132" s="60">
        <f t="shared" si="99"/>
        <v>0</v>
      </c>
      <c r="J132" s="60">
        <f t="shared" si="99"/>
        <v>0</v>
      </c>
      <c r="K132" s="60">
        <f t="shared" si="99"/>
        <v>0</v>
      </c>
      <c r="L132" s="60">
        <f t="shared" si="99"/>
        <v>0</v>
      </c>
      <c r="M132" s="60">
        <f t="shared" si="99"/>
        <v>0</v>
      </c>
      <c r="N132" s="60">
        <f t="shared" si="99"/>
        <v>0</v>
      </c>
      <c r="O132" s="60">
        <f t="shared" si="99"/>
        <v>0</v>
      </c>
      <c r="P132" s="60">
        <f t="shared" si="99"/>
        <v>0</v>
      </c>
      <c r="Q132" s="60">
        <f t="shared" si="99"/>
        <v>0</v>
      </c>
      <c r="R132" s="60">
        <f t="shared" si="99"/>
        <v>0</v>
      </c>
    </row>
    <row r="133" spans="1:18" s="7" customFormat="1" outlineLevel="1">
      <c r="A133" s="26" t="s">
        <v>73</v>
      </c>
      <c r="B133" s="13"/>
      <c r="C133" s="65">
        <v>500</v>
      </c>
      <c r="D133" s="65">
        <v>500</v>
      </c>
      <c r="E133" s="65">
        <v>500</v>
      </c>
      <c r="F133" s="65">
        <v>500</v>
      </c>
      <c r="G133" s="60">
        <f>G39</f>
        <v>500</v>
      </c>
      <c r="H133" s="60">
        <f t="shared" ref="H133:R133" si="100">H39</f>
        <v>500</v>
      </c>
      <c r="I133" s="60">
        <f t="shared" si="100"/>
        <v>500</v>
      </c>
      <c r="J133" s="60">
        <f t="shared" si="100"/>
        <v>500</v>
      </c>
      <c r="K133" s="60">
        <f t="shared" si="100"/>
        <v>500</v>
      </c>
      <c r="L133" s="60">
        <f t="shared" si="100"/>
        <v>500</v>
      </c>
      <c r="M133" s="60">
        <f t="shared" si="100"/>
        <v>500</v>
      </c>
      <c r="N133" s="60">
        <f t="shared" si="100"/>
        <v>500</v>
      </c>
      <c r="O133" s="60">
        <f t="shared" si="100"/>
        <v>500</v>
      </c>
      <c r="P133" s="60">
        <f t="shared" si="100"/>
        <v>500</v>
      </c>
      <c r="Q133" s="60">
        <f t="shared" si="100"/>
        <v>500</v>
      </c>
      <c r="R133" s="60">
        <f t="shared" si="100"/>
        <v>500</v>
      </c>
    </row>
    <row r="134" spans="1:18" s="7" customFormat="1" outlineLevel="1">
      <c r="A134" s="97" t="s">
        <v>46</v>
      </c>
      <c r="B134" s="35"/>
      <c r="C134" s="62">
        <f>C131+C132-C133</f>
        <v>29500</v>
      </c>
      <c r="D134" s="62">
        <f t="shared" ref="D134:F134" si="101">D131+D132-D133</f>
        <v>29000</v>
      </c>
      <c r="E134" s="62">
        <f t="shared" si="101"/>
        <v>28500</v>
      </c>
      <c r="F134" s="62">
        <f t="shared" si="101"/>
        <v>28000</v>
      </c>
      <c r="G134" s="62">
        <f>G131+G132-G133</f>
        <v>27500</v>
      </c>
      <c r="H134" s="62">
        <f t="shared" ref="H134:R134" si="102">H131+H132-H133</f>
        <v>27000</v>
      </c>
      <c r="I134" s="62">
        <f t="shared" si="102"/>
        <v>26500</v>
      </c>
      <c r="J134" s="62">
        <f t="shared" si="102"/>
        <v>26000</v>
      </c>
      <c r="K134" s="62">
        <f t="shared" si="102"/>
        <v>25500</v>
      </c>
      <c r="L134" s="62">
        <f t="shared" si="102"/>
        <v>25000</v>
      </c>
      <c r="M134" s="62">
        <f t="shared" si="102"/>
        <v>24500</v>
      </c>
      <c r="N134" s="62">
        <f t="shared" si="102"/>
        <v>24000</v>
      </c>
      <c r="O134" s="62">
        <f t="shared" si="102"/>
        <v>23500</v>
      </c>
      <c r="P134" s="62">
        <f t="shared" si="102"/>
        <v>23000</v>
      </c>
      <c r="Q134" s="62">
        <f t="shared" si="102"/>
        <v>22500</v>
      </c>
      <c r="R134" s="62">
        <f t="shared" si="102"/>
        <v>22000</v>
      </c>
    </row>
    <row r="135" spans="1:18" s="7" customFormat="1" outlineLevel="1">
      <c r="A135" s="95"/>
      <c r="B135" s="13"/>
      <c r="C135" s="8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</row>
    <row r="136" spans="1:18" s="7" customFormat="1" outlineLevel="1">
      <c r="A136" s="26" t="s">
        <v>74</v>
      </c>
      <c r="B136" s="26"/>
      <c r="C136" s="65">
        <v>143.75</v>
      </c>
      <c r="D136" s="65">
        <v>141.35416666666666</v>
      </c>
      <c r="E136" s="65">
        <v>138.95833333333334</v>
      </c>
      <c r="F136" s="65">
        <v>136.5625</v>
      </c>
      <c r="G136" s="60">
        <f>AVERAGE(G131,G134)*G40/G9</f>
        <v>132.96875</v>
      </c>
      <c r="H136" s="60">
        <f t="shared" ref="H136:R136" si="103">AVERAGE(H131,H134)*H40/H9</f>
        <v>130.57291666666666</v>
      </c>
      <c r="I136" s="60">
        <f t="shared" si="103"/>
        <v>128.17708333333334</v>
      </c>
      <c r="J136" s="60">
        <f t="shared" si="103"/>
        <v>125.78125</v>
      </c>
      <c r="K136" s="60">
        <f t="shared" si="103"/>
        <v>123.38541666666667</v>
      </c>
      <c r="L136" s="60">
        <f t="shared" si="103"/>
        <v>120.98958333333333</v>
      </c>
      <c r="M136" s="60">
        <f t="shared" si="103"/>
        <v>118.59375</v>
      </c>
      <c r="N136" s="60">
        <f t="shared" si="103"/>
        <v>116.19791666666667</v>
      </c>
      <c r="O136" s="60">
        <f t="shared" si="103"/>
        <v>113.80208333333333</v>
      </c>
      <c r="P136" s="60">
        <f t="shared" si="103"/>
        <v>111.40625</v>
      </c>
      <c r="Q136" s="60">
        <f t="shared" si="103"/>
        <v>109.01041666666667</v>
      </c>
      <c r="R136" s="60">
        <f t="shared" si="103"/>
        <v>106.61458333333333</v>
      </c>
    </row>
    <row r="137" spans="1:18" s="7" customFormat="1" outlineLevel="1">
      <c r="A137" s="26"/>
      <c r="B137" s="26"/>
      <c r="C137" s="65"/>
      <c r="D137" s="65"/>
      <c r="E137" s="65"/>
      <c r="F137" s="65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</row>
    <row r="138" spans="1:18" s="7" customFormat="1" outlineLevel="1">
      <c r="A138" s="97" t="s">
        <v>88</v>
      </c>
      <c r="B138" s="97"/>
      <c r="C138" s="62">
        <f>C136+C133</f>
        <v>643.75</v>
      </c>
      <c r="D138" s="62">
        <f t="shared" ref="D138:F138" si="104">D136+D133</f>
        <v>641.35416666666663</v>
      </c>
      <c r="E138" s="62">
        <f t="shared" si="104"/>
        <v>638.95833333333337</v>
      </c>
      <c r="F138" s="62">
        <f t="shared" si="104"/>
        <v>636.5625</v>
      </c>
      <c r="G138" s="62">
        <f>G133+G136</f>
        <v>632.96875</v>
      </c>
      <c r="H138" s="62">
        <f t="shared" ref="H138:R138" si="105">H133+H136</f>
        <v>630.57291666666663</v>
      </c>
      <c r="I138" s="62">
        <f t="shared" si="105"/>
        <v>628.17708333333337</v>
      </c>
      <c r="J138" s="62">
        <f t="shared" si="105"/>
        <v>625.78125</v>
      </c>
      <c r="K138" s="62">
        <f t="shared" si="105"/>
        <v>623.38541666666663</v>
      </c>
      <c r="L138" s="62">
        <f t="shared" si="105"/>
        <v>620.98958333333337</v>
      </c>
      <c r="M138" s="62">
        <f t="shared" si="105"/>
        <v>618.59375</v>
      </c>
      <c r="N138" s="62">
        <f t="shared" si="105"/>
        <v>616.19791666666663</v>
      </c>
      <c r="O138" s="62">
        <f t="shared" si="105"/>
        <v>613.80208333333337</v>
      </c>
      <c r="P138" s="62">
        <f t="shared" si="105"/>
        <v>611.40625</v>
      </c>
      <c r="Q138" s="62">
        <f t="shared" si="105"/>
        <v>609.01041666666663</v>
      </c>
      <c r="R138" s="62">
        <f t="shared" si="105"/>
        <v>606.61458333333337</v>
      </c>
    </row>
    <row r="139" spans="1:18" s="7" customFormat="1" outlineLevel="1">
      <c r="A139" s="11"/>
      <c r="B139" s="11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 s="7" customFormat="1" outlineLevel="1">
      <c r="A140" s="11" t="s">
        <v>75</v>
      </c>
      <c r="B140" s="11"/>
      <c r="C140" s="43">
        <f>C78/C84</f>
        <v>0.62911859418651772</v>
      </c>
      <c r="D140" s="43">
        <f>D78/D84</f>
        <v>0.61571058129296763</v>
      </c>
      <c r="E140" s="43">
        <f>E78/E84</f>
        <v>0.59764162734214021</v>
      </c>
      <c r="F140" s="43">
        <f>F78/F84</f>
        <v>0.58033573877843914</v>
      </c>
      <c r="G140" s="110">
        <f>IFERROR(G78/G84,"na")</f>
        <v>0.56701264258870288</v>
      </c>
      <c r="H140" s="110">
        <f t="shared" ref="H140:R140" si="106">IFERROR(H78/H84,"na")</f>
        <v>0.54982559341961812</v>
      </c>
      <c r="I140" s="110">
        <f t="shared" si="106"/>
        <v>0.53330862536585899</v>
      </c>
      <c r="J140" s="110">
        <f t="shared" si="106"/>
        <v>0.51715893158610859</v>
      </c>
      <c r="K140" s="110">
        <f t="shared" si="106"/>
        <v>0.49790710969038815</v>
      </c>
      <c r="L140" s="110">
        <f t="shared" si="106"/>
        <v>0.47956382422150029</v>
      </c>
      <c r="M140" s="110">
        <f t="shared" si="106"/>
        <v>0.46184070291632073</v>
      </c>
      <c r="N140" s="110">
        <f t="shared" si="106"/>
        <v>0.44470763672226243</v>
      </c>
      <c r="O140" s="110">
        <f t="shared" si="106"/>
        <v>0.42539864256667009</v>
      </c>
      <c r="P140" s="110">
        <f t="shared" si="106"/>
        <v>0.40712862949743711</v>
      </c>
      <c r="Q140" s="110">
        <f t="shared" si="106"/>
        <v>0.38963966880202888</v>
      </c>
      <c r="R140" s="110">
        <f t="shared" si="106"/>
        <v>0.37288340428119909</v>
      </c>
    </row>
    <row r="141" spans="1:18" s="7" customFormat="1" outlineLevel="1">
      <c r="A141" s="11" t="s">
        <v>85</v>
      </c>
      <c r="B141" s="11"/>
      <c r="C141" s="43">
        <f>C42</f>
        <v>0.75</v>
      </c>
      <c r="D141" s="43">
        <f>D42</f>
        <v>0.75</v>
      </c>
      <c r="E141" s="43">
        <f>E42</f>
        <v>0.75</v>
      </c>
      <c r="F141" s="43">
        <f>F42</f>
        <v>0.75</v>
      </c>
      <c r="G141" s="43">
        <f t="shared" ref="G141:R141" si="107">G42</f>
        <v>0.75</v>
      </c>
      <c r="H141" s="43">
        <f t="shared" si="107"/>
        <v>0.75</v>
      </c>
      <c r="I141" s="43">
        <f t="shared" si="107"/>
        <v>0.75</v>
      </c>
      <c r="J141" s="43">
        <f t="shared" si="107"/>
        <v>0.75</v>
      </c>
      <c r="K141" s="43">
        <f t="shared" si="107"/>
        <v>0.75</v>
      </c>
      <c r="L141" s="43">
        <f t="shared" si="107"/>
        <v>0.75</v>
      </c>
      <c r="M141" s="43">
        <f t="shared" si="107"/>
        <v>0.75</v>
      </c>
      <c r="N141" s="43">
        <f t="shared" si="107"/>
        <v>0.75</v>
      </c>
      <c r="O141" s="43">
        <f t="shared" si="107"/>
        <v>0.75</v>
      </c>
      <c r="P141" s="43">
        <f t="shared" si="107"/>
        <v>0.75</v>
      </c>
      <c r="Q141" s="43">
        <f t="shared" si="107"/>
        <v>0.75</v>
      </c>
      <c r="R141" s="43">
        <f t="shared" si="107"/>
        <v>0.75</v>
      </c>
    </row>
    <row r="142" spans="1:18" s="7" customFormat="1" outlineLevel="1">
      <c r="A142" s="11"/>
      <c r="B142" s="11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</row>
    <row r="143" spans="1:18" s="7" customFormat="1" outlineLevel="1">
      <c r="A143" s="11" t="s">
        <v>89</v>
      </c>
      <c r="B143" s="11"/>
      <c r="C143" s="43">
        <f>C52/C138</f>
        <v>3.2877669902912565</v>
      </c>
      <c r="D143" s="43">
        <f>D52/D138</f>
        <v>2.9944453467597856</v>
      </c>
      <c r="E143" s="43">
        <f>E52/E138</f>
        <v>3.5736289533746266</v>
      </c>
      <c r="F143" s="43">
        <f>F52/F138</f>
        <v>3.5163868433971519</v>
      </c>
      <c r="G143" s="43">
        <f t="shared" ref="G143:R143" si="108">G52/G138</f>
        <v>2.16348226775282</v>
      </c>
      <c r="H143" s="43">
        <f t="shared" si="108"/>
        <v>3.0335706616007281</v>
      </c>
      <c r="I143" s="43">
        <f t="shared" si="108"/>
        <v>3.0451405356106469</v>
      </c>
      <c r="J143" s="43">
        <f t="shared" si="108"/>
        <v>3.0567990012484407</v>
      </c>
      <c r="K143" s="43">
        <f t="shared" si="108"/>
        <v>3.9403525774918604</v>
      </c>
      <c r="L143" s="43">
        <f t="shared" si="108"/>
        <v>3.9555548100310385</v>
      </c>
      <c r="M143" s="43">
        <f t="shared" si="108"/>
        <v>3.9708748000336849</v>
      </c>
      <c r="N143" s="43">
        <f t="shared" si="108"/>
        <v>3.9863139210548626</v>
      </c>
      <c r="O143" s="43">
        <f t="shared" si="108"/>
        <v>4.8872906236741676</v>
      </c>
      <c r="P143" s="43">
        <f t="shared" si="108"/>
        <v>4.9064417752789904</v>
      </c>
      <c r="Q143" s="43">
        <f t="shared" si="108"/>
        <v>4.9257436072864165</v>
      </c>
      <c r="R143" s="43">
        <f t="shared" si="108"/>
        <v>4.9451979050399295</v>
      </c>
    </row>
    <row r="144" spans="1:18" s="7" customFormat="1" outlineLevel="1">
      <c r="A144" s="11" t="s">
        <v>90</v>
      </c>
      <c r="B144" s="11"/>
      <c r="C144" s="43">
        <f>C43</f>
        <v>3</v>
      </c>
      <c r="D144" s="43">
        <f>D43</f>
        <v>3</v>
      </c>
      <c r="E144" s="43">
        <f>E43</f>
        <v>3</v>
      </c>
      <c r="F144" s="43">
        <f>F43</f>
        <v>3</v>
      </c>
      <c r="G144" s="43">
        <f t="shared" ref="G144:R144" si="109">G43</f>
        <v>3</v>
      </c>
      <c r="H144" s="43">
        <f t="shared" si="109"/>
        <v>3</v>
      </c>
      <c r="I144" s="43">
        <f t="shared" si="109"/>
        <v>3</v>
      </c>
      <c r="J144" s="43">
        <f t="shared" si="109"/>
        <v>3</v>
      </c>
      <c r="K144" s="43">
        <f t="shared" si="109"/>
        <v>3</v>
      </c>
      <c r="L144" s="43">
        <f t="shared" si="109"/>
        <v>3</v>
      </c>
      <c r="M144" s="43">
        <f t="shared" si="109"/>
        <v>3</v>
      </c>
      <c r="N144" s="43">
        <f t="shared" si="109"/>
        <v>3</v>
      </c>
      <c r="O144" s="43">
        <f t="shared" si="109"/>
        <v>3</v>
      </c>
      <c r="P144" s="43">
        <f t="shared" si="109"/>
        <v>3</v>
      </c>
      <c r="Q144" s="43">
        <f t="shared" si="109"/>
        <v>3</v>
      </c>
      <c r="R144" s="43">
        <f t="shared" si="109"/>
        <v>3</v>
      </c>
    </row>
    <row r="145" spans="1:18" s="7" customFormat="1" outlineLevel="1">
      <c r="A145" s="11"/>
      <c r="B145" s="11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</row>
    <row r="146" spans="1:18" s="7" customFormat="1" ht="12.75"/>
    <row r="147" spans="1:18" s="21" customFormat="1" ht="19.149999999999999" customHeight="1">
      <c r="A147" s="20" t="s">
        <v>102</v>
      </c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outlineLevel="1"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</row>
    <row r="149" spans="1:18" outlineLevel="1">
      <c r="A149" s="8" t="s">
        <v>93</v>
      </c>
      <c r="C149" s="13"/>
      <c r="D149" s="13"/>
      <c r="E149" s="13"/>
      <c r="F149" s="13"/>
      <c r="G149" s="13"/>
      <c r="H149" s="13"/>
      <c r="I149" s="19"/>
      <c r="J149" s="19"/>
      <c r="K149" s="19"/>
      <c r="L149" s="19"/>
      <c r="M149" s="19"/>
      <c r="N149" s="19"/>
      <c r="O149" s="19"/>
      <c r="P149" s="19"/>
      <c r="Q149" s="19"/>
      <c r="R149" s="19"/>
    </row>
    <row r="150" spans="1:18" outlineLevel="1">
      <c r="A150" s="6" t="s">
        <v>97</v>
      </c>
      <c r="C150" s="57"/>
      <c r="D150" s="57">
        <f>D99</f>
        <v>158.01135708592028</v>
      </c>
      <c r="E150" s="57">
        <f t="shared" ref="E150:R150" si="110">E99</f>
        <v>506.14990557601277</v>
      </c>
      <c r="F150" s="57">
        <f t="shared" si="110"/>
        <v>-293.5479905567372</v>
      </c>
      <c r="G150" s="57">
        <f t="shared" si="110"/>
        <v>1268.5072533602161</v>
      </c>
      <c r="H150" s="57">
        <f t="shared" si="110"/>
        <v>-207.43650336021255</v>
      </c>
      <c r="I150" s="57">
        <f t="shared" si="110"/>
        <v>2621.975425403225</v>
      </c>
      <c r="J150" s="57">
        <f t="shared" si="110"/>
        <v>1113.9705329301112</v>
      </c>
      <c r="K150" s="57">
        <f t="shared" si="110"/>
        <v>1673.4702641129034</v>
      </c>
      <c r="L150" s="57">
        <f t="shared" si="110"/>
        <v>1466.7006247759878</v>
      </c>
      <c r="M150" s="57">
        <f t="shared" si="110"/>
        <v>2218.774708557351</v>
      </c>
      <c r="N150" s="57">
        <f t="shared" si="110"/>
        <v>1845.0736041666692</v>
      </c>
      <c r="O150" s="57">
        <f t="shared" si="110"/>
        <v>1295.855346998208</v>
      </c>
      <c r="P150" s="57">
        <f t="shared" si="110"/>
        <v>2607.1764917114729</v>
      </c>
      <c r="Q150" s="57">
        <f t="shared" si="110"/>
        <v>1824.102591621865</v>
      </c>
      <c r="R150" s="57">
        <f t="shared" si="110"/>
        <v>2610.2910750448063</v>
      </c>
    </row>
    <row r="151" spans="1:18" outlineLevel="1">
      <c r="A151" s="6" t="s">
        <v>98</v>
      </c>
      <c r="C151" s="57"/>
      <c r="D151" s="57">
        <f>D103</f>
        <v>0</v>
      </c>
      <c r="E151" s="57">
        <f t="shared" ref="E151:R151" si="111">E103</f>
        <v>0</v>
      </c>
      <c r="F151" s="57">
        <f t="shared" si="111"/>
        <v>0</v>
      </c>
      <c r="G151" s="57">
        <f t="shared" si="111"/>
        <v>0</v>
      </c>
      <c r="H151" s="57">
        <f t="shared" si="111"/>
        <v>-4600</v>
      </c>
      <c r="I151" s="57">
        <f t="shared" si="111"/>
        <v>0</v>
      </c>
      <c r="J151" s="57">
        <f t="shared" si="111"/>
        <v>0</v>
      </c>
      <c r="K151" s="57">
        <f t="shared" si="111"/>
        <v>-4600</v>
      </c>
      <c r="L151" s="57">
        <f t="shared" si="111"/>
        <v>0</v>
      </c>
      <c r="M151" s="57">
        <f t="shared" si="111"/>
        <v>0</v>
      </c>
      <c r="N151" s="57">
        <f t="shared" si="111"/>
        <v>0</v>
      </c>
      <c r="O151" s="57">
        <f t="shared" si="111"/>
        <v>-4600</v>
      </c>
      <c r="P151" s="57">
        <f t="shared" si="111"/>
        <v>0</v>
      </c>
      <c r="Q151" s="57">
        <f t="shared" si="111"/>
        <v>0</v>
      </c>
      <c r="R151" s="57">
        <f t="shared" si="111"/>
        <v>0</v>
      </c>
    </row>
    <row r="152" spans="1:18" outlineLevel="1">
      <c r="A152" s="6" t="s">
        <v>99</v>
      </c>
      <c r="C152" s="57"/>
      <c r="D152" s="57">
        <f>D109</f>
        <v>-500</v>
      </c>
      <c r="E152" s="57">
        <f t="shared" ref="E152:R152" si="112">E109</f>
        <v>-500</v>
      </c>
      <c r="F152" s="57">
        <f t="shared" si="112"/>
        <v>-500</v>
      </c>
      <c r="G152" s="57">
        <f t="shared" si="112"/>
        <v>-500</v>
      </c>
      <c r="H152" s="57">
        <f t="shared" si="112"/>
        <v>-500</v>
      </c>
      <c r="I152" s="57">
        <f t="shared" si="112"/>
        <v>-500</v>
      </c>
      <c r="J152" s="57">
        <f t="shared" si="112"/>
        <v>-500</v>
      </c>
      <c r="K152" s="57">
        <f t="shared" si="112"/>
        <v>-500</v>
      </c>
      <c r="L152" s="57">
        <f t="shared" si="112"/>
        <v>-500</v>
      </c>
      <c r="M152" s="57">
        <f t="shared" si="112"/>
        <v>-500</v>
      </c>
      <c r="N152" s="57">
        <f t="shared" si="112"/>
        <v>-500</v>
      </c>
      <c r="O152" s="57">
        <f t="shared" si="112"/>
        <v>-500</v>
      </c>
      <c r="P152" s="57">
        <f t="shared" si="112"/>
        <v>-500</v>
      </c>
      <c r="Q152" s="57">
        <f t="shared" si="112"/>
        <v>-500</v>
      </c>
      <c r="R152" s="57">
        <f t="shared" si="112"/>
        <v>-500</v>
      </c>
    </row>
    <row r="153" spans="1:18" outlineLevel="1">
      <c r="A153" s="6" t="s">
        <v>92</v>
      </c>
      <c r="C153" s="57"/>
      <c r="D153" s="57">
        <f>D113</f>
        <v>6007.9713570859303</v>
      </c>
      <c r="E153" s="57">
        <f t="shared" ref="E153:R153" si="113">E113</f>
        <v>6014.1212626619435</v>
      </c>
      <c r="F153" s="57">
        <f t="shared" si="113"/>
        <v>5220.5732721052027</v>
      </c>
      <c r="G153" s="57">
        <f t="shared" si="113"/>
        <v>5989.0805254654188</v>
      </c>
      <c r="H153" s="57">
        <f t="shared" si="113"/>
        <v>681.6440221052062</v>
      </c>
      <c r="I153" s="57">
        <f t="shared" si="113"/>
        <v>2803.6194475084312</v>
      </c>
      <c r="J153" s="57">
        <f t="shared" si="113"/>
        <v>3417.5899804385426</v>
      </c>
      <c r="K153" s="57">
        <f t="shared" si="113"/>
        <v>-8.939755448554024</v>
      </c>
      <c r="L153" s="57">
        <f t="shared" si="113"/>
        <v>957.76086932743374</v>
      </c>
      <c r="M153" s="57">
        <f t="shared" si="113"/>
        <v>2676.5355778847847</v>
      </c>
      <c r="N153" s="57">
        <f t="shared" si="113"/>
        <v>4021.6091820514539</v>
      </c>
      <c r="O153" s="57">
        <f t="shared" si="113"/>
        <v>217.46452904966191</v>
      </c>
      <c r="P153" s="57">
        <f t="shared" si="113"/>
        <v>2324.6410207611348</v>
      </c>
      <c r="Q153" s="57">
        <f t="shared" si="113"/>
        <v>3648.7436123829998</v>
      </c>
      <c r="R153" s="57">
        <f t="shared" si="113"/>
        <v>5759.0346874278057</v>
      </c>
    </row>
    <row r="154" spans="1:18" outlineLevel="1"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 outlineLevel="1">
      <c r="A155" s="8" t="s">
        <v>100</v>
      </c>
    </row>
    <row r="156" spans="1:18" outlineLevel="1">
      <c r="A156" s="11" t="s">
        <v>89</v>
      </c>
      <c r="C156" s="41"/>
      <c r="D156" s="41">
        <f>D143</f>
        <v>2.9944453467597856</v>
      </c>
      <c r="E156" s="41">
        <f t="shared" ref="E156:R156" si="114">E143</f>
        <v>3.5736289533746266</v>
      </c>
      <c r="F156" s="41">
        <f t="shared" si="114"/>
        <v>3.5163868433971519</v>
      </c>
      <c r="G156" s="41">
        <f t="shared" si="114"/>
        <v>2.16348226775282</v>
      </c>
      <c r="H156" s="41">
        <f t="shared" si="114"/>
        <v>3.0335706616007281</v>
      </c>
      <c r="I156" s="41">
        <f t="shared" si="114"/>
        <v>3.0451405356106469</v>
      </c>
      <c r="J156" s="41">
        <f t="shared" si="114"/>
        <v>3.0567990012484407</v>
      </c>
      <c r="K156" s="41">
        <f t="shared" si="114"/>
        <v>3.9403525774918604</v>
      </c>
      <c r="L156" s="41">
        <f t="shared" si="114"/>
        <v>3.9555548100310385</v>
      </c>
      <c r="M156" s="41">
        <f t="shared" si="114"/>
        <v>3.9708748000336849</v>
      </c>
      <c r="N156" s="41">
        <f t="shared" si="114"/>
        <v>3.9863139210548626</v>
      </c>
      <c r="O156" s="41">
        <f t="shared" si="114"/>
        <v>4.8872906236741676</v>
      </c>
      <c r="P156" s="41">
        <f t="shared" si="114"/>
        <v>4.9064417752789904</v>
      </c>
      <c r="Q156" s="41">
        <f t="shared" si="114"/>
        <v>4.9257436072864165</v>
      </c>
      <c r="R156" s="41">
        <f t="shared" si="114"/>
        <v>4.9451979050399295</v>
      </c>
    </row>
    <row r="157" spans="1:18" outlineLevel="1">
      <c r="A157" s="11" t="s">
        <v>90</v>
      </c>
      <c r="C157" s="41"/>
      <c r="D157" s="41">
        <f>D144</f>
        <v>3</v>
      </c>
      <c r="E157" s="41">
        <f t="shared" ref="E157:R157" si="115">E144</f>
        <v>3</v>
      </c>
      <c r="F157" s="41">
        <f t="shared" si="115"/>
        <v>3</v>
      </c>
      <c r="G157" s="41">
        <f t="shared" si="115"/>
        <v>3</v>
      </c>
      <c r="H157" s="41">
        <f t="shared" si="115"/>
        <v>3</v>
      </c>
      <c r="I157" s="41">
        <f t="shared" si="115"/>
        <v>3</v>
      </c>
      <c r="J157" s="41">
        <f t="shared" si="115"/>
        <v>3</v>
      </c>
      <c r="K157" s="41">
        <f t="shared" si="115"/>
        <v>3</v>
      </c>
      <c r="L157" s="41">
        <f t="shared" si="115"/>
        <v>3</v>
      </c>
      <c r="M157" s="41">
        <f t="shared" si="115"/>
        <v>3</v>
      </c>
      <c r="N157" s="41">
        <f t="shared" si="115"/>
        <v>3</v>
      </c>
      <c r="O157" s="41">
        <f t="shared" si="115"/>
        <v>3</v>
      </c>
      <c r="P157" s="41">
        <f t="shared" si="115"/>
        <v>3</v>
      </c>
      <c r="Q157" s="41">
        <f t="shared" si="115"/>
        <v>3</v>
      </c>
      <c r="R157" s="41">
        <f t="shared" si="115"/>
        <v>3</v>
      </c>
    </row>
    <row r="158" spans="1:18" outlineLevel="1">
      <c r="G158" s="19"/>
      <c r="H158" s="19"/>
      <c r="I158" s="19"/>
      <c r="J158" s="19"/>
      <c r="K158" s="19"/>
      <c r="P158" s="19"/>
      <c r="Q158" s="19"/>
      <c r="R158" s="19"/>
    </row>
    <row r="159" spans="1:18" ht="16.5" customHeight="1" outlineLevel="1">
      <c r="B159" s="48" t="s">
        <v>101</v>
      </c>
      <c r="C159" s="48"/>
      <c r="D159" s="48"/>
      <c r="E159" s="48"/>
      <c r="F159" s="48"/>
      <c r="G159" s="48"/>
      <c r="H159" s="48"/>
      <c r="I159" s="48"/>
      <c r="J159" s="19"/>
      <c r="K159" s="48" t="s">
        <v>107</v>
      </c>
      <c r="L159" s="48"/>
      <c r="M159" s="48"/>
      <c r="N159" s="48"/>
      <c r="O159" s="48"/>
      <c r="P159" s="48"/>
      <c r="Q159" s="48"/>
      <c r="R159" s="48"/>
    </row>
    <row r="160" spans="1:18" outlineLevel="1">
      <c r="F160" s="19"/>
      <c r="G160" s="19"/>
      <c r="H160" s="19"/>
      <c r="I160" s="19"/>
      <c r="J160" s="19"/>
      <c r="O160" s="19"/>
      <c r="P160" s="19"/>
      <c r="Q160" s="19"/>
      <c r="R160" s="19"/>
    </row>
    <row r="161" spans="6:18" outlineLevel="1">
      <c r="F161" s="19"/>
      <c r="G161" s="19"/>
      <c r="H161" s="19"/>
      <c r="I161" s="19"/>
      <c r="J161" s="19"/>
      <c r="O161" s="19"/>
      <c r="P161" s="19"/>
      <c r="Q161" s="19"/>
      <c r="R161" s="19"/>
    </row>
    <row r="162" spans="6:18" outlineLevel="1">
      <c r="F162" s="19"/>
      <c r="G162" s="19"/>
      <c r="H162" s="19"/>
      <c r="I162" s="19"/>
      <c r="J162" s="19"/>
      <c r="O162" s="19"/>
      <c r="P162" s="19"/>
      <c r="Q162" s="19"/>
      <c r="R162" s="19"/>
    </row>
    <row r="163" spans="6:18" outlineLevel="1">
      <c r="F163" s="19"/>
      <c r="G163" s="19"/>
      <c r="H163" s="19"/>
      <c r="I163" s="19"/>
      <c r="J163" s="19"/>
      <c r="O163" s="19"/>
      <c r="P163" s="19"/>
      <c r="Q163" s="19"/>
      <c r="R163" s="19"/>
    </row>
    <row r="164" spans="6:18" outlineLevel="1">
      <c r="F164" s="19"/>
      <c r="G164" s="19"/>
      <c r="H164" s="19"/>
      <c r="I164" s="19"/>
      <c r="J164" s="19"/>
      <c r="O164" s="19"/>
      <c r="P164" s="19"/>
      <c r="Q164" s="19"/>
      <c r="R164" s="19"/>
    </row>
    <row r="165" spans="6:18" outlineLevel="1">
      <c r="F165" s="19"/>
      <c r="G165" s="19"/>
      <c r="H165" s="19"/>
      <c r="I165" s="19"/>
      <c r="J165" s="19"/>
      <c r="O165" s="19"/>
      <c r="P165" s="19"/>
      <c r="Q165" s="19"/>
      <c r="R165" s="19"/>
    </row>
    <row r="166" spans="6:18" outlineLevel="1">
      <c r="F166" s="19"/>
      <c r="G166" s="19"/>
      <c r="H166" s="19"/>
      <c r="I166" s="19"/>
      <c r="J166" s="19"/>
      <c r="O166" s="19"/>
      <c r="P166" s="19"/>
      <c r="Q166" s="19"/>
      <c r="R166" s="19"/>
    </row>
    <row r="167" spans="6:18" outlineLevel="1">
      <c r="F167" s="19"/>
      <c r="G167" s="19"/>
      <c r="H167" s="19"/>
      <c r="I167" s="19"/>
      <c r="J167" s="19"/>
      <c r="O167" s="19"/>
      <c r="P167" s="19"/>
      <c r="Q167" s="19"/>
      <c r="R167" s="19"/>
    </row>
    <row r="168" spans="6:18" outlineLevel="1">
      <c r="F168" s="19"/>
      <c r="G168" s="19"/>
      <c r="H168" s="19"/>
      <c r="I168" s="19"/>
      <c r="J168" s="19"/>
      <c r="O168" s="19"/>
      <c r="P168" s="19"/>
      <c r="Q168" s="19"/>
      <c r="R168" s="19"/>
    </row>
    <row r="169" spans="6:18" outlineLevel="1">
      <c r="F169" s="19"/>
      <c r="G169" s="19"/>
      <c r="H169" s="19"/>
      <c r="I169" s="19"/>
      <c r="J169" s="19"/>
      <c r="O169" s="19"/>
      <c r="P169" s="19"/>
      <c r="Q169" s="19"/>
      <c r="R169" s="19"/>
    </row>
    <row r="170" spans="6:18" outlineLevel="1">
      <c r="F170" s="19"/>
      <c r="G170" s="19"/>
      <c r="H170" s="19"/>
      <c r="I170" s="19"/>
      <c r="J170" s="19"/>
      <c r="O170" s="19"/>
      <c r="P170" s="19"/>
      <c r="Q170" s="19"/>
      <c r="R170" s="19"/>
    </row>
    <row r="171" spans="6:18" outlineLevel="1">
      <c r="F171" s="19"/>
      <c r="G171" s="19"/>
      <c r="H171" s="19"/>
      <c r="I171" s="19"/>
      <c r="J171" s="19"/>
      <c r="O171" s="19"/>
      <c r="P171" s="19"/>
      <c r="Q171" s="19"/>
      <c r="R171" s="19"/>
    </row>
    <row r="172" spans="6:18" outlineLevel="1">
      <c r="F172" s="19"/>
      <c r="G172" s="19"/>
      <c r="H172" s="19"/>
      <c r="I172" s="19"/>
      <c r="J172" s="19"/>
      <c r="O172" s="19"/>
      <c r="P172" s="19"/>
      <c r="Q172" s="19"/>
      <c r="R172" s="19"/>
    </row>
    <row r="173" spans="6:18" outlineLevel="1">
      <c r="F173" s="19"/>
      <c r="G173" s="19"/>
      <c r="H173" s="19"/>
      <c r="I173" s="19"/>
      <c r="J173" s="19"/>
      <c r="O173" s="19"/>
      <c r="P173" s="19"/>
      <c r="Q173" s="19"/>
      <c r="R173" s="19"/>
    </row>
    <row r="174" spans="6:18" outlineLevel="1">
      <c r="F174" s="19"/>
      <c r="G174" s="19"/>
      <c r="H174" s="19"/>
      <c r="I174" s="19"/>
      <c r="J174" s="19"/>
      <c r="O174" s="19"/>
      <c r="P174" s="19"/>
      <c r="Q174" s="19"/>
      <c r="R174" s="19"/>
    </row>
    <row r="175" spans="6:18" outlineLevel="1">
      <c r="F175" s="19"/>
      <c r="G175" s="19"/>
      <c r="H175" s="19"/>
      <c r="I175" s="19"/>
      <c r="J175" s="19"/>
      <c r="O175" s="19"/>
      <c r="P175" s="19"/>
      <c r="Q175" s="19"/>
      <c r="R175" s="19"/>
    </row>
    <row r="176" spans="6:18" outlineLevel="1">
      <c r="J176" s="19"/>
      <c r="O176" s="19"/>
      <c r="P176" s="19"/>
      <c r="Q176" s="19"/>
      <c r="R176" s="19"/>
    </row>
    <row r="177" spans="11:11" ht="16.5" customHeight="1" outlineLevel="1">
      <c r="K177" s="19"/>
    </row>
  </sheetData>
  <phoneticPr fontId="4" type="noConversion"/>
  <conditionalFormatting sqref="C3:R3">
    <cfRule type="cellIs" dxfId="2" priority="3" operator="equal">
      <formula>"OK"</formula>
    </cfRule>
    <cfRule type="cellIs" dxfId="1" priority="2" operator="equal">
      <formula>"ERROR"</formula>
    </cfRule>
  </conditionalFormatting>
  <conditionalFormatting sqref="C67:R67">
    <cfRule type="cellIs" dxfId="0" priority="1" operator="lessThan">
      <formula>1000</formula>
    </cfRule>
  </conditionalFormatting>
  <dataValidations count="2">
    <dataValidation type="whole" errorStyle="warning" allowBlank="1" showInputMessage="1" showErrorMessage="1" errorTitle="Warning" error="Assumption is outside of range" promptTitle="Set reasonable range" prompt="Range must be between 300 and 800" sqref="G15:R15" xr:uid="{00000000-0002-0000-0000-000001000000}">
      <formula1>300</formula1>
      <formula2>800</formula2>
    </dataValidation>
    <dataValidation type="whole" errorStyle="warning" allowBlank="1" showInputMessage="1" showErrorMessage="1" errorTitle="Incorrect Assumption" error="Pls correct" promptTitle="# of Stores" prompt="Must be whole number between -5 and 5" sqref="C13:R13" xr:uid="{BD7E4CBF-9D3F-4B3E-8424-948FF4B68BD1}">
      <formula1>-5</formula1>
      <formula2>5</formula2>
    </dataValidation>
  </dataValidations>
  <pageMargins left="0.75" right="0.75" top="1" bottom="1" header="0.5" footer="0.5"/>
  <pageSetup scale="62" fitToHeight="0" orientation="landscape" r:id="rId1"/>
  <headerFooter alignWithMargins="0">
    <oddFooter>&amp;R&amp;6© Management Development Associates (NA) Inc. - 21317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0816-E1DA-4657-A6CA-A47997D0225D}">
  <dimension ref="A3:P35"/>
  <sheetViews>
    <sheetView zoomScaleNormal="100" workbookViewId="0"/>
  </sheetViews>
  <sheetFormatPr defaultRowHeight="12.75"/>
  <sheetData>
    <row r="3" spans="1:16" ht="16.5">
      <c r="A3" s="8" t="s">
        <v>33</v>
      </c>
    </row>
    <row r="4" spans="1:16" ht="16.5">
      <c r="A4" s="6" t="s">
        <v>40</v>
      </c>
    </row>
    <row r="5" spans="1:16" ht="16.5">
      <c r="A5" s="11" t="s">
        <v>41</v>
      </c>
      <c r="E5" s="58">
        <v>0</v>
      </c>
      <c r="F5" s="58">
        <v>1</v>
      </c>
      <c r="G5" s="58">
        <v>0</v>
      </c>
      <c r="H5" s="58">
        <v>0</v>
      </c>
      <c r="I5" s="58">
        <v>1</v>
      </c>
      <c r="J5" s="58">
        <v>0</v>
      </c>
      <c r="K5" s="58">
        <v>0</v>
      </c>
      <c r="L5" s="58">
        <v>0</v>
      </c>
      <c r="M5" s="58">
        <v>1</v>
      </c>
      <c r="N5" s="58">
        <v>0</v>
      </c>
      <c r="O5" s="58">
        <v>0</v>
      </c>
      <c r="P5" s="58">
        <v>0</v>
      </c>
    </row>
    <row r="6" spans="1:16" ht="16.5">
      <c r="A6" s="12" t="s">
        <v>42</v>
      </c>
      <c r="E6" s="58">
        <v>46000</v>
      </c>
      <c r="F6" s="58">
        <v>46000</v>
      </c>
      <c r="G6" s="58">
        <v>46000</v>
      </c>
      <c r="H6" s="58">
        <v>46000</v>
      </c>
      <c r="I6" s="58">
        <v>46000</v>
      </c>
      <c r="J6" s="58">
        <v>46000</v>
      </c>
      <c r="K6" s="58">
        <v>46000</v>
      </c>
      <c r="L6" s="58">
        <v>46000</v>
      </c>
      <c r="M6" s="58">
        <v>46000</v>
      </c>
      <c r="N6" s="58">
        <v>46000</v>
      </c>
      <c r="O6" s="58">
        <v>46000</v>
      </c>
      <c r="P6" s="58">
        <v>46000</v>
      </c>
    </row>
    <row r="7" spans="1:16" ht="16.5">
      <c r="A7" s="12" t="s">
        <v>113</v>
      </c>
      <c r="E7" s="58">
        <v>535</v>
      </c>
      <c r="F7" s="58">
        <v>535</v>
      </c>
      <c r="G7" s="58">
        <v>535</v>
      </c>
      <c r="H7" s="58">
        <v>535</v>
      </c>
      <c r="I7" s="58">
        <v>535</v>
      </c>
      <c r="J7" s="58">
        <v>535</v>
      </c>
      <c r="K7" s="58">
        <v>535</v>
      </c>
      <c r="L7" s="58">
        <v>535</v>
      </c>
      <c r="M7" s="58">
        <v>535</v>
      </c>
      <c r="N7" s="58">
        <v>535</v>
      </c>
      <c r="O7" s="58">
        <v>535</v>
      </c>
      <c r="P7" s="58">
        <v>535</v>
      </c>
    </row>
    <row r="8" spans="1:16" ht="16.5">
      <c r="A8" s="6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</row>
    <row r="9" spans="1:16" ht="16.5">
      <c r="A9" s="14" t="s">
        <v>34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</row>
    <row r="10" spans="1:16" ht="16.5">
      <c r="A10" s="6" t="s">
        <v>43</v>
      </c>
      <c r="E10" s="81">
        <v>0.26500000000000001</v>
      </c>
      <c r="F10" s="81">
        <v>0.26500000000000001</v>
      </c>
      <c r="G10" s="81">
        <v>0.26500000000000001</v>
      </c>
      <c r="H10" s="81">
        <v>0.26500000000000001</v>
      </c>
      <c r="I10" s="81">
        <v>0.26500000000000001</v>
      </c>
      <c r="J10" s="81">
        <v>0.26500000000000001</v>
      </c>
      <c r="K10" s="81">
        <v>0.26500000000000001</v>
      </c>
      <c r="L10" s="81">
        <v>0.26500000000000001</v>
      </c>
      <c r="M10" s="81">
        <v>0.26500000000000001</v>
      </c>
      <c r="N10" s="81">
        <v>0.26500000000000001</v>
      </c>
      <c r="O10" s="81">
        <v>0.26500000000000001</v>
      </c>
      <c r="P10" s="81">
        <v>0.26500000000000001</v>
      </c>
    </row>
    <row r="11" spans="1:16" ht="16.5">
      <c r="A11" s="6" t="s">
        <v>32</v>
      </c>
      <c r="E11" s="82">
        <v>9500</v>
      </c>
      <c r="F11" s="82">
        <v>9500</v>
      </c>
      <c r="G11" s="82">
        <v>9500</v>
      </c>
      <c r="H11" s="82">
        <v>9500</v>
      </c>
      <c r="I11" s="82">
        <v>9500</v>
      </c>
      <c r="J11" s="82">
        <v>9500</v>
      </c>
      <c r="K11" s="82">
        <v>9500</v>
      </c>
      <c r="L11" s="82">
        <v>9500</v>
      </c>
      <c r="M11" s="82">
        <v>9500</v>
      </c>
      <c r="N11" s="82">
        <v>9500</v>
      </c>
      <c r="O11" s="82">
        <v>9500</v>
      </c>
      <c r="P11" s="82">
        <v>9500</v>
      </c>
    </row>
    <row r="12" spans="1:16" ht="16.5">
      <c r="A12" s="6" t="s">
        <v>44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</row>
    <row r="13" spans="1:16" ht="16.5">
      <c r="A13" s="6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</row>
    <row r="14" spans="1:16" ht="16.5">
      <c r="A14" s="8" t="s">
        <v>35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</row>
    <row r="15" spans="1:16" ht="16.5">
      <c r="A15" s="6" t="s">
        <v>45</v>
      </c>
      <c r="E15" s="81">
        <v>0.35</v>
      </c>
      <c r="F15" s="81">
        <v>0.35</v>
      </c>
      <c r="G15" s="81">
        <v>0.35</v>
      </c>
      <c r="H15" s="81">
        <v>0.35</v>
      </c>
      <c r="I15" s="81">
        <v>0.35</v>
      </c>
      <c r="J15" s="81">
        <v>0.35</v>
      </c>
      <c r="K15" s="81">
        <v>0.35</v>
      </c>
      <c r="L15" s="81">
        <v>0.35</v>
      </c>
      <c r="M15" s="81">
        <v>0.35</v>
      </c>
      <c r="N15" s="81">
        <v>0.35</v>
      </c>
      <c r="O15" s="81">
        <v>0.35</v>
      </c>
      <c r="P15" s="81">
        <v>0.35</v>
      </c>
    </row>
    <row r="16" spans="1:16" ht="16.5">
      <c r="A16" s="6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</row>
    <row r="17" spans="1:16" ht="16.5">
      <c r="A17" s="8" t="s">
        <v>38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</row>
    <row r="18" spans="1:16" ht="16.5">
      <c r="A18" s="6" t="s">
        <v>94</v>
      </c>
      <c r="E18" s="58">
        <v>7</v>
      </c>
      <c r="F18" s="58">
        <v>7</v>
      </c>
      <c r="G18" s="58">
        <v>7</v>
      </c>
      <c r="H18" s="58">
        <v>7</v>
      </c>
      <c r="I18" s="58">
        <v>7</v>
      </c>
      <c r="J18" s="58">
        <v>7</v>
      </c>
      <c r="K18" s="58">
        <v>7</v>
      </c>
      <c r="L18" s="58">
        <v>7</v>
      </c>
      <c r="M18" s="58">
        <v>7</v>
      </c>
      <c r="N18" s="58">
        <v>7</v>
      </c>
      <c r="O18" s="58">
        <v>7</v>
      </c>
      <c r="P18" s="58">
        <v>7</v>
      </c>
    </row>
    <row r="19" spans="1:16" ht="16.5">
      <c r="A19" s="6" t="s">
        <v>95</v>
      </c>
      <c r="E19" s="58">
        <v>29</v>
      </c>
      <c r="F19" s="58">
        <v>29</v>
      </c>
      <c r="G19" s="58">
        <v>29</v>
      </c>
      <c r="H19" s="58">
        <v>29</v>
      </c>
      <c r="I19" s="58">
        <v>29</v>
      </c>
      <c r="J19" s="58">
        <v>29</v>
      </c>
      <c r="K19" s="58">
        <v>29</v>
      </c>
      <c r="L19" s="58">
        <v>29</v>
      </c>
      <c r="M19" s="58">
        <v>29</v>
      </c>
      <c r="N19" s="58">
        <v>29</v>
      </c>
      <c r="O19" s="58">
        <v>29</v>
      </c>
      <c r="P19" s="58">
        <v>29</v>
      </c>
    </row>
    <row r="20" spans="1:16" ht="16.5">
      <c r="A20" s="6" t="s">
        <v>96</v>
      </c>
      <c r="E20" s="58">
        <v>28</v>
      </c>
      <c r="F20" s="58">
        <v>28</v>
      </c>
      <c r="G20" s="58">
        <v>28</v>
      </c>
      <c r="H20" s="58">
        <v>28</v>
      </c>
      <c r="I20" s="58">
        <v>28</v>
      </c>
      <c r="J20" s="58">
        <v>28</v>
      </c>
      <c r="K20" s="58">
        <v>28</v>
      </c>
      <c r="L20" s="58">
        <v>28</v>
      </c>
      <c r="M20" s="58">
        <v>28</v>
      </c>
      <c r="N20" s="58">
        <v>28</v>
      </c>
      <c r="O20" s="58">
        <v>28</v>
      </c>
      <c r="P20" s="58">
        <v>28</v>
      </c>
    </row>
    <row r="21" spans="1:16" ht="16.5">
      <c r="A21" s="6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</row>
    <row r="22" spans="1:16" ht="16.5">
      <c r="A22" s="8" t="s">
        <v>37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ht="16.5">
      <c r="A23" s="6" t="s">
        <v>47</v>
      </c>
      <c r="E23" s="55">
        <v>0.1</v>
      </c>
      <c r="F23" s="55">
        <v>0.1</v>
      </c>
      <c r="G23" s="55">
        <v>0.1</v>
      </c>
      <c r="H23" s="55">
        <v>0.1</v>
      </c>
      <c r="I23" s="55">
        <v>0.1</v>
      </c>
      <c r="J23" s="55">
        <v>0.1</v>
      </c>
      <c r="K23" s="55">
        <v>0.1</v>
      </c>
      <c r="L23" s="55">
        <v>0.1</v>
      </c>
      <c r="M23" s="55">
        <v>0.1</v>
      </c>
      <c r="N23" s="55">
        <v>0.1</v>
      </c>
      <c r="O23" s="55">
        <v>0.1</v>
      </c>
      <c r="P23" s="55">
        <v>0.1</v>
      </c>
    </row>
    <row r="24" spans="1:16" ht="16.5">
      <c r="A24" s="6" t="s">
        <v>52</v>
      </c>
      <c r="E24" s="83">
        <v>100</v>
      </c>
      <c r="F24" s="83">
        <v>100</v>
      </c>
      <c r="G24" s="83">
        <v>100</v>
      </c>
      <c r="H24" s="83">
        <v>100</v>
      </c>
      <c r="I24" s="83">
        <v>100</v>
      </c>
      <c r="J24" s="83">
        <v>100</v>
      </c>
      <c r="K24" s="83">
        <v>100</v>
      </c>
      <c r="L24" s="83">
        <v>100</v>
      </c>
      <c r="M24" s="83">
        <v>100</v>
      </c>
      <c r="N24" s="83">
        <v>100</v>
      </c>
      <c r="O24" s="83">
        <v>100</v>
      </c>
      <c r="P24" s="83">
        <v>100</v>
      </c>
    </row>
    <row r="25" spans="1:16" ht="16.5">
      <c r="A25" s="6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1:16" ht="16.5">
      <c r="A26" s="8" t="s">
        <v>61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1:16" ht="16.5">
      <c r="A27" s="6" t="s">
        <v>62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</row>
    <row r="28" spans="1:16" ht="16.5">
      <c r="A28" s="6" t="s">
        <v>65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</row>
    <row r="29" spans="1:16" ht="16.5">
      <c r="A29" s="6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 spans="1:16" ht="16.5">
      <c r="A30" s="6" t="s">
        <v>69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</row>
    <row r="31" spans="1:16" ht="16.5">
      <c r="A31" s="6" t="s">
        <v>64</v>
      </c>
      <c r="E31" s="83">
        <v>500</v>
      </c>
      <c r="F31" s="83">
        <v>500</v>
      </c>
      <c r="G31" s="83">
        <v>500</v>
      </c>
      <c r="H31" s="83">
        <v>500</v>
      </c>
      <c r="I31" s="83">
        <v>500</v>
      </c>
      <c r="J31" s="83">
        <v>500</v>
      </c>
      <c r="K31" s="83">
        <v>500</v>
      </c>
      <c r="L31" s="83">
        <v>500</v>
      </c>
      <c r="M31" s="83">
        <v>500</v>
      </c>
      <c r="N31" s="83">
        <v>500</v>
      </c>
      <c r="O31" s="83">
        <v>500</v>
      </c>
      <c r="P31" s="83">
        <v>500</v>
      </c>
    </row>
    <row r="32" spans="1:16" ht="16.5">
      <c r="A32" s="6" t="s">
        <v>63</v>
      </c>
      <c r="E32" s="56">
        <v>5.7500000000000002E-2</v>
      </c>
      <c r="F32" s="56">
        <v>5.7500000000000002E-2</v>
      </c>
      <c r="G32" s="56">
        <v>5.7500000000000002E-2</v>
      </c>
      <c r="H32" s="56">
        <v>5.7500000000000002E-2</v>
      </c>
      <c r="I32" s="56">
        <v>5.7500000000000002E-2</v>
      </c>
      <c r="J32" s="56">
        <v>5.7500000000000002E-2</v>
      </c>
      <c r="K32" s="56">
        <v>5.7500000000000002E-2</v>
      </c>
      <c r="L32" s="56">
        <v>5.7500000000000002E-2</v>
      </c>
      <c r="M32" s="56">
        <v>5.7500000000000002E-2</v>
      </c>
      <c r="N32" s="56">
        <v>5.7500000000000002E-2</v>
      </c>
      <c r="O32" s="56">
        <v>5.7500000000000002E-2</v>
      </c>
      <c r="P32" s="56">
        <v>5.7500000000000002E-2</v>
      </c>
    </row>
    <row r="33" spans="1:16" ht="16.5">
      <c r="A33" s="6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ht="16.5">
      <c r="A34" s="6" t="s">
        <v>86</v>
      </c>
      <c r="E34" s="42">
        <v>0.75</v>
      </c>
      <c r="F34" s="42">
        <v>0.75</v>
      </c>
      <c r="G34" s="42">
        <v>0.75</v>
      </c>
      <c r="H34" s="42">
        <v>0.75</v>
      </c>
      <c r="I34" s="42">
        <v>0.75</v>
      </c>
      <c r="J34" s="42">
        <v>0.75</v>
      </c>
      <c r="K34" s="42">
        <v>0.75</v>
      </c>
      <c r="L34" s="42">
        <v>0.75</v>
      </c>
      <c r="M34" s="42">
        <v>0.75</v>
      </c>
      <c r="N34" s="42">
        <v>0.75</v>
      </c>
      <c r="O34" s="42">
        <v>0.75</v>
      </c>
      <c r="P34" s="42">
        <v>0.75</v>
      </c>
    </row>
    <row r="35" spans="1:16" ht="16.5">
      <c r="A35" s="6" t="s">
        <v>87</v>
      </c>
      <c r="E35" s="42">
        <v>3</v>
      </c>
      <c r="F35" s="42">
        <v>3</v>
      </c>
      <c r="G35" s="42">
        <v>3</v>
      </c>
      <c r="H35" s="42">
        <v>3</v>
      </c>
      <c r="I35" s="42">
        <v>3</v>
      </c>
      <c r="J35" s="42">
        <v>3</v>
      </c>
      <c r="K35" s="42">
        <v>3</v>
      </c>
      <c r="L35" s="42">
        <v>3</v>
      </c>
      <c r="M35" s="42">
        <v>3</v>
      </c>
      <c r="N35" s="42">
        <v>3</v>
      </c>
      <c r="O35" s="42">
        <v>3</v>
      </c>
      <c r="P35" s="42">
        <v>3</v>
      </c>
    </row>
  </sheetData>
  <dataValidations count="2">
    <dataValidation type="whole" errorStyle="warning" allowBlank="1" showInputMessage="1" showErrorMessage="1" errorTitle="Warning" error="Assumption is outside of range" promptTitle="Set reasonable range" prompt="Range must be between 300 and 800" sqref="E7:P7" xr:uid="{52684F8E-9C98-4355-B82C-2C74613D7CBA}">
      <formula1>300</formula1>
      <formula2>800</formula2>
    </dataValidation>
    <dataValidation type="whole" errorStyle="warning" allowBlank="1" showInputMessage="1" showErrorMessage="1" errorTitle="Warning" error="You have entered an unusual number of stores." promptTitle="Message" prompt="Please input new stores as a positive whole number. If you are closing a store, enter it as a negative whole number." sqref="E5:P5" xr:uid="{A2120CB2-A4A5-433C-867D-FBB7E5610EB4}">
      <formula1>-10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 Page</vt:lpstr>
      <vt:lpstr>12 Month Rolling Forecast</vt:lpstr>
      <vt:lpstr>Data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Ferdinand</cp:lastModifiedBy>
  <cp:lastPrinted>2018-04-16T18:25:00Z</cp:lastPrinted>
  <dcterms:created xsi:type="dcterms:W3CDTF">2003-01-29T13:43:56Z</dcterms:created>
  <dcterms:modified xsi:type="dcterms:W3CDTF">2022-09-09T18:11:53Z</dcterms:modified>
</cp:coreProperties>
</file>