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3B579839-7F5D-4373-AB27-482E61608D1C}" xr6:coauthVersionLast="40" xr6:coauthVersionMax="40" xr10:uidLastSave="{00000000-0000-0000-0000-000000000000}"/>
  <bookViews>
    <workbookView xWindow="-120" yWindow="-120" windowWidth="20730" windowHeight="11160" tabRatio="590" xr2:uid="{00000000-000D-0000-FFFF-FFFF00000000}"/>
  </bookViews>
  <sheets>
    <sheet name="DCF &amp; Sensitivity Model" sheetId="2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1" l="1"/>
  <c r="I27" i="21" s="1"/>
  <c r="B163" i="21"/>
  <c r="B164" i="21" s="1"/>
  <c r="B165" i="21" s="1"/>
  <c r="B166" i="21" s="1"/>
  <c r="D161" i="21"/>
  <c r="E161" i="21" s="1"/>
  <c r="F161" i="21" s="1"/>
  <c r="G161" i="21" s="1"/>
  <c r="E2" i="21" l="1"/>
  <c r="F2" i="21" s="1"/>
  <c r="G2" i="21" s="1"/>
  <c r="H2" i="21" s="1"/>
  <c r="I2" i="21" s="1"/>
  <c r="J2" i="21" s="1"/>
  <c r="K2" i="21" s="1"/>
  <c r="L2" i="21" s="1"/>
  <c r="M2" i="21" s="1"/>
  <c r="D53" i="21"/>
  <c r="D57" i="21"/>
  <c r="D48" i="21"/>
  <c r="E53" i="21"/>
  <c r="E57" i="21"/>
  <c r="E48" i="21"/>
  <c r="F53" i="21"/>
  <c r="F57" i="21"/>
  <c r="F48" i="21"/>
  <c r="G53" i="21"/>
  <c r="G57" i="21"/>
  <c r="G48" i="21"/>
  <c r="H53" i="21"/>
  <c r="H57" i="21"/>
  <c r="H48" i="21"/>
  <c r="I55" i="21"/>
  <c r="J55" i="21" s="1"/>
  <c r="I31" i="21"/>
  <c r="H99" i="21"/>
  <c r="I96" i="21" s="1"/>
  <c r="H104" i="21"/>
  <c r="I102" i="21" s="1"/>
  <c r="I103" i="21"/>
  <c r="I76" i="21" s="1"/>
  <c r="H92" i="21"/>
  <c r="I97" i="21"/>
  <c r="I72" i="21" s="1"/>
  <c r="I77" i="21"/>
  <c r="H69" i="21"/>
  <c r="H73" i="21"/>
  <c r="H78" i="21"/>
  <c r="J9" i="21"/>
  <c r="J26" i="21" s="1"/>
  <c r="J10" i="21"/>
  <c r="J11" i="21"/>
  <c r="J12" i="21"/>
  <c r="K12" i="21" s="1"/>
  <c r="J13" i="21"/>
  <c r="J103" i="21"/>
  <c r="J76" i="21" s="1"/>
  <c r="J14" i="21"/>
  <c r="J15" i="21"/>
  <c r="J16" i="21"/>
  <c r="J97" i="21"/>
  <c r="J72" i="21" s="1"/>
  <c r="J77" i="21"/>
  <c r="K9" i="21"/>
  <c r="K10" i="21"/>
  <c r="K11" i="21"/>
  <c r="K13" i="21"/>
  <c r="K103" i="21"/>
  <c r="K76" i="21" s="1"/>
  <c r="K14" i="21"/>
  <c r="K15" i="21"/>
  <c r="K16" i="21"/>
  <c r="K97" i="21"/>
  <c r="K72" i="21" s="1"/>
  <c r="K73" i="21" s="1"/>
  <c r="K77" i="21"/>
  <c r="L9" i="21"/>
  <c r="L10" i="21"/>
  <c r="L11" i="21"/>
  <c r="L13" i="21"/>
  <c r="L103" i="21"/>
  <c r="L76" i="21" s="1"/>
  <c r="L14" i="21"/>
  <c r="L15" i="21"/>
  <c r="L16" i="21"/>
  <c r="L97" i="21"/>
  <c r="L72" i="21" s="1"/>
  <c r="L77" i="21"/>
  <c r="M9" i="21"/>
  <c r="M10" i="21"/>
  <c r="M11" i="21"/>
  <c r="M13" i="21"/>
  <c r="M103" i="21"/>
  <c r="M76" i="21" s="1"/>
  <c r="M14" i="21"/>
  <c r="M15" i="21"/>
  <c r="M16" i="21"/>
  <c r="M97" i="21"/>
  <c r="M72" i="21" s="1"/>
  <c r="M77" i="21"/>
  <c r="D28" i="21"/>
  <c r="E28" i="21"/>
  <c r="F28" i="21"/>
  <c r="G28" i="21"/>
  <c r="H28" i="21"/>
  <c r="D34" i="21"/>
  <c r="E34" i="21"/>
  <c r="F34" i="21"/>
  <c r="F35" i="21" s="1"/>
  <c r="F38" i="21" s="1"/>
  <c r="G34" i="21"/>
  <c r="H34" i="21"/>
  <c r="D69" i="21"/>
  <c r="E69" i="21"/>
  <c r="F69" i="21"/>
  <c r="G69" i="21"/>
  <c r="D73" i="21"/>
  <c r="E73" i="21"/>
  <c r="F73" i="21"/>
  <c r="G73" i="21"/>
  <c r="D78" i="21"/>
  <c r="E78" i="21"/>
  <c r="F78" i="21"/>
  <c r="G78" i="21"/>
  <c r="D92" i="21"/>
  <c r="D93" i="21" s="1"/>
  <c r="E92" i="21"/>
  <c r="F92" i="21"/>
  <c r="G92" i="21"/>
  <c r="G93" i="21" s="1"/>
  <c r="D99" i="21"/>
  <c r="E99" i="21"/>
  <c r="F99" i="21"/>
  <c r="G99" i="21"/>
  <c r="D104" i="21"/>
  <c r="E104" i="21"/>
  <c r="F104" i="21"/>
  <c r="G104" i="21"/>
  <c r="E121" i="21"/>
  <c r="F121" i="21" s="1"/>
  <c r="G121" i="21" s="1"/>
  <c r="H121" i="21" s="1"/>
  <c r="C122" i="21"/>
  <c r="C134" i="21"/>
  <c r="G147" i="21"/>
  <c r="G152" i="21" s="1"/>
  <c r="C149" i="21"/>
  <c r="G148" i="21" s="1"/>
  <c r="C148" i="21"/>
  <c r="G149" i="21" s="1"/>
  <c r="C144" i="21"/>
  <c r="K147" i="21"/>
  <c r="A177" i="21"/>
  <c r="A178" i="21"/>
  <c r="A179" i="21"/>
  <c r="A180" i="21"/>
  <c r="K26" i="21" l="1"/>
  <c r="J27" i="21"/>
  <c r="H35" i="21"/>
  <c r="H38" i="21" s="1"/>
  <c r="L78" i="21"/>
  <c r="J31" i="21"/>
  <c r="H58" i="21"/>
  <c r="H60" i="21" s="1"/>
  <c r="H3" i="21" s="1"/>
  <c r="D80" i="21"/>
  <c r="D82" i="21" s="1"/>
  <c r="G35" i="21"/>
  <c r="G38" i="21" s="1"/>
  <c r="H80" i="21"/>
  <c r="H82" i="21" s="1"/>
  <c r="I81" i="21" s="1"/>
  <c r="D58" i="21"/>
  <c r="D60" i="21" s="1"/>
  <c r="D3" i="21" s="1"/>
  <c r="F93" i="21"/>
  <c r="I73" i="21"/>
  <c r="D130" i="21"/>
  <c r="J30" i="21"/>
  <c r="H93" i="21"/>
  <c r="I45" i="21"/>
  <c r="I89" i="21" s="1"/>
  <c r="F58" i="21"/>
  <c r="F60" i="21" s="1"/>
  <c r="F3" i="21" s="1"/>
  <c r="J78" i="21"/>
  <c r="E58" i="21"/>
  <c r="E60" i="21" s="1"/>
  <c r="E3" i="21" s="1"/>
  <c r="E35" i="21"/>
  <c r="E38" i="21" s="1"/>
  <c r="I78" i="21"/>
  <c r="G58" i="21"/>
  <c r="G60" i="21" s="1"/>
  <c r="G3" i="21" s="1"/>
  <c r="I30" i="21"/>
  <c r="I98" i="21"/>
  <c r="I32" i="21" s="1"/>
  <c r="K31" i="21"/>
  <c r="L12" i="21"/>
  <c r="I104" i="21"/>
  <c r="I52" i="21" s="1"/>
  <c r="F80" i="21"/>
  <c r="F82" i="21" s="1"/>
  <c r="K78" i="21"/>
  <c r="E93" i="21"/>
  <c r="E80" i="21"/>
  <c r="E82" i="21" s="1"/>
  <c r="D35" i="21"/>
  <c r="D38" i="21" s="1"/>
  <c r="G80" i="21"/>
  <c r="G82" i="21" s="1"/>
  <c r="M78" i="21"/>
  <c r="I105" i="21"/>
  <c r="I33" i="21" s="1"/>
  <c r="D125" i="21" s="1"/>
  <c r="J102" i="21"/>
  <c r="J104" i="21" s="1"/>
  <c r="I28" i="21"/>
  <c r="I51" i="21"/>
  <c r="I46" i="21"/>
  <c r="I90" i="21" s="1"/>
  <c r="E130" i="21"/>
  <c r="J73" i="21"/>
  <c r="I67" i="21"/>
  <c r="D128" i="21" s="1"/>
  <c r="K55" i="21"/>
  <c r="H130" i="21"/>
  <c r="M73" i="21"/>
  <c r="G150" i="21"/>
  <c r="C135" i="21" s="1"/>
  <c r="L73" i="21"/>
  <c r="G130" i="21"/>
  <c r="F130" i="21"/>
  <c r="L26" i="21" l="1"/>
  <c r="K27" i="21"/>
  <c r="J45" i="21"/>
  <c r="J89" i="21" s="1"/>
  <c r="J28" i="21"/>
  <c r="I34" i="21"/>
  <c r="I35" i="21" s="1"/>
  <c r="L31" i="21"/>
  <c r="M12" i="21"/>
  <c r="M31" i="21" s="1"/>
  <c r="I99" i="21"/>
  <c r="K30" i="21"/>
  <c r="K45" i="21"/>
  <c r="K89" i="21" s="1"/>
  <c r="J46" i="21"/>
  <c r="J90" i="21" s="1"/>
  <c r="I91" i="21"/>
  <c r="I92" i="21" s="1"/>
  <c r="I93" i="21" s="1"/>
  <c r="I53" i="21"/>
  <c r="L55" i="21"/>
  <c r="K102" i="21"/>
  <c r="K104" i="21" s="1"/>
  <c r="J105" i="21"/>
  <c r="J33" i="21" s="1"/>
  <c r="E125" i="21" s="1"/>
  <c r="J52" i="21"/>
  <c r="M26" i="21" l="1"/>
  <c r="M27" i="21" s="1"/>
  <c r="L27" i="21"/>
  <c r="J51" i="21"/>
  <c r="J53" i="21" s="1"/>
  <c r="D124" i="21"/>
  <c r="D126" i="21" s="1"/>
  <c r="D127" i="21" s="1"/>
  <c r="I37" i="21"/>
  <c r="I38" i="21" s="1"/>
  <c r="I66" i="21" s="1"/>
  <c r="J96" i="21"/>
  <c r="I47" i="21"/>
  <c r="K46" i="21"/>
  <c r="K90" i="21" s="1"/>
  <c r="K51" i="21"/>
  <c r="M55" i="21"/>
  <c r="L30" i="21"/>
  <c r="L45" i="21"/>
  <c r="L89" i="21" s="1"/>
  <c r="K52" i="21"/>
  <c r="L102" i="21"/>
  <c r="L104" i="21" s="1"/>
  <c r="K105" i="21"/>
  <c r="K33" i="21" s="1"/>
  <c r="F125" i="21" s="1"/>
  <c r="K28" i="21"/>
  <c r="I68" i="21"/>
  <c r="D131" i="21"/>
  <c r="J91" i="21" l="1"/>
  <c r="J92" i="21" s="1"/>
  <c r="J93" i="21" s="1"/>
  <c r="J68" i="21" s="1"/>
  <c r="D129" i="21"/>
  <c r="I56" i="21"/>
  <c r="I57" i="21" s="1"/>
  <c r="I58" i="21" s="1"/>
  <c r="D132" i="21"/>
  <c r="D134" i="21" s="1"/>
  <c r="J98" i="21"/>
  <c r="J32" i="21" s="1"/>
  <c r="L51" i="21"/>
  <c r="L46" i="21"/>
  <c r="L90" i="21" s="1"/>
  <c r="M45" i="21"/>
  <c r="M89" i="21" s="1"/>
  <c r="M30" i="21"/>
  <c r="L52" i="21"/>
  <c r="L105" i="21"/>
  <c r="L33" i="21" s="1"/>
  <c r="G125" i="21" s="1"/>
  <c r="M102" i="21"/>
  <c r="M104" i="21" s="1"/>
  <c r="K53" i="21"/>
  <c r="K91" i="21"/>
  <c r="K92" i="21" s="1"/>
  <c r="L28" i="21"/>
  <c r="I69" i="21"/>
  <c r="I80" i="21" s="1"/>
  <c r="I82" i="21" s="1"/>
  <c r="K93" i="21" l="1"/>
  <c r="F131" i="21" s="1"/>
  <c r="E131" i="21"/>
  <c r="D135" i="21"/>
  <c r="D138" i="21" s="1"/>
  <c r="J67" i="21"/>
  <c r="E128" i="21" s="1"/>
  <c r="J34" i="21"/>
  <c r="J35" i="21" s="1"/>
  <c r="J99" i="21"/>
  <c r="M51" i="21"/>
  <c r="M46" i="21"/>
  <c r="M90" i="21" s="1"/>
  <c r="L53" i="21"/>
  <c r="L91" i="21"/>
  <c r="L92" i="21" s="1"/>
  <c r="L93" i="21" s="1"/>
  <c r="I44" i="21"/>
  <c r="I48" i="21" s="1"/>
  <c r="I60" i="21" s="1"/>
  <c r="I3" i="21" s="1"/>
  <c r="J81" i="21"/>
  <c r="M105" i="21"/>
  <c r="M33" i="21" s="1"/>
  <c r="H125" i="21" s="1"/>
  <c r="M52" i="21"/>
  <c r="M28" i="21"/>
  <c r="K68" i="21" l="1"/>
  <c r="J37" i="21"/>
  <c r="J38" i="21" s="1"/>
  <c r="E124" i="21"/>
  <c r="E126" i="21" s="1"/>
  <c r="J47" i="21"/>
  <c r="K96" i="21"/>
  <c r="G131" i="21"/>
  <c r="L68" i="21"/>
  <c r="M53" i="21"/>
  <c r="M91" i="21"/>
  <c r="M92" i="21" s="1"/>
  <c r="M93" i="21" s="1"/>
  <c r="D144" i="21"/>
  <c r="A138" i="21"/>
  <c r="K98" i="21" l="1"/>
  <c r="K32" i="21" s="1"/>
  <c r="E127" i="21"/>
  <c r="E132" i="21" s="1"/>
  <c r="E134" i="21" s="1"/>
  <c r="E129" i="21"/>
  <c r="J56" i="21"/>
  <c r="J57" i="21" s="1"/>
  <c r="J58" i="21" s="1"/>
  <c r="J66" i="21"/>
  <c r="J69" i="21" s="1"/>
  <c r="J80" i="21" s="1"/>
  <c r="J82" i="21" s="1"/>
  <c r="K81" i="21" s="1"/>
  <c r="M68" i="21"/>
  <c r="H131" i="21"/>
  <c r="E135" i="21" l="1"/>
  <c r="E139" i="21" s="1"/>
  <c r="E144" i="21" s="1"/>
  <c r="K99" i="21"/>
  <c r="L96" i="21"/>
  <c r="K47" i="21"/>
  <c r="J44" i="21"/>
  <c r="J48" i="21" s="1"/>
  <c r="J60" i="21" s="1"/>
  <c r="J3" i="21" s="1"/>
  <c r="K67" i="21"/>
  <c r="F128" i="21" s="1"/>
  <c r="K34" i="21"/>
  <c r="K35" i="21" s="1"/>
  <c r="A139" i="21" l="1"/>
  <c r="K37" i="21"/>
  <c r="K38" i="21" s="1"/>
  <c r="F124" i="21"/>
  <c r="F126" i="21" s="1"/>
  <c r="L98" i="21"/>
  <c r="L32" i="21" s="1"/>
  <c r="L99" i="21" l="1"/>
  <c r="M96" i="21"/>
  <c r="L47" i="21"/>
  <c r="L67" i="21"/>
  <c r="G128" i="21" s="1"/>
  <c r="L34" i="21"/>
  <c r="L35" i="21" s="1"/>
  <c r="F127" i="21"/>
  <c r="F132" i="21" s="1"/>
  <c r="F134" i="21" s="1"/>
  <c r="F129" i="21"/>
  <c r="K66" i="21"/>
  <c r="K69" i="21" s="1"/>
  <c r="K80" i="21" s="1"/>
  <c r="K82" i="21" s="1"/>
  <c r="K56" i="21"/>
  <c r="K57" i="21" s="1"/>
  <c r="K58" i="21" s="1"/>
  <c r="F135" i="21" l="1"/>
  <c r="F140" i="21" s="1"/>
  <c r="F144" i="21" s="1"/>
  <c r="G124" i="21"/>
  <c r="G126" i="21" s="1"/>
  <c r="L37" i="21"/>
  <c r="L38" i="21" s="1"/>
  <c r="K44" i="21"/>
  <c r="K48" i="21" s="1"/>
  <c r="K60" i="21" s="1"/>
  <c r="K3" i="21" s="1"/>
  <c r="L81" i="21"/>
  <c r="M98" i="21"/>
  <c r="M32" i="21" s="1"/>
  <c r="A140" i="21" l="1"/>
  <c r="M99" i="21"/>
  <c r="M47" i="21" s="1"/>
  <c r="L66" i="21"/>
  <c r="L69" i="21" s="1"/>
  <c r="L80" i="21" s="1"/>
  <c r="L82" i="21" s="1"/>
  <c r="L56" i="21"/>
  <c r="L57" i="21" s="1"/>
  <c r="L58" i="21" s="1"/>
  <c r="G127" i="21"/>
  <c r="G132" i="21" s="1"/>
  <c r="G134" i="21" s="1"/>
  <c r="G129" i="21"/>
  <c r="M67" i="21"/>
  <c r="H128" i="21" s="1"/>
  <c r="M34" i="21"/>
  <c r="M35" i="21" s="1"/>
  <c r="G135" i="21" l="1"/>
  <c r="G141" i="21" s="1"/>
  <c r="A141" i="21" s="1"/>
  <c r="M81" i="21"/>
  <c r="L44" i="21"/>
  <c r="L48" i="21" s="1"/>
  <c r="L60" i="21" s="1"/>
  <c r="L3" i="21" s="1"/>
  <c r="M37" i="21"/>
  <c r="M38" i="21" s="1"/>
  <c r="H124" i="21"/>
  <c r="H126" i="21" s="1"/>
  <c r="G144" i="21" l="1"/>
  <c r="M56" i="21"/>
  <c r="M57" i="21" s="1"/>
  <c r="M58" i="21" s="1"/>
  <c r="M66" i="21"/>
  <c r="M69" i="21" s="1"/>
  <c r="M80" i="21" s="1"/>
  <c r="M82" i="21" s="1"/>
  <c r="M44" i="21" s="1"/>
  <c r="M48" i="21" s="1"/>
  <c r="H127" i="21"/>
  <c r="H132" i="21" s="1"/>
  <c r="H134" i="21" s="1"/>
  <c r="H129" i="21"/>
  <c r="M123" i="21" l="1"/>
  <c r="M124" i="21" s="1"/>
  <c r="I133" i="21" s="1"/>
  <c r="I134" i="21" s="1"/>
  <c r="C147" i="21" s="1"/>
  <c r="H135" i="21"/>
  <c r="H142" i="21" s="1"/>
  <c r="A142" i="21" s="1"/>
  <c r="M60" i="21"/>
  <c r="M3" i="21" s="1"/>
  <c r="H143" i="21" l="1"/>
  <c r="A143" i="21" s="1"/>
  <c r="I135" i="21"/>
  <c r="K150" i="21" s="1"/>
  <c r="C150" i="21"/>
  <c r="H144" i="21" l="1"/>
  <c r="K148" i="21"/>
  <c r="K149" i="21" s="1"/>
  <c r="C152" i="21"/>
  <c r="K172" i="21" s="1"/>
  <c r="A144" i="21"/>
  <c r="B143" i="21" s="1"/>
  <c r="C180" i="21" l="1"/>
  <c r="D180" i="21"/>
  <c r="F180" i="21" s="1"/>
  <c r="E172" i="21"/>
  <c r="H172" i="21"/>
  <c r="B161" i="21"/>
  <c r="B172" i="21"/>
  <c r="B141" i="21"/>
  <c r="B142" i="21"/>
  <c r="B138" i="21"/>
  <c r="B140" i="21"/>
  <c r="B139" i="21"/>
  <c r="C179" i="21" l="1"/>
  <c r="D179" i="21"/>
  <c r="F179" i="21" s="1"/>
  <c r="C178" i="21"/>
  <c r="D178" i="21"/>
  <c r="F178" i="21" s="1"/>
  <c r="C177" i="21"/>
  <c r="D177" i="21"/>
  <c r="B144" i="21"/>
  <c r="F177" i="21" l="1"/>
  <c r="G178" i="21" s="1"/>
  <c r="H178" i="21" s="1"/>
  <c r="J178" i="21" l="1"/>
  <c r="K178" i="21"/>
  <c r="G177" i="21"/>
  <c r="H177" i="21" s="1"/>
  <c r="G180" i="21"/>
  <c r="H180" i="21" s="1"/>
  <c r="G179" i="21"/>
  <c r="H179" i="21" s="1"/>
  <c r="J180" i="21" l="1"/>
  <c r="K180" i="21"/>
  <c r="J179" i="21"/>
  <c r="K179" i="21"/>
  <c r="J177" i="21"/>
  <c r="K177" i="21"/>
</calcChain>
</file>

<file path=xl/sharedStrings.xml><?xml version="1.0" encoding="utf-8"?>
<sst xmlns="http://schemas.openxmlformats.org/spreadsheetml/2006/main" count="156" uniqueCount="139">
  <si>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</si>
  <si>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</si>
  <si>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</si>
  <si>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</si>
  <si>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</si>
  <si>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</si>
  <si>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</si>
  <si>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</si>
  <si>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</si>
  <si>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</si>
  <si>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</si>
  <si>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</si>
  <si>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</si>
  <si>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</si>
  <si>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</si>
  <si>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</si>
  <si>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</si>
  <si>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</si>
  <si>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</si>
  <si>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</si>
  <si>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</si>
  <si>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</si>
  <si>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</si>
  <si>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</si>
  <si>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</si>
  <si>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</si>
  <si>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</si>
  <si>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</si>
  <si>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</si>
  <si>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</si>
  <si>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</si>
  <si>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</si>
  <si>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</si>
  <si>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</si>
  <si>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</si>
  <si>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</si>
  <si>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</si>
  <si>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</si>
  <si>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</si>
  <si>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</si>
  <si>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</si>
  <si>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</si>
  <si>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</si>
  <si>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</si>
  <si>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</si>
  <si>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</si>
  <si>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</si>
  <si>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</si>
  <si>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</si>
  <si>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</si>
  <si>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</si>
  <si>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</si>
  <si>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</si>
  <si>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</si>
  <si>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</si>
  <si>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</si>
  <si>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</si>
  <si>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</si>
  <si>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</si>
  <si>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</si>
  <si>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</si>
  <si>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</si>
  <si>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</si>
  <si>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</si>
  <si>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</si>
  <si>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</si>
  <si>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</si>
  <si>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</si>
  <si>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</si>
  <si>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</si>
  <si>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</si>
  <si>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</si>
  <si>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</si>
  <si>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</si>
  <si>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</si>
  <si>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</si>
  <si>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</si>
  <si>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</si>
  <si>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</si>
  <si>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</si>
  <si>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</si>
  <si>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</si>
  <si>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</si>
  <si>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</si>
  <si>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</si>
  <si>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</si>
  <si>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</si>
  <si>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</si>
  <si>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</si>
  <si>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</si>
  <si>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</si>
  <si>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</si>
  <si>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</si>
  <si>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</si>
  <si>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</si>
  <si>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</si>
  <si>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</si>
  <si>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</si>
  <si>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</si>
  <si>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</si>
  <si>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</si>
  <si>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</si>
  <si>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</si>
  <si>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</si>
  <si>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</si>
  <si>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</si>
  <si>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</si>
  <si>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</si>
  <si>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</si>
  <si>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</si>
  <si>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</si>
  <si>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</si>
  <si>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</si>
  <si>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</si>
  <si>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</si>
  <si>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</si>
  <si>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</si>
  <si>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</si>
  <si>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</si>
  <si>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</si>
  <si>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LIVE SCENARIO</t>
  </si>
  <si>
    <t>Share Price Senstivity</t>
  </si>
  <si>
    <t>© Corporate Finance Institute. All rights reserved.</t>
  </si>
  <si>
    <t>Revenue Growth</t>
  </si>
  <si>
    <t>Change</t>
  </si>
  <si>
    <t>Driver</t>
  </si>
  <si>
    <t>-5% Δ</t>
  </si>
  <si>
    <t>Rank</t>
  </si>
  <si>
    <t>Pos</t>
  </si>
  <si>
    <t>Neg</t>
  </si>
  <si>
    <t>Output</t>
  </si>
  <si>
    <t>Revenue Growth +/-5%</t>
  </si>
  <si>
    <t>Impact on Share Price By Change in Assumption</t>
  </si>
  <si>
    <t>Assumption</t>
  </si>
  <si>
    <t>+5% Δ</t>
  </si>
  <si>
    <t>COGS +/-5%</t>
  </si>
  <si>
    <t>Discount Rate +/-5%</t>
  </si>
  <si>
    <t>ABS</t>
  </si>
  <si>
    <t>EV/EBITDA +/-5%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</si>
</sst>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_-* #,##0.00_-;\(#,##0.00\)_-;_-* &quot;-&quot;_-;_-@_-"/>
    <numFmt numFmtId="172" formatCode="&quot;+&quot;0.0%;&quot;-&quot;0.0%;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165" fontId="5" fillId="0" borderId="0" xfId="1" applyNumberFormat="1" applyFont="1" applyFill="1" applyProtection="1">
      <protection locked="0"/>
    </xf>
    <xf numFmtId="169" fontId="2" fillId="0" borderId="0" xfId="1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9" fontId="2" fillId="0" borderId="0" xfId="1" applyNumberFormat="1" applyFont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7" fontId="2" fillId="0" borderId="0" xfId="2" applyNumberFormat="1" applyFont="1" applyAlignment="1" applyProtection="1">
      <alignment horizontal="right"/>
      <protection locked="0"/>
    </xf>
    <xf numFmtId="167" fontId="2" fillId="0" borderId="0" xfId="2" applyNumberFormat="1" applyFont="1" applyProtection="1">
      <protection locked="0"/>
    </xf>
    <xf numFmtId="9" fontId="2" fillId="0" borderId="0" xfId="2" applyFont="1" applyBorder="1" applyProtection="1">
      <protection locked="0"/>
    </xf>
    <xf numFmtId="9" fontId="5" fillId="0" borderId="0" xfId="2" applyFont="1" applyBorder="1" applyAlignment="1" applyProtection="1">
      <alignment horizontal="centerContinuous"/>
      <protection locked="0"/>
    </xf>
    <xf numFmtId="0" fontId="2" fillId="0" borderId="0" xfId="0" applyFont="1" applyBorder="1" applyAlignment="1" applyProtection="1">
      <alignment horizontal="centerContinuous"/>
      <protection locked="0"/>
    </xf>
    <xf numFmtId="0" fontId="2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9" fontId="8" fillId="0" borderId="3" xfId="2" applyFont="1" applyBorder="1" applyProtection="1">
      <protection locked="0"/>
    </xf>
    <xf numFmtId="167" fontId="5" fillId="0" borderId="3" xfId="0" applyNumberFormat="1" applyFont="1" applyBorder="1" applyProtection="1">
      <protection locked="0"/>
    </xf>
    <xf numFmtId="0" fontId="5" fillId="0" borderId="5" xfId="0" applyFont="1" applyBorder="1" applyProtection="1">
      <protection locked="0"/>
    </xf>
    <xf numFmtId="171" fontId="2" fillId="0" borderId="0" xfId="1" applyNumberFormat="1" applyFont="1" applyProtection="1">
      <protection locked="0"/>
    </xf>
    <xf numFmtId="0" fontId="2" fillId="0" borderId="5" xfId="0" applyFont="1" applyBorder="1" applyProtection="1">
      <protection locked="0"/>
    </xf>
    <xf numFmtId="171" fontId="2" fillId="4" borderId="0" xfId="1" applyNumberFormat="1" applyFont="1" applyFill="1" applyBorder="1" applyProtection="1">
      <protection locked="0"/>
    </xf>
    <xf numFmtId="171" fontId="2" fillId="3" borderId="0" xfId="1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70" fontId="10" fillId="0" borderId="0" xfId="1" applyNumberFormat="1" applyFont="1" applyBorder="1" applyAlignment="1" applyProtection="1">
      <alignment horizontal="center"/>
      <protection locked="0"/>
    </xf>
    <xf numFmtId="9" fontId="2" fillId="0" borderId="0" xfId="2" applyFont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72" fontId="9" fillId="0" borderId="0" xfId="2" applyNumberFormat="1" applyFont="1" applyAlignment="1" applyProtection="1">
      <alignment horizontal="center"/>
      <protection locked="0"/>
    </xf>
    <xf numFmtId="39" fontId="10" fillId="0" borderId="0" xfId="0" applyNumberFormat="1" applyFont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72" fontId="2" fillId="0" borderId="0" xfId="2" applyNumberFormat="1" applyFont="1" applyAlignment="1" applyProtection="1">
      <alignment horizontal="center"/>
      <protection locked="0"/>
    </xf>
    <xf numFmtId="39" fontId="2" fillId="0" borderId="0" xfId="1" applyNumberFormat="1" applyFont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9" fontId="2" fillId="0" borderId="0" xfId="2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right"/>
      <protection locked="0"/>
    </xf>
    <xf numFmtId="9" fontId="2" fillId="0" borderId="0" xfId="2" applyFont="1" applyBorder="1" applyAlignment="1" applyProtection="1">
      <alignment horizontal="right"/>
      <protection locked="0"/>
    </xf>
    <xf numFmtId="165" fontId="2" fillId="0" borderId="0" xfId="1" applyNumberFormat="1" applyFont="1" applyBorder="1" applyAlignment="1" applyProtection="1">
      <alignment horizontal="left"/>
      <protection locked="0"/>
    </xf>
    <xf numFmtId="9" fontId="2" fillId="0" borderId="0" xfId="2" applyFont="1" applyAlignment="1" applyProtection="1">
      <alignment horizontal="center"/>
      <protection locked="0"/>
    </xf>
    <xf numFmtId="165" fontId="2" fillId="0" borderId="0" xfId="1" applyNumberFormat="1" applyFont="1" applyAlignment="1" applyProtection="1">
      <alignment horizontal="right"/>
      <protection locked="0"/>
    </xf>
    <xf numFmtId="165" fontId="2" fillId="0" borderId="0" xfId="1" applyNumberFormat="1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165" fontId="3" fillId="0" borderId="0" xfId="1" applyNumberFormat="1" applyFont="1" applyAlignment="1" applyProtection="1">
      <protection locked="0"/>
    </xf>
    <xf numFmtId="165" fontId="6" fillId="0" borderId="0" xfId="1" applyNumberFormat="1" applyFont="1" applyAlignment="1" applyProtection="1">
      <alignment horizontal="right"/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7" fillId="0" borderId="2" xfId="1" applyNumberFormat="1" applyFont="1" applyFill="1" applyBorder="1" applyProtection="1"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5" fontId="9" fillId="0" borderId="1" xfId="1" applyNumberFormat="1" applyFont="1" applyBorder="1" applyProtection="1">
      <protection locked="0"/>
    </xf>
    <xf numFmtId="165" fontId="10" fillId="0" borderId="1" xfId="1" applyNumberFormat="1" applyFont="1" applyBorder="1" applyProtection="1"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165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2" fillId="0" borderId="0" xfId="1" applyNumberFormat="1" applyFont="1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7" fillId="0" borderId="3" xfId="1" applyNumberFormat="1" applyFont="1" applyBorder="1" applyProtection="1"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Border="1" applyProtection="1">
      <protection locked="0"/>
    </xf>
    <xf numFmtId="165" fontId="10" fillId="0" borderId="2" xfId="1" applyNumberFormat="1" applyFont="1" applyBorder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2" xfId="1" applyNumberFormat="1" applyFont="1" applyBorder="1" applyProtection="1">
      <protection locked="0"/>
    </xf>
    <xf numFmtId="9" fontId="9" fillId="0" borderId="2" xfId="2" applyFont="1" applyBorder="1" applyAlignment="1" applyProtection="1">
      <alignment horizontal="right"/>
      <protection locked="0"/>
    </xf>
    <xf numFmtId="9" fontId="9" fillId="0" borderId="0" xfId="2" applyFont="1" applyAlignment="1" applyProtection="1">
      <alignment horizontal="right"/>
      <protection locked="0"/>
    </xf>
    <xf numFmtId="14" fontId="9" fillId="0" borderId="0" xfId="1" applyNumberFormat="1" applyFont="1" applyProtection="1">
      <protection locked="0"/>
    </xf>
    <xf numFmtId="164" fontId="9" fillId="0" borderId="0" xfId="1" applyFont="1" applyAlignment="1" applyProtection="1">
      <alignment horizontal="right"/>
      <protection locked="0"/>
    </xf>
    <xf numFmtId="168" fontId="9" fillId="0" borderId="0" xfId="1" applyNumberFormat="1" applyFont="1" applyAlignment="1" applyProtection="1">
      <alignment horizontal="right"/>
      <protection locked="0"/>
    </xf>
    <xf numFmtId="165" fontId="5" fillId="0" borderId="0" xfId="1" applyNumberFormat="1" applyFont="1" applyFill="1" applyAlignment="1" applyProtection="1">
      <alignment horizontal="right"/>
      <protection locked="0"/>
    </xf>
    <xf numFmtId="0" fontId="5" fillId="0" borderId="0" xfId="1" applyNumberFormat="1" applyFont="1" applyFill="1" applyProtection="1">
      <protection locked="0"/>
    </xf>
    <xf numFmtId="14" fontId="6" fillId="0" borderId="2" xfId="1" applyNumberFormat="1" applyFont="1" applyBorder="1" applyProtection="1">
      <protection locked="0"/>
    </xf>
    <xf numFmtId="165" fontId="2" fillId="2" borderId="2" xfId="1" applyNumberFormat="1" applyFont="1" applyFill="1" applyBorder="1" applyProtection="1">
      <protection locked="0"/>
    </xf>
    <xf numFmtId="14" fontId="6" fillId="0" borderId="0" xfId="1" applyNumberFormat="1" applyFont="1" applyBorder="1" applyProtection="1">
      <protection locked="0"/>
    </xf>
    <xf numFmtId="169" fontId="2" fillId="0" borderId="2" xfId="1" applyNumberFormat="1" applyFont="1" applyBorder="1" applyProtection="1">
      <protection locked="0"/>
    </xf>
    <xf numFmtId="9" fontId="2" fillId="0" borderId="2" xfId="2" applyFont="1" applyBorder="1" applyProtection="1">
      <protection locked="0"/>
    </xf>
    <xf numFmtId="164" fontId="2" fillId="0" borderId="2" xfId="2" applyNumberFormat="1" applyFont="1" applyBorder="1" applyProtection="1">
      <protection locked="0"/>
    </xf>
    <xf numFmtId="164" fontId="2" fillId="0" borderId="0" xfId="1" applyFont="1" applyProtection="1">
      <protection locked="0"/>
    </xf>
    <xf numFmtId="171" fontId="5" fillId="0" borderId="0" xfId="1" applyNumberFormat="1" applyFont="1" applyProtection="1">
      <protection locked="0"/>
    </xf>
    <xf numFmtId="165" fontId="2" fillId="0" borderId="0" xfId="1" applyNumberFormat="1" applyFont="1" applyProtection="1"/>
    <xf numFmtId="165" fontId="10" fillId="0" borderId="2" xfId="1" applyNumberFormat="1" applyFont="1" applyBorder="1" applyProtection="1"/>
    <xf numFmtId="169" fontId="2" fillId="0" borderId="0" xfId="1" applyNumberFormat="1" applyFont="1" applyProtection="1"/>
    <xf numFmtId="43" fontId="2" fillId="0" borderId="0" xfId="1" applyNumberFormat="1" applyFont="1" applyProtection="1"/>
    <xf numFmtId="165" fontId="10" fillId="0" borderId="0" xfId="1" applyNumberFormat="1" applyFont="1" applyFill="1" applyProtection="1"/>
    <xf numFmtId="165" fontId="2" fillId="0" borderId="2" xfId="1" applyNumberFormat="1" applyFont="1" applyBorder="1" applyProtection="1"/>
    <xf numFmtId="167" fontId="8" fillId="0" borderId="6" xfId="2" applyNumberFormat="1" applyFont="1" applyBorder="1" applyAlignment="1" applyProtection="1">
      <alignment horizontal="center"/>
      <protection locked="0"/>
    </xf>
    <xf numFmtId="167" fontId="5" fillId="0" borderId="6" xfId="0" applyNumberFormat="1" applyFont="1" applyBorder="1" applyAlignment="1" applyProtection="1">
      <alignment horizontal="center"/>
      <protection locked="0"/>
    </xf>
    <xf numFmtId="165" fontId="2" fillId="5" borderId="0" xfId="1" applyNumberFormat="1" applyFont="1" applyFill="1" applyAlignment="1" applyProtection="1">
      <alignment horizontal="left"/>
      <protection locked="0"/>
    </xf>
    <xf numFmtId="165" fontId="12" fillId="7" borderId="0" xfId="1" applyNumberFormat="1" applyFont="1" applyFill="1" applyProtection="1">
      <protection locked="0"/>
    </xf>
    <xf numFmtId="165" fontId="2" fillId="7" borderId="0" xfId="1" applyNumberFormat="1" applyFont="1" applyFill="1" applyProtection="1">
      <protection locked="0"/>
    </xf>
    <xf numFmtId="165" fontId="2" fillId="7" borderId="0" xfId="1" applyNumberFormat="1" applyFont="1" applyFill="1" applyAlignment="1" applyProtection="1">
      <alignment horizontal="center"/>
      <protection locked="0"/>
    </xf>
    <xf numFmtId="165" fontId="14" fillId="7" borderId="0" xfId="1" applyNumberFormat="1" applyFont="1" applyFill="1" applyAlignment="1" applyProtection="1">
      <protection locked="0"/>
    </xf>
    <xf numFmtId="165" fontId="4" fillId="7" borderId="0" xfId="1" applyNumberFormat="1" applyFont="1" applyFill="1" applyAlignment="1" applyProtection="1">
      <protection locked="0"/>
    </xf>
    <xf numFmtId="165" fontId="4" fillId="7" borderId="0" xfId="1" applyNumberFormat="1" applyFont="1" applyFill="1" applyAlignment="1" applyProtection="1">
      <alignment horizontal="center"/>
      <protection locked="0"/>
    </xf>
    <xf numFmtId="165" fontId="13" fillId="7" borderId="0" xfId="1" applyNumberFormat="1" applyFont="1" applyFill="1" applyAlignment="1" applyProtection="1">
      <alignment horizontal="centerContinuous"/>
      <protection locked="0"/>
    </xf>
    <xf numFmtId="165" fontId="11" fillId="7" borderId="0" xfId="1" applyNumberFormat="1" applyFont="1" applyFill="1" applyAlignment="1" applyProtection="1">
      <alignment horizontal="centerContinuous"/>
      <protection locked="0"/>
    </xf>
    <xf numFmtId="0" fontId="4" fillId="7" borderId="0" xfId="1" applyNumberFormat="1" applyFont="1" applyFill="1" applyAlignment="1" applyProtection="1">
      <protection locked="0"/>
    </xf>
    <xf numFmtId="165" fontId="13" fillId="8" borderId="0" xfId="1" applyNumberFormat="1" applyFont="1" applyFill="1" applyAlignment="1" applyProtection="1">
      <alignment horizontal="centerContinuous"/>
      <protection locked="0"/>
    </xf>
    <xf numFmtId="165" fontId="11" fillId="8" borderId="0" xfId="1" applyNumberFormat="1" applyFont="1" applyFill="1" applyAlignment="1" applyProtection="1">
      <alignment horizontal="centerContinuous"/>
      <protection locked="0"/>
    </xf>
    <xf numFmtId="0" fontId="4" fillId="8" borderId="0" xfId="1" applyNumberFormat="1" applyFont="1" applyFill="1" applyAlignment="1" applyProtection="1">
      <protection locked="0"/>
    </xf>
    <xf numFmtId="165" fontId="14" fillId="9" borderId="0" xfId="1" applyNumberFormat="1" applyFont="1" applyFill="1" applyBorder="1" applyProtection="1">
      <protection locked="0"/>
    </xf>
    <xf numFmtId="165" fontId="11" fillId="9" borderId="0" xfId="1" applyNumberFormat="1" applyFont="1" applyFill="1" applyBorder="1" applyProtection="1">
      <protection locked="0"/>
    </xf>
    <xf numFmtId="165" fontId="11" fillId="9" borderId="0" xfId="1" applyNumberFormat="1" applyFont="1" applyFill="1" applyBorder="1" applyAlignment="1" applyProtection="1">
      <alignment horizontal="center"/>
      <protection locked="0"/>
    </xf>
    <xf numFmtId="0" fontId="13" fillId="8" borderId="0" xfId="0" applyFont="1" applyFill="1" applyBorder="1" applyProtection="1">
      <protection locked="0"/>
    </xf>
    <xf numFmtId="0" fontId="11" fillId="8" borderId="0" xfId="0" applyFont="1" applyFill="1" applyBorder="1" applyProtection="1">
      <protection locked="0"/>
    </xf>
    <xf numFmtId="165" fontId="13" fillId="8" borderId="0" xfId="1" applyNumberFormat="1" applyFont="1" applyFill="1" applyBorder="1" applyProtection="1">
      <protection locked="0"/>
    </xf>
    <xf numFmtId="165" fontId="11" fillId="8" borderId="0" xfId="1" applyNumberFormat="1" applyFont="1" applyFill="1" applyBorder="1" applyProtection="1">
      <protection locked="0"/>
    </xf>
    <xf numFmtId="167" fontId="13" fillId="8" borderId="0" xfId="2" applyNumberFormat="1" applyFont="1" applyFill="1" applyBorder="1" applyProtection="1">
      <protection locked="0"/>
    </xf>
    <xf numFmtId="9" fontId="13" fillId="8" borderId="0" xfId="2" quotePrefix="1" applyFont="1" applyFill="1" applyBorder="1" applyAlignment="1" applyProtection="1">
      <alignment horizontal="center"/>
      <protection locked="0"/>
    </xf>
    <xf numFmtId="165" fontId="13" fillId="8" borderId="0" xfId="1" applyNumberFormat="1" applyFont="1" applyFill="1" applyBorder="1" applyAlignment="1" applyProtection="1">
      <alignment horizontal="center"/>
      <protection locked="0"/>
    </xf>
    <xf numFmtId="165" fontId="13" fillId="8" borderId="0" xfId="1" applyNumberFormat="1" applyFont="1" applyFill="1" applyBorder="1" applyAlignment="1" applyProtection="1">
      <alignment horizontal="right"/>
      <protection locked="0"/>
    </xf>
    <xf numFmtId="167" fontId="13" fillId="8" borderId="0" xfId="2" applyNumberFormat="1" applyFont="1" applyFill="1" applyBorder="1" applyAlignment="1" applyProtection="1">
      <alignment horizontal="right"/>
      <protection locked="0"/>
    </xf>
    <xf numFmtId="0" fontId="13" fillId="8" borderId="0" xfId="0" applyFont="1" applyFill="1" applyBorder="1" applyAlignment="1" applyProtection="1">
      <alignment horizontal="left"/>
      <protection locked="0"/>
    </xf>
    <xf numFmtId="0" fontId="11" fillId="8" borderId="0" xfId="0" applyFont="1" applyFill="1" applyBorder="1" applyAlignment="1" applyProtection="1">
      <alignment horizontal="left"/>
      <protection locked="0"/>
    </xf>
    <xf numFmtId="0" fontId="13" fillId="8" borderId="0" xfId="0" applyFont="1" applyFill="1" applyBorder="1" applyAlignment="1" applyProtection="1">
      <alignment horizontal="right"/>
      <protection locked="0"/>
    </xf>
    <xf numFmtId="167" fontId="13" fillId="8" borderId="0" xfId="2" applyNumberFormat="1" applyFont="1" applyFill="1" applyBorder="1" applyAlignment="1" applyProtection="1">
      <alignment horizontal="centerContinuous"/>
      <protection locked="0"/>
    </xf>
    <xf numFmtId="171" fontId="5" fillId="10" borderId="0" xfId="1" applyNumberFormat="1" applyFont="1" applyFill="1" applyProtection="1">
      <protection locked="0"/>
    </xf>
    <xf numFmtId="167" fontId="9" fillId="0" borderId="0" xfId="2" applyNumberFormat="1" applyFont="1" applyAlignment="1" applyProtection="1">
      <alignment horizontal="center"/>
      <protection locked="0"/>
    </xf>
    <xf numFmtId="167" fontId="9" fillId="6" borderId="2" xfId="2" applyNumberFormat="1" applyFont="1" applyFill="1" applyBorder="1" applyProtection="1">
      <protection locked="0"/>
    </xf>
    <xf numFmtId="170" fontId="9" fillId="6" borderId="0" xfId="1" applyNumberFormat="1" applyFont="1" applyFill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Model'!$J$176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Model'!$H$177:$H$180</c:f>
              <c:strCache>
                <c:ptCount val="4"/>
                <c:pt idx="0">
                  <c:v> Discount Rate +/-5% </c:v>
                </c:pt>
                <c:pt idx="1">
                  <c:v> EV/EBITDA +/-5% </c:v>
                </c:pt>
                <c:pt idx="2">
                  <c:v> COGS +/-5% </c:v>
                </c:pt>
                <c:pt idx="3">
                  <c:v> Revenue Growth +/-5% </c:v>
                </c:pt>
              </c:strCache>
            </c:strRef>
          </c:cat>
          <c:val>
            <c:numRef>
              <c:f>'DCF &amp; Sensitivity Model'!$J$177:$J$180</c:f>
              <c:numCache>
                <c:formatCode>0%</c:formatCode>
                <c:ptCount val="4"/>
                <c:pt idx="0">
                  <c:v>-1.9707238748442935E-2</c:v>
                </c:pt>
                <c:pt idx="1">
                  <c:v>3.0899739116128089E-2</c:v>
                </c:pt>
                <c:pt idx="2">
                  <c:v>-5.6355084575222758E-2</c:v>
                </c:pt>
                <c:pt idx="3">
                  <c:v>0.24887269823313107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493B-9B79-5433D3CD670D}"/>
            </c:ext>
          </c:extLst>
        </c:ser>
        <c:ser>
          <c:idx val="1"/>
          <c:order val="1"/>
          <c:tx>
            <c:strRef>
              <c:f>'DCF &amp; Sensitivity Model'!$K$176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Model'!$H$177:$H$180</c:f>
              <c:strCache>
                <c:ptCount val="4"/>
                <c:pt idx="0">
                  <c:v> Discount Rate +/-5% </c:v>
                </c:pt>
                <c:pt idx="1">
                  <c:v> EV/EBITDA +/-5% </c:v>
                </c:pt>
                <c:pt idx="2">
                  <c:v> COGS +/-5% </c:v>
                </c:pt>
                <c:pt idx="3">
                  <c:v> Revenue Growth +/-5% </c:v>
                </c:pt>
              </c:strCache>
            </c:strRef>
          </c:cat>
          <c:val>
            <c:numRef>
              <c:f>'DCF &amp; Sensitivity Model'!$K$177:$K$180</c:f>
              <c:numCache>
                <c:formatCode>0%</c:formatCode>
                <c:ptCount val="4"/>
                <c:pt idx="0">
                  <c:v>2.0328149383004535E-2</c:v>
                </c:pt>
                <c:pt idx="1">
                  <c:v>-3.0899739116128533E-2</c:v>
                </c:pt>
                <c:pt idx="2">
                  <c:v>5.6355084575222758E-2</c:v>
                </c:pt>
                <c:pt idx="3">
                  <c:v>-0.20688449978622081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A-493B-9B79-5433D3CD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183</xdr:row>
      <xdr:rowOff>66675</xdr:rowOff>
    </xdr:from>
    <xdr:to>
      <xdr:col>8</xdr:col>
      <xdr:colOff>762000</xdr:colOff>
      <xdr:row>196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showGridLines="0" tabSelected="1" zoomScaleNormal="100" workbookViewId="0">
      <pane ySplit="4" topLeftCell="A5" activePane="bottomLeft" state="frozen"/>
      <selection pane="bottomLeft" activeCell="G178" sqref="G178"/>
    </sheetView>
  </sheetViews>
  <sheetFormatPr defaultColWidth="9.140625" defaultRowHeight="15.75" outlineLevelRow="1" x14ac:dyDescent="0.25"/>
  <cols>
    <col min="1" max="1" width="12.85546875" style="8" customWidth="1"/>
    <col min="2" max="2" width="12.42578125" style="8" customWidth="1"/>
    <col min="3" max="3" width="11.140625" style="10" customWidth="1"/>
    <col min="4" max="13" width="11.42578125" style="8" customWidth="1"/>
    <col min="14" max="16384" width="9.140625" style="8"/>
  </cols>
  <sheetData>
    <row r="1" spans="1:16" x14ac:dyDescent="0.25">
      <c r="A1" s="112" t="s">
        <v>122</v>
      </c>
      <c r="B1" s="113"/>
      <c r="C1" s="114"/>
      <c r="D1" s="121" t="s">
        <v>56</v>
      </c>
      <c r="E1" s="122"/>
      <c r="F1" s="122"/>
      <c r="G1" s="122"/>
      <c r="H1" s="122"/>
      <c r="I1" s="118" t="s">
        <v>71</v>
      </c>
      <c r="J1" s="119"/>
      <c r="K1" s="119"/>
      <c r="L1" s="119"/>
      <c r="M1" s="119"/>
    </row>
    <row r="2" spans="1:16" ht="21" customHeight="1" x14ac:dyDescent="0.3">
      <c r="A2" s="115" t="s">
        <v>57</v>
      </c>
      <c r="B2" s="116"/>
      <c r="C2" s="117"/>
      <c r="D2" s="123">
        <v>2011</v>
      </c>
      <c r="E2" s="123">
        <f>+D2+1</f>
        <v>2012</v>
      </c>
      <c r="F2" s="123">
        <f t="shared" ref="F2:M2" si="0">+E2+1</f>
        <v>2013</v>
      </c>
      <c r="G2" s="123">
        <f t="shared" si="0"/>
        <v>2014</v>
      </c>
      <c r="H2" s="123">
        <f t="shared" si="0"/>
        <v>2015</v>
      </c>
      <c r="I2" s="120">
        <f t="shared" si="0"/>
        <v>2016</v>
      </c>
      <c r="J2" s="120">
        <f t="shared" si="0"/>
        <v>2017</v>
      </c>
      <c r="K2" s="120">
        <f t="shared" si="0"/>
        <v>2018</v>
      </c>
      <c r="L2" s="120">
        <f t="shared" si="0"/>
        <v>2019</v>
      </c>
      <c r="M2" s="120">
        <f t="shared" si="0"/>
        <v>2020</v>
      </c>
      <c r="N2" s="44"/>
      <c r="O2" s="44"/>
      <c r="P2" s="44"/>
    </row>
    <row r="3" spans="1:16" x14ac:dyDescent="0.25">
      <c r="A3" s="8" t="s">
        <v>72</v>
      </c>
      <c r="D3" s="45" t="str">
        <f t="shared" ref="D3:H3" si="1">IFERROR(IF(ABS(D60)&gt;1,"ERROR","OK"),"OK")</f>
        <v>OK</v>
      </c>
      <c r="E3" s="45" t="str">
        <f t="shared" si="1"/>
        <v>OK</v>
      </c>
      <c r="F3" s="45" t="str">
        <f t="shared" si="1"/>
        <v>OK</v>
      </c>
      <c r="G3" s="45" t="str">
        <f t="shared" si="1"/>
        <v>OK</v>
      </c>
      <c r="H3" s="45" t="str">
        <f t="shared" si="1"/>
        <v>OK</v>
      </c>
      <c r="I3" s="45" t="str">
        <f>IFERROR(IF(ABS(I60)&gt;1,"ERROR","OK"),"OK")</f>
        <v>OK</v>
      </c>
      <c r="J3" s="45" t="str">
        <f t="shared" ref="J3:M3" si="2">IFERROR(IF(ABS(J60)&gt;1,"ERROR","OK"),"OK")</f>
        <v>OK</v>
      </c>
      <c r="K3" s="45" t="str">
        <f t="shared" si="2"/>
        <v>OK</v>
      </c>
      <c r="L3" s="45" t="str">
        <f t="shared" si="2"/>
        <v>OK</v>
      </c>
      <c r="M3" s="45" t="str">
        <f t="shared" si="2"/>
        <v>OK</v>
      </c>
    </row>
    <row r="4" spans="1:16" x14ac:dyDescent="0.25">
      <c r="D4" s="45"/>
      <c r="E4" s="45"/>
      <c r="F4" s="45"/>
      <c r="G4" s="45"/>
      <c r="H4" s="45"/>
      <c r="I4" s="45"/>
      <c r="J4"/>
      <c r="K4" s="45"/>
      <c r="L4" s="45"/>
      <c r="M4" s="45"/>
    </row>
    <row r="6" spans="1:16" ht="20.25" x14ac:dyDescent="0.3">
      <c r="A6" s="124" t="s">
        <v>73</v>
      </c>
      <c r="B6" s="125"/>
      <c r="C6" s="126"/>
      <c r="D6" s="125"/>
      <c r="E6" s="125"/>
      <c r="F6" s="125"/>
      <c r="G6" s="125"/>
      <c r="H6" s="125"/>
      <c r="I6" s="125"/>
      <c r="J6" s="125"/>
      <c r="K6" s="125"/>
      <c r="L6" s="125"/>
      <c r="M6" s="125"/>
    </row>
    <row r="7" spans="1:16" outlineLevel="1" x14ac:dyDescent="0.25">
      <c r="D7" s="46"/>
      <c r="E7" s="46"/>
      <c r="F7" s="46"/>
      <c r="G7" s="46"/>
      <c r="H7" s="46"/>
      <c r="I7" s="47"/>
      <c r="J7" s="47"/>
      <c r="K7" s="47"/>
      <c r="L7" s="47"/>
      <c r="M7" s="47"/>
    </row>
    <row r="8" spans="1:16" outlineLevel="1" x14ac:dyDescent="0.25">
      <c r="A8" s="9" t="s">
        <v>120</v>
      </c>
      <c r="D8" s="46"/>
      <c r="E8" s="46"/>
      <c r="F8" s="46"/>
      <c r="G8" s="46"/>
      <c r="H8" s="46"/>
      <c r="I8" s="47"/>
      <c r="J8" s="47"/>
      <c r="K8" s="47"/>
      <c r="L8" s="47"/>
      <c r="M8" s="47"/>
    </row>
    <row r="9" spans="1:16" outlineLevel="1" x14ac:dyDescent="0.25">
      <c r="A9" s="5" t="s">
        <v>62</v>
      </c>
      <c r="B9" s="48"/>
      <c r="C9" s="49"/>
      <c r="D9" s="50"/>
      <c r="E9" s="3"/>
      <c r="F9" s="3"/>
      <c r="G9" s="3"/>
      <c r="H9" s="3"/>
      <c r="I9" s="142">
        <v>0.1</v>
      </c>
      <c r="J9" s="3">
        <f>$I9</f>
        <v>0.1</v>
      </c>
      <c r="K9" s="3">
        <f t="shared" ref="K9:M11" si="3">$I9</f>
        <v>0.1</v>
      </c>
      <c r="L9" s="3">
        <f t="shared" si="3"/>
        <v>0.1</v>
      </c>
      <c r="M9" s="3">
        <f t="shared" si="3"/>
        <v>0.1</v>
      </c>
    </row>
    <row r="10" spans="1:16" outlineLevel="1" x14ac:dyDescent="0.25">
      <c r="A10" s="7" t="s">
        <v>58</v>
      </c>
      <c r="B10" s="7"/>
      <c r="C10" s="51"/>
      <c r="D10" s="52"/>
      <c r="E10" s="52"/>
      <c r="F10" s="52"/>
      <c r="G10" s="52"/>
      <c r="H10" s="52"/>
      <c r="I10" s="53">
        <v>0.42</v>
      </c>
      <c r="J10" s="52">
        <f t="shared" ref="J10:M16" si="4">$I10</f>
        <v>0.42</v>
      </c>
      <c r="K10" s="52">
        <f t="shared" si="3"/>
        <v>0.42</v>
      </c>
      <c r="L10" s="52">
        <f t="shared" si="3"/>
        <v>0.42</v>
      </c>
      <c r="M10" s="52">
        <f t="shared" si="3"/>
        <v>0.42</v>
      </c>
    </row>
    <row r="11" spans="1:16" outlineLevel="1" x14ac:dyDescent="0.25">
      <c r="A11" s="7" t="s">
        <v>59</v>
      </c>
      <c r="B11" s="7"/>
      <c r="C11" s="51"/>
      <c r="D11" s="52"/>
      <c r="E11" s="52"/>
      <c r="F11" s="52"/>
      <c r="G11" s="52"/>
      <c r="H11" s="52"/>
      <c r="I11" s="53">
        <v>0.17</v>
      </c>
      <c r="J11" s="52">
        <f t="shared" si="4"/>
        <v>0.17</v>
      </c>
      <c r="K11" s="52">
        <f t="shared" si="3"/>
        <v>0.17</v>
      </c>
      <c r="L11" s="52">
        <f t="shared" si="3"/>
        <v>0.17</v>
      </c>
      <c r="M11" s="52">
        <f t="shared" si="3"/>
        <v>0.17</v>
      </c>
    </row>
    <row r="12" spans="1:16" outlineLevel="1" x14ac:dyDescent="0.25">
      <c r="A12" s="7" t="s">
        <v>60</v>
      </c>
      <c r="B12" s="7"/>
      <c r="C12" s="51"/>
      <c r="D12" s="54"/>
      <c r="E12" s="54"/>
      <c r="F12" s="54"/>
      <c r="G12" s="54"/>
      <c r="H12" s="54"/>
      <c r="I12" s="55">
        <v>15000</v>
      </c>
      <c r="J12" s="54">
        <f>$I12</f>
        <v>15000</v>
      </c>
      <c r="K12" s="54">
        <f t="shared" ref="K12:M12" si="5">J$12</f>
        <v>15000</v>
      </c>
      <c r="L12" s="54">
        <f t="shared" si="5"/>
        <v>15000</v>
      </c>
      <c r="M12" s="54">
        <f t="shared" si="5"/>
        <v>15000</v>
      </c>
    </row>
    <row r="13" spans="1:16" outlineLevel="1" x14ac:dyDescent="0.25">
      <c r="A13" s="7" t="s">
        <v>61</v>
      </c>
      <c r="B13" s="7"/>
      <c r="C13" s="51"/>
      <c r="D13" s="52"/>
      <c r="E13" s="52"/>
      <c r="F13" s="52"/>
      <c r="G13" s="52"/>
      <c r="H13" s="52"/>
      <c r="I13" s="53">
        <v>0.35</v>
      </c>
      <c r="J13" s="52">
        <f t="shared" si="4"/>
        <v>0.35</v>
      </c>
      <c r="K13" s="52">
        <f t="shared" si="4"/>
        <v>0.35</v>
      </c>
      <c r="L13" s="52">
        <f t="shared" si="4"/>
        <v>0.35</v>
      </c>
      <c r="M13" s="52">
        <f t="shared" si="4"/>
        <v>0.35</v>
      </c>
    </row>
    <row r="14" spans="1:16" outlineLevel="1" x14ac:dyDescent="0.25">
      <c r="A14" s="7" t="s">
        <v>63</v>
      </c>
      <c r="B14" s="7"/>
      <c r="C14" s="51"/>
      <c r="D14" s="52"/>
      <c r="E14" s="52"/>
      <c r="F14" s="52"/>
      <c r="G14" s="52"/>
      <c r="H14" s="52"/>
      <c r="I14" s="53">
        <v>0.1</v>
      </c>
      <c r="J14" s="52">
        <f t="shared" si="4"/>
        <v>0.1</v>
      </c>
      <c r="K14" s="52">
        <f t="shared" si="4"/>
        <v>0.1</v>
      </c>
      <c r="L14" s="52">
        <f t="shared" si="4"/>
        <v>0.1</v>
      </c>
      <c r="M14" s="52">
        <f t="shared" si="4"/>
        <v>0.1</v>
      </c>
    </row>
    <row r="15" spans="1:16" outlineLevel="1" x14ac:dyDescent="0.25">
      <c r="A15" s="7" t="s">
        <v>64</v>
      </c>
      <c r="B15" s="56"/>
      <c r="C15" s="57"/>
      <c r="D15" s="52"/>
      <c r="E15" s="52"/>
      <c r="F15" s="52"/>
      <c r="G15" s="52"/>
      <c r="H15" s="52"/>
      <c r="I15" s="53">
        <v>0.25</v>
      </c>
      <c r="J15" s="52">
        <f t="shared" si="4"/>
        <v>0.25</v>
      </c>
      <c r="K15" s="52">
        <f t="shared" si="4"/>
        <v>0.25</v>
      </c>
      <c r="L15" s="52">
        <f t="shared" si="4"/>
        <v>0.25</v>
      </c>
      <c r="M15" s="52">
        <f t="shared" si="4"/>
        <v>0.25</v>
      </c>
    </row>
    <row r="16" spans="1:16" outlineLevel="1" x14ac:dyDescent="0.25">
      <c r="A16" s="8" t="s">
        <v>65</v>
      </c>
      <c r="C16" s="58"/>
      <c r="D16" s="46"/>
      <c r="E16" s="46"/>
      <c r="F16" s="46"/>
      <c r="G16" s="46"/>
      <c r="H16" s="46"/>
      <c r="I16" s="47">
        <v>18</v>
      </c>
      <c r="J16" s="54">
        <f>$I16</f>
        <v>18</v>
      </c>
      <c r="K16" s="54">
        <f t="shared" si="4"/>
        <v>18</v>
      </c>
      <c r="L16" s="54">
        <f t="shared" si="4"/>
        <v>18</v>
      </c>
      <c r="M16" s="54">
        <f t="shared" si="4"/>
        <v>18</v>
      </c>
    </row>
    <row r="17" spans="1:13" outlineLevel="1" x14ac:dyDescent="0.25">
      <c r="A17" s="8" t="s">
        <v>66</v>
      </c>
      <c r="C17" s="58"/>
      <c r="D17" s="46"/>
      <c r="E17" s="46"/>
      <c r="F17" s="46"/>
      <c r="G17" s="46"/>
      <c r="H17" s="46"/>
      <c r="I17" s="47">
        <v>80</v>
      </c>
      <c r="J17" s="46">
        <v>90</v>
      </c>
      <c r="K17" s="46">
        <v>90</v>
      </c>
      <c r="L17" s="46">
        <v>90</v>
      </c>
      <c r="M17" s="46">
        <v>90</v>
      </c>
    </row>
    <row r="18" spans="1:13" outlineLevel="1" x14ac:dyDescent="0.25">
      <c r="A18" s="8" t="s">
        <v>67</v>
      </c>
      <c r="C18" s="58"/>
      <c r="D18" s="46"/>
      <c r="E18" s="46"/>
      <c r="F18" s="46"/>
      <c r="G18" s="46"/>
      <c r="H18" s="46"/>
      <c r="I18" s="47">
        <v>37</v>
      </c>
      <c r="J18" s="46">
        <v>37</v>
      </c>
      <c r="K18" s="46">
        <v>37</v>
      </c>
      <c r="L18" s="46">
        <v>37</v>
      </c>
      <c r="M18" s="46">
        <v>37</v>
      </c>
    </row>
    <row r="19" spans="1:13" outlineLevel="1" x14ac:dyDescent="0.25">
      <c r="A19" s="8" t="s">
        <v>68</v>
      </c>
      <c r="D19" s="46"/>
      <c r="E19" s="46"/>
      <c r="F19" s="46"/>
      <c r="G19" s="46"/>
      <c r="H19" s="46"/>
      <c r="I19" s="47">
        <v>15000</v>
      </c>
      <c r="J19" s="46">
        <v>15000</v>
      </c>
      <c r="K19" s="46">
        <v>15000</v>
      </c>
      <c r="L19" s="46">
        <v>15000</v>
      </c>
      <c r="M19" s="46">
        <v>15000</v>
      </c>
    </row>
    <row r="20" spans="1:13" outlineLevel="1" x14ac:dyDescent="0.25">
      <c r="A20" s="8" t="s">
        <v>70</v>
      </c>
      <c r="D20" s="46"/>
      <c r="E20" s="46"/>
      <c r="F20" s="46"/>
      <c r="G20" s="46"/>
      <c r="H20" s="46"/>
      <c r="I20" s="47">
        <v>0</v>
      </c>
      <c r="J20" s="47">
        <v>0</v>
      </c>
      <c r="K20" s="47">
        <v>-20000</v>
      </c>
      <c r="L20" s="47">
        <v>0</v>
      </c>
      <c r="M20" s="47">
        <v>0</v>
      </c>
    </row>
    <row r="21" spans="1:13" outlineLevel="1" x14ac:dyDescent="0.25">
      <c r="A21" s="8" t="s">
        <v>69</v>
      </c>
      <c r="D21" s="46"/>
      <c r="E21" s="46"/>
      <c r="F21" s="46"/>
      <c r="G21" s="46"/>
      <c r="H21" s="46"/>
      <c r="I21" s="47">
        <v>0</v>
      </c>
      <c r="J21" s="47">
        <v>0</v>
      </c>
      <c r="K21" s="47">
        <v>0</v>
      </c>
      <c r="L21" s="47">
        <v>0</v>
      </c>
      <c r="M21" s="47">
        <v>0</v>
      </c>
    </row>
    <row r="22" spans="1:13" outlineLevel="1" x14ac:dyDescent="0.25">
      <c r="D22" s="46"/>
      <c r="E22" s="46"/>
      <c r="F22" s="46"/>
      <c r="G22" s="46"/>
      <c r="H22" s="46"/>
      <c r="I22" s="47"/>
      <c r="J22" s="47"/>
      <c r="K22" s="47"/>
      <c r="L22" s="47"/>
      <c r="M22" s="47"/>
    </row>
    <row r="23" spans="1:13" x14ac:dyDescent="0.25">
      <c r="D23" s="46"/>
      <c r="E23" s="46"/>
      <c r="F23" s="46"/>
      <c r="G23" s="46"/>
      <c r="H23" s="46"/>
      <c r="I23" s="47"/>
      <c r="J23" s="47"/>
      <c r="K23" s="47"/>
      <c r="L23" s="47"/>
      <c r="M23" s="47"/>
    </row>
    <row r="24" spans="1:13" ht="20.25" x14ac:dyDescent="0.3">
      <c r="A24" s="124" t="s">
        <v>0</v>
      </c>
      <c r="B24" s="125"/>
      <c r="C24" s="126"/>
      <c r="D24" s="125"/>
      <c r="E24" s="125"/>
      <c r="F24" s="125"/>
      <c r="G24" s="125"/>
      <c r="H24" s="125"/>
      <c r="I24" s="125"/>
      <c r="J24" s="125"/>
      <c r="K24" s="125"/>
      <c r="L24" s="125"/>
      <c r="M24" s="125"/>
    </row>
    <row r="25" spans="1:13" outlineLevel="1" x14ac:dyDescent="0.25">
      <c r="A25" s="59"/>
      <c r="B25" s="59"/>
      <c r="C25" s="29"/>
      <c r="D25" s="60"/>
      <c r="E25" s="60"/>
      <c r="F25" s="60"/>
      <c r="G25" s="60"/>
      <c r="H25" s="60"/>
      <c r="I25" s="61"/>
      <c r="J25" s="61"/>
      <c r="K25" s="61"/>
      <c r="L25" s="61"/>
      <c r="M25" s="61"/>
    </row>
    <row r="26" spans="1:13" outlineLevel="1" x14ac:dyDescent="0.25">
      <c r="A26" s="9" t="s">
        <v>1</v>
      </c>
      <c r="B26" s="9"/>
      <c r="C26" s="62"/>
      <c r="D26" s="63">
        <v>102007</v>
      </c>
      <c r="E26" s="63">
        <v>118086</v>
      </c>
      <c r="F26" s="63">
        <v>131345</v>
      </c>
      <c r="G26" s="63">
        <v>142341</v>
      </c>
      <c r="H26" s="63">
        <v>150772</v>
      </c>
      <c r="I26" s="1">
        <f>(H26*(1+I9))*(1+$A$172)</f>
        <v>165849.20000000001</v>
      </c>
      <c r="J26" s="1">
        <f t="shared" ref="J26:M26" si="6">(I26*(1+J9))*(1+$A$172)</f>
        <v>182434.12000000002</v>
      </c>
      <c r="K26" s="1">
        <f t="shared" si="6"/>
        <v>200677.53200000004</v>
      </c>
      <c r="L26" s="1">
        <f t="shared" si="6"/>
        <v>220745.28520000007</v>
      </c>
      <c r="M26" s="1">
        <f t="shared" si="6"/>
        <v>242819.81372000009</v>
      </c>
    </row>
    <row r="27" spans="1:13" outlineLevel="1" x14ac:dyDescent="0.25">
      <c r="A27" s="7" t="s">
        <v>55</v>
      </c>
      <c r="B27" s="7"/>
      <c r="C27" s="51"/>
      <c r="D27" s="64">
        <v>39023</v>
      </c>
      <c r="E27" s="64">
        <v>48004</v>
      </c>
      <c r="F27" s="64">
        <v>49123</v>
      </c>
      <c r="G27" s="64">
        <v>52654</v>
      </c>
      <c r="H27" s="64">
        <v>56710</v>
      </c>
      <c r="I27" s="2">
        <f>(I26*I10)*(1+$D$172)</f>
        <v>69656.664000000004</v>
      </c>
      <c r="J27" s="2">
        <f t="shared" ref="J27:M27" si="7">(J26*J10)*(1+$D$172)</f>
        <v>76622.330400000006</v>
      </c>
      <c r="K27" s="2">
        <f t="shared" si="7"/>
        <v>84284.563440000013</v>
      </c>
      <c r="L27" s="2">
        <f t="shared" si="7"/>
        <v>92713.019784000033</v>
      </c>
      <c r="M27" s="2">
        <f t="shared" si="7"/>
        <v>101984.32176240004</v>
      </c>
    </row>
    <row r="28" spans="1:13" outlineLevel="1" x14ac:dyDescent="0.25">
      <c r="A28" s="48" t="s">
        <v>2</v>
      </c>
      <c r="B28" s="48"/>
      <c r="C28" s="49"/>
      <c r="D28" s="65">
        <f>D26-D27</f>
        <v>62984</v>
      </c>
      <c r="E28" s="65">
        <f t="shared" ref="E28:M28" si="8">E26-E27</f>
        <v>70082</v>
      </c>
      <c r="F28" s="65">
        <f t="shared" si="8"/>
        <v>82222</v>
      </c>
      <c r="G28" s="65">
        <f t="shared" si="8"/>
        <v>89687</v>
      </c>
      <c r="H28" s="65">
        <f t="shared" si="8"/>
        <v>94062</v>
      </c>
      <c r="I28" s="65">
        <f t="shared" si="8"/>
        <v>96192.536000000007</v>
      </c>
      <c r="J28" s="65">
        <f t="shared" si="8"/>
        <v>105811.78960000002</v>
      </c>
      <c r="K28" s="65">
        <f t="shared" si="8"/>
        <v>116392.96856000002</v>
      </c>
      <c r="L28" s="65">
        <f t="shared" si="8"/>
        <v>128032.26541600004</v>
      </c>
      <c r="M28" s="65">
        <f t="shared" si="8"/>
        <v>140835.49195760005</v>
      </c>
    </row>
    <row r="29" spans="1:13" outlineLevel="1" x14ac:dyDescent="0.25">
      <c r="A29" s="59" t="s">
        <v>74</v>
      </c>
      <c r="B29" s="59"/>
      <c r="C29" s="29"/>
      <c r="D29" s="66"/>
      <c r="E29" s="66"/>
      <c r="F29" s="66"/>
      <c r="G29" s="66"/>
      <c r="H29" s="66"/>
      <c r="I29" s="66"/>
      <c r="J29" s="66"/>
      <c r="K29" s="66"/>
      <c r="L29" s="61"/>
      <c r="M29" s="61"/>
    </row>
    <row r="30" spans="1:13" outlineLevel="1" x14ac:dyDescent="0.25">
      <c r="A30" s="8" t="s">
        <v>3</v>
      </c>
      <c r="D30" s="11">
        <v>26427</v>
      </c>
      <c r="E30" s="11">
        <v>22658</v>
      </c>
      <c r="F30" s="11">
        <v>23872</v>
      </c>
      <c r="G30" s="11">
        <v>23002</v>
      </c>
      <c r="H30" s="11">
        <v>25245</v>
      </c>
      <c r="I30" s="6">
        <f>I26*I11</f>
        <v>28194.364000000005</v>
      </c>
      <c r="J30" s="6">
        <f>J26*J11</f>
        <v>31013.800400000007</v>
      </c>
      <c r="K30" s="6">
        <f>K26*K11</f>
        <v>34115.180440000011</v>
      </c>
      <c r="L30" s="6">
        <f>L26*L11</f>
        <v>37526.698484000015</v>
      </c>
      <c r="M30" s="6">
        <f>M26*M11</f>
        <v>41279.368332400016</v>
      </c>
    </row>
    <row r="31" spans="1:13" outlineLevel="1" x14ac:dyDescent="0.25">
      <c r="A31" s="8" t="s">
        <v>4</v>
      </c>
      <c r="D31" s="11">
        <v>10963</v>
      </c>
      <c r="E31" s="11">
        <v>10125</v>
      </c>
      <c r="F31" s="11">
        <v>10087</v>
      </c>
      <c r="G31" s="11">
        <v>11020</v>
      </c>
      <c r="H31" s="11">
        <v>11412</v>
      </c>
      <c r="I31" s="6">
        <f>I12</f>
        <v>15000</v>
      </c>
      <c r="J31" s="6">
        <f>J12</f>
        <v>15000</v>
      </c>
      <c r="K31" s="6">
        <f>K12</f>
        <v>15000</v>
      </c>
      <c r="L31" s="6">
        <f>L12</f>
        <v>15000</v>
      </c>
      <c r="M31" s="6">
        <f>M12</f>
        <v>15000</v>
      </c>
    </row>
    <row r="32" spans="1:13" outlineLevel="1" x14ac:dyDescent="0.25">
      <c r="A32" s="8" t="s">
        <v>5</v>
      </c>
      <c r="D32" s="11">
        <v>19500</v>
      </c>
      <c r="E32" s="11">
        <v>18150</v>
      </c>
      <c r="F32" s="11">
        <v>17205</v>
      </c>
      <c r="G32" s="11">
        <v>16543.5</v>
      </c>
      <c r="H32" s="11">
        <v>16080.449999999999</v>
      </c>
      <c r="I32" s="6">
        <f>+I98</f>
        <v>13132.3675</v>
      </c>
      <c r="J32" s="6">
        <f t="shared" ref="J32:M32" si="9">+J98</f>
        <v>13786.038875</v>
      </c>
      <c r="K32" s="6">
        <f t="shared" si="9"/>
        <v>14210.925268750001</v>
      </c>
      <c r="L32" s="6">
        <f t="shared" si="9"/>
        <v>14487.101424687498</v>
      </c>
      <c r="M32" s="6">
        <f t="shared" si="9"/>
        <v>14666.615926046874</v>
      </c>
    </row>
    <row r="33" spans="1:13" outlineLevel="1" x14ac:dyDescent="0.25">
      <c r="A33" s="67" t="s">
        <v>6</v>
      </c>
      <c r="B33" s="67"/>
      <c r="C33" s="68"/>
      <c r="D33" s="69">
        <v>2500</v>
      </c>
      <c r="E33" s="69">
        <v>2500</v>
      </c>
      <c r="F33" s="69">
        <v>1500</v>
      </c>
      <c r="G33" s="69">
        <v>1500</v>
      </c>
      <c r="H33" s="69">
        <v>1500</v>
      </c>
      <c r="I33" s="70">
        <f>I105</f>
        <v>3000</v>
      </c>
      <c r="J33" s="70">
        <f t="shared" ref="J33:M33" si="10">J105</f>
        <v>3000</v>
      </c>
      <c r="K33" s="70">
        <f t="shared" si="10"/>
        <v>1000</v>
      </c>
      <c r="L33" s="70">
        <f t="shared" si="10"/>
        <v>1000</v>
      </c>
      <c r="M33" s="70">
        <f t="shared" si="10"/>
        <v>1000</v>
      </c>
    </row>
    <row r="34" spans="1:13" outlineLevel="1" x14ac:dyDescent="0.25">
      <c r="A34" s="59" t="s">
        <v>75</v>
      </c>
      <c r="B34" s="7"/>
      <c r="C34" s="51"/>
      <c r="D34" s="61">
        <f>SUM(D30:D33)</f>
        <v>59390</v>
      </c>
      <c r="E34" s="61">
        <f t="shared" ref="E34:M34" si="11">SUM(E30:E33)</f>
        <v>53433</v>
      </c>
      <c r="F34" s="61">
        <f t="shared" si="11"/>
        <v>52664</v>
      </c>
      <c r="G34" s="61">
        <f t="shared" si="11"/>
        <v>52065.5</v>
      </c>
      <c r="H34" s="61">
        <f t="shared" si="11"/>
        <v>54237.45</v>
      </c>
      <c r="I34" s="61">
        <f t="shared" si="11"/>
        <v>59326.731500000002</v>
      </c>
      <c r="J34" s="61">
        <f t="shared" si="11"/>
        <v>62799.839275000006</v>
      </c>
      <c r="K34" s="61">
        <f t="shared" si="11"/>
        <v>64326.105708750008</v>
      </c>
      <c r="L34" s="61">
        <f t="shared" si="11"/>
        <v>68013.799908687506</v>
      </c>
      <c r="M34" s="61">
        <f t="shared" si="11"/>
        <v>71945.984258446886</v>
      </c>
    </row>
    <row r="35" spans="1:13" outlineLevel="1" x14ac:dyDescent="0.25">
      <c r="A35" s="48" t="s">
        <v>7</v>
      </c>
      <c r="B35" s="48"/>
      <c r="C35" s="49"/>
      <c r="D35" s="65">
        <f>D28-D34</f>
        <v>3594</v>
      </c>
      <c r="E35" s="65">
        <f t="shared" ref="E35:M35" si="12">E28-E34</f>
        <v>16649</v>
      </c>
      <c r="F35" s="65">
        <f t="shared" si="12"/>
        <v>29558</v>
      </c>
      <c r="G35" s="65">
        <f t="shared" si="12"/>
        <v>37621.5</v>
      </c>
      <c r="H35" s="65">
        <f t="shared" si="12"/>
        <v>39824.550000000003</v>
      </c>
      <c r="I35" s="65">
        <f t="shared" si="12"/>
        <v>36865.804500000006</v>
      </c>
      <c r="J35" s="65">
        <f t="shared" si="12"/>
        <v>43011.950325000013</v>
      </c>
      <c r="K35" s="65">
        <f t="shared" si="12"/>
        <v>52066.862851250015</v>
      </c>
      <c r="L35" s="65">
        <f t="shared" si="12"/>
        <v>60018.465507312532</v>
      </c>
      <c r="M35" s="65">
        <f t="shared" si="12"/>
        <v>68889.507699153168</v>
      </c>
    </row>
    <row r="36" spans="1:13" outlineLevel="1" x14ac:dyDescent="0.25">
      <c r="A36" s="59"/>
      <c r="B36" s="59"/>
      <c r="C36" s="29"/>
      <c r="D36" s="60"/>
      <c r="E36" s="60"/>
      <c r="F36" s="60"/>
      <c r="G36" s="60"/>
      <c r="H36" s="60"/>
      <c r="I36" s="61"/>
      <c r="J36" s="61"/>
      <c r="K36" s="61"/>
      <c r="L36" s="61"/>
      <c r="M36" s="61"/>
    </row>
    <row r="37" spans="1:13" outlineLevel="1" x14ac:dyDescent="0.25">
      <c r="A37" s="7" t="s">
        <v>8</v>
      </c>
      <c r="B37" s="7"/>
      <c r="C37" s="51"/>
      <c r="D37" s="11">
        <v>1120.1708000000001</v>
      </c>
      <c r="E37" s="11">
        <v>4858.2165021220308</v>
      </c>
      <c r="F37" s="11">
        <v>8482.8061148686775</v>
      </c>
      <c r="G37" s="11">
        <v>10908.02097640469</v>
      </c>
      <c r="H37" s="11">
        <v>11597.665241419718</v>
      </c>
      <c r="I37" s="71">
        <f>I35*I15</f>
        <v>9216.4511250000014</v>
      </c>
      <c r="J37" s="71">
        <f>J35*J15</f>
        <v>10752.987581250003</v>
      </c>
      <c r="K37" s="71">
        <f>K35*K15</f>
        <v>13016.715712812504</v>
      </c>
      <c r="L37" s="71">
        <f>L35*L15</f>
        <v>15004.616376828133</v>
      </c>
      <c r="M37" s="71">
        <f>M35*M15</f>
        <v>17222.376924788292</v>
      </c>
    </row>
    <row r="38" spans="1:13" ht="16.5" outlineLevel="1" thickBot="1" x14ac:dyDescent="0.3">
      <c r="A38" s="72" t="s">
        <v>9</v>
      </c>
      <c r="B38" s="72"/>
      <c r="C38" s="73"/>
      <c r="D38" s="74">
        <f>D35-D37</f>
        <v>2473.8292000000001</v>
      </c>
      <c r="E38" s="74">
        <f t="shared" ref="E38:M38" si="13">E35-E37</f>
        <v>11790.783497877968</v>
      </c>
      <c r="F38" s="74">
        <f t="shared" si="13"/>
        <v>21075.193885131324</v>
      </c>
      <c r="G38" s="74">
        <f t="shared" si="13"/>
        <v>26713.479023595311</v>
      </c>
      <c r="H38" s="74">
        <f t="shared" si="13"/>
        <v>28226.884758580287</v>
      </c>
      <c r="I38" s="74">
        <f t="shared" si="13"/>
        <v>27649.353375000006</v>
      </c>
      <c r="J38" s="74">
        <f t="shared" si="13"/>
        <v>32258.962743750009</v>
      </c>
      <c r="K38" s="74">
        <f t="shared" si="13"/>
        <v>39050.147138437511</v>
      </c>
      <c r="L38" s="74">
        <f t="shared" si="13"/>
        <v>45013.849130484399</v>
      </c>
      <c r="M38" s="74">
        <f t="shared" si="13"/>
        <v>51667.130774364879</v>
      </c>
    </row>
    <row r="39" spans="1:13" ht="16.5" outlineLevel="1" collapsed="1" thickTop="1" x14ac:dyDescent="0.25">
      <c r="D39" s="11"/>
      <c r="E39" s="11"/>
      <c r="F39" s="11"/>
      <c r="G39" s="11"/>
      <c r="H39" s="11"/>
    </row>
    <row r="40" spans="1:13" x14ac:dyDescent="0.25">
      <c r="D40" s="11"/>
      <c r="E40" s="11"/>
      <c r="F40" s="11"/>
      <c r="G40" s="11"/>
      <c r="H40" s="11"/>
    </row>
    <row r="41" spans="1:13" ht="20.25" x14ac:dyDescent="0.3">
      <c r="A41" s="124" t="s">
        <v>10</v>
      </c>
      <c r="B41" s="125"/>
      <c r="C41" s="126"/>
      <c r="D41" s="125"/>
      <c r="E41" s="125"/>
      <c r="F41" s="125"/>
      <c r="G41" s="125"/>
      <c r="H41" s="125"/>
      <c r="I41" s="125"/>
      <c r="J41" s="125"/>
      <c r="K41" s="125"/>
      <c r="L41" s="125"/>
      <c r="M41" s="125"/>
    </row>
    <row r="42" spans="1:13" outlineLevel="1" x14ac:dyDescent="0.25">
      <c r="D42" s="11"/>
      <c r="E42" s="11"/>
      <c r="F42" s="11"/>
      <c r="G42" s="11"/>
      <c r="H42" s="11"/>
    </row>
    <row r="43" spans="1:13" outlineLevel="1" x14ac:dyDescent="0.25">
      <c r="A43" s="9" t="s">
        <v>11</v>
      </c>
      <c r="D43" s="11"/>
      <c r="E43" s="11"/>
      <c r="F43" s="11"/>
      <c r="G43" s="11"/>
      <c r="H43" s="11"/>
    </row>
    <row r="44" spans="1:13" outlineLevel="1" x14ac:dyDescent="0.25">
      <c r="A44" s="8" t="s">
        <v>12</v>
      </c>
      <c r="C44" s="75"/>
      <c r="D44" s="11">
        <v>67971.179200000013</v>
      </c>
      <c r="E44" s="11">
        <v>81209.912697877968</v>
      </c>
      <c r="F44" s="11">
        <v>83715.256583009294</v>
      </c>
      <c r="G44" s="11">
        <v>111069.33560660461</v>
      </c>
      <c r="H44" s="11">
        <v>139549.5203651849</v>
      </c>
      <c r="I44" s="8">
        <f>I82</f>
        <v>162155.84904292464</v>
      </c>
      <c r="J44" s="8">
        <f t="shared" ref="J44:M44" si="14">J82</f>
        <v>189463.10951318149</v>
      </c>
      <c r="K44" s="8">
        <f t="shared" si="14"/>
        <v>205711.90858579366</v>
      </c>
      <c r="L44" s="8">
        <f t="shared" si="14"/>
        <v>247999.35847293265</v>
      </c>
      <c r="M44" s="8">
        <f t="shared" si="14"/>
        <v>296898.25443850824</v>
      </c>
    </row>
    <row r="45" spans="1:13" outlineLevel="1" x14ac:dyDescent="0.25">
      <c r="A45" s="8" t="s">
        <v>13</v>
      </c>
      <c r="C45" s="75"/>
      <c r="D45" s="11">
        <v>5100.3500000000004</v>
      </c>
      <c r="E45" s="11">
        <v>5904.3</v>
      </c>
      <c r="F45" s="11">
        <v>6567.25</v>
      </c>
      <c r="G45" s="11">
        <v>7117.05</v>
      </c>
      <c r="H45" s="11">
        <v>7538.6</v>
      </c>
      <c r="I45" s="76">
        <f t="shared" ref="I45:M46" si="15">I26*I16/365</f>
        <v>8178.8646575342473</v>
      </c>
      <c r="J45" s="76">
        <f t="shared" si="15"/>
        <v>8996.7511232876732</v>
      </c>
      <c r="K45" s="76">
        <f t="shared" si="15"/>
        <v>9896.42623561644</v>
      </c>
      <c r="L45" s="76">
        <f t="shared" si="15"/>
        <v>10886.068859178085</v>
      </c>
      <c r="M45" s="76">
        <f t="shared" si="15"/>
        <v>11974.675745095894</v>
      </c>
    </row>
    <row r="46" spans="1:13" outlineLevel="1" x14ac:dyDescent="0.25">
      <c r="A46" s="8" t="s">
        <v>19</v>
      </c>
      <c r="C46" s="75"/>
      <c r="D46" s="11">
        <v>7804.6</v>
      </c>
      <c r="E46" s="11">
        <v>9600.8000000000011</v>
      </c>
      <c r="F46" s="11">
        <v>9824.6</v>
      </c>
      <c r="G46" s="11">
        <v>10530.800000000001</v>
      </c>
      <c r="H46" s="11">
        <v>11342</v>
      </c>
      <c r="I46" s="8">
        <f t="shared" si="15"/>
        <v>15267.21402739726</v>
      </c>
      <c r="J46" s="8">
        <f t="shared" si="15"/>
        <v>18893.177358904111</v>
      </c>
      <c r="K46" s="8">
        <f t="shared" si="15"/>
        <v>20782.495094794525</v>
      </c>
      <c r="L46" s="8">
        <f t="shared" si="15"/>
        <v>22860.744604273979</v>
      </c>
      <c r="M46" s="8">
        <f t="shared" si="15"/>
        <v>25146.81906470138</v>
      </c>
    </row>
    <row r="47" spans="1:13" outlineLevel="1" x14ac:dyDescent="0.25">
      <c r="A47" s="8" t="s">
        <v>14</v>
      </c>
      <c r="D47" s="11">
        <v>45500</v>
      </c>
      <c r="E47" s="11">
        <v>42350</v>
      </c>
      <c r="F47" s="11">
        <v>40145</v>
      </c>
      <c r="G47" s="11">
        <v>38601.5</v>
      </c>
      <c r="H47" s="11">
        <v>37521.050000000003</v>
      </c>
      <c r="I47" s="8">
        <f t="shared" ref="I47:M47" si="16">I99</f>
        <v>39388.682500000003</v>
      </c>
      <c r="J47" s="8">
        <f t="shared" si="16"/>
        <v>40602.643625000004</v>
      </c>
      <c r="K47" s="8">
        <f t="shared" si="16"/>
        <v>41391.718356249999</v>
      </c>
      <c r="L47" s="8">
        <f t="shared" si="16"/>
        <v>41904.616931562501</v>
      </c>
      <c r="M47" s="8">
        <f t="shared" si="16"/>
        <v>42238.001005515631</v>
      </c>
    </row>
    <row r="48" spans="1:13" ht="16.5" outlineLevel="1" thickBot="1" x14ac:dyDescent="0.3">
      <c r="A48" s="72" t="s">
        <v>20</v>
      </c>
      <c r="B48" s="72"/>
      <c r="C48" s="73"/>
      <c r="D48" s="74">
        <f>SUM(D44:D47)</f>
        <v>126376.12920000002</v>
      </c>
      <c r="E48" s="74">
        <f t="shared" ref="E48:H48" si="17">SUM(E44:E47)</f>
        <v>139065.01269787797</v>
      </c>
      <c r="F48" s="74">
        <f t="shared" si="17"/>
        <v>140252.1065830093</v>
      </c>
      <c r="G48" s="74">
        <f t="shared" si="17"/>
        <v>167318.68560660462</v>
      </c>
      <c r="H48" s="74">
        <f t="shared" si="17"/>
        <v>195951.17036518489</v>
      </c>
      <c r="I48" s="72">
        <f t="shared" ref="I48" si="18">SUM(I44:I47)</f>
        <v>224990.61022785614</v>
      </c>
      <c r="J48" s="72">
        <f t="shared" ref="J48:M48" si="19">SUM(J44:J47)</f>
        <v>257955.6816203733</v>
      </c>
      <c r="K48" s="72">
        <f t="shared" si="19"/>
        <v>277782.54827245465</v>
      </c>
      <c r="L48" s="72">
        <f t="shared" si="19"/>
        <v>323650.78886794718</v>
      </c>
      <c r="M48" s="72">
        <f t="shared" si="19"/>
        <v>376257.75025382114</v>
      </c>
    </row>
    <row r="49" spans="1:13" ht="16.5" outlineLevel="1" thickTop="1" x14ac:dyDescent="0.25">
      <c r="A49" s="59"/>
      <c r="B49" s="59"/>
      <c r="C49" s="29"/>
      <c r="D49" s="60"/>
      <c r="E49" s="60"/>
      <c r="F49" s="60"/>
      <c r="G49" s="60"/>
      <c r="H49" s="60"/>
      <c r="I49" s="59"/>
      <c r="J49" s="59"/>
      <c r="K49" s="59"/>
      <c r="L49" s="59"/>
      <c r="M49" s="59"/>
    </row>
    <row r="50" spans="1:13" outlineLevel="1" x14ac:dyDescent="0.25">
      <c r="A50" s="9" t="s">
        <v>21</v>
      </c>
      <c r="C50" s="75"/>
      <c r="D50" s="11"/>
      <c r="E50" s="11"/>
      <c r="F50" s="11"/>
      <c r="G50" s="11"/>
      <c r="H50" s="11"/>
    </row>
    <row r="51" spans="1:13" outlineLevel="1" x14ac:dyDescent="0.25">
      <c r="A51" s="8" t="s">
        <v>22</v>
      </c>
      <c r="C51" s="75"/>
      <c r="D51" s="11">
        <v>3902.3</v>
      </c>
      <c r="E51" s="11">
        <v>4800.4000000000005</v>
      </c>
      <c r="F51" s="11">
        <v>4912.3</v>
      </c>
      <c r="G51" s="11">
        <v>5265.4000000000005</v>
      </c>
      <c r="H51" s="11">
        <v>5671</v>
      </c>
      <c r="I51" s="8">
        <f>I27*I18/365</f>
        <v>7061.086487671233</v>
      </c>
      <c r="J51" s="8">
        <f>J27*J18/365</f>
        <v>7767.1951364383576</v>
      </c>
      <c r="K51" s="8">
        <f>K27*K18/365</f>
        <v>8543.9146500821935</v>
      </c>
      <c r="L51" s="8">
        <f>L27*L18/365</f>
        <v>9398.3061150904141</v>
      </c>
      <c r="M51" s="8">
        <f>M27*M18/365</f>
        <v>10338.136726599456</v>
      </c>
    </row>
    <row r="52" spans="1:13" outlineLevel="1" x14ac:dyDescent="0.25">
      <c r="A52" s="8" t="s">
        <v>23</v>
      </c>
      <c r="D52" s="11">
        <v>50000</v>
      </c>
      <c r="E52" s="11">
        <v>50000</v>
      </c>
      <c r="F52" s="11">
        <v>30000</v>
      </c>
      <c r="G52" s="11">
        <v>30000</v>
      </c>
      <c r="H52" s="11">
        <v>30000</v>
      </c>
      <c r="I52" s="8">
        <f t="shared" ref="I52:M52" si="20">I104</f>
        <v>30000</v>
      </c>
      <c r="J52" s="8">
        <f t="shared" si="20"/>
        <v>30000</v>
      </c>
      <c r="K52" s="8">
        <f t="shared" si="20"/>
        <v>10000</v>
      </c>
      <c r="L52" s="8">
        <f t="shared" si="20"/>
        <v>10000</v>
      </c>
      <c r="M52" s="8">
        <f t="shared" si="20"/>
        <v>10000</v>
      </c>
    </row>
    <row r="53" spans="1:13" outlineLevel="1" x14ac:dyDescent="0.25">
      <c r="A53" s="48" t="s">
        <v>28</v>
      </c>
      <c r="B53" s="48"/>
      <c r="C53" s="49"/>
      <c r="D53" s="65">
        <f>SUM(D51:D52)</f>
        <v>53902.3</v>
      </c>
      <c r="E53" s="65">
        <f t="shared" ref="E53:H53" si="21">SUM(E51:E52)</f>
        <v>54800.4</v>
      </c>
      <c r="F53" s="65">
        <f t="shared" si="21"/>
        <v>34912.300000000003</v>
      </c>
      <c r="G53" s="65">
        <f t="shared" si="21"/>
        <v>35265.4</v>
      </c>
      <c r="H53" s="65">
        <f t="shared" si="21"/>
        <v>35671</v>
      </c>
      <c r="I53" s="48">
        <f t="shared" ref="I53" si="22">SUM(I51:I52)</f>
        <v>37061.086487671229</v>
      </c>
      <c r="J53" s="48">
        <f t="shared" ref="J53:M53" si="23">SUM(J51:J52)</f>
        <v>37767.195136438357</v>
      </c>
      <c r="K53" s="48">
        <f t="shared" si="23"/>
        <v>18543.914650082195</v>
      </c>
      <c r="L53" s="48">
        <f t="shared" si="23"/>
        <v>19398.306115090414</v>
      </c>
      <c r="M53" s="48">
        <f t="shared" si="23"/>
        <v>20338.136726599456</v>
      </c>
    </row>
    <row r="54" spans="1:13" outlineLevel="1" x14ac:dyDescent="0.25">
      <c r="A54" s="9" t="s">
        <v>29</v>
      </c>
      <c r="D54" s="11"/>
      <c r="E54" s="11"/>
      <c r="F54" s="11"/>
      <c r="G54" s="11"/>
      <c r="H54" s="11"/>
    </row>
    <row r="55" spans="1:13" outlineLevel="1" x14ac:dyDescent="0.25">
      <c r="A55" s="8" t="s">
        <v>30</v>
      </c>
      <c r="D55" s="11">
        <v>70000</v>
      </c>
      <c r="E55" s="11">
        <v>70000</v>
      </c>
      <c r="F55" s="11">
        <v>70000</v>
      </c>
      <c r="G55" s="11">
        <v>70000</v>
      </c>
      <c r="H55" s="11">
        <v>70000</v>
      </c>
      <c r="I55" s="8">
        <f>H55+I21</f>
        <v>70000</v>
      </c>
      <c r="J55" s="8">
        <f>I55+J21</f>
        <v>70000</v>
      </c>
      <c r="K55" s="8">
        <f>J55+K21</f>
        <v>70000</v>
      </c>
      <c r="L55" s="8">
        <f>K55+L21</f>
        <v>70000</v>
      </c>
      <c r="M55" s="8">
        <f>L55+M21</f>
        <v>70000</v>
      </c>
    </row>
    <row r="56" spans="1:13" outlineLevel="1" x14ac:dyDescent="0.25">
      <c r="A56" s="8" t="s">
        <v>31</v>
      </c>
      <c r="D56" s="11">
        <v>2473.8292000000001</v>
      </c>
      <c r="E56" s="11">
        <v>14264.612697877968</v>
      </c>
      <c r="F56" s="11">
        <v>35339.806583009296</v>
      </c>
      <c r="G56" s="11">
        <v>62053.285606604608</v>
      </c>
      <c r="H56" s="11">
        <v>90280.170365184895</v>
      </c>
      <c r="I56" s="8">
        <f t="shared" ref="I56:M56" si="24">+H56+I38</f>
        <v>117929.5237401849</v>
      </c>
      <c r="J56" s="8">
        <f t="shared" si="24"/>
        <v>150188.48648393492</v>
      </c>
      <c r="K56" s="8">
        <f t="shared" si="24"/>
        <v>189238.63362237244</v>
      </c>
      <c r="L56" s="8">
        <f t="shared" si="24"/>
        <v>234252.48275285683</v>
      </c>
      <c r="M56" s="8">
        <f t="shared" si="24"/>
        <v>285919.61352722172</v>
      </c>
    </row>
    <row r="57" spans="1:13" outlineLevel="1" x14ac:dyDescent="0.25">
      <c r="A57" s="77" t="s">
        <v>29</v>
      </c>
      <c r="B57" s="77"/>
      <c r="C57" s="78"/>
      <c r="D57" s="79">
        <f>SUM(D55:D56)</f>
        <v>72473.829200000007</v>
      </c>
      <c r="E57" s="79">
        <f t="shared" ref="E57:H57" si="25">SUM(E55:E56)</f>
        <v>84264.612697877965</v>
      </c>
      <c r="F57" s="79">
        <f t="shared" si="25"/>
        <v>105339.8065830093</v>
      </c>
      <c r="G57" s="79">
        <f t="shared" si="25"/>
        <v>132053.28560660459</v>
      </c>
      <c r="H57" s="79">
        <f t="shared" si="25"/>
        <v>160280.17036518489</v>
      </c>
      <c r="I57" s="77">
        <f t="shared" ref="I57" si="26">SUM(I55:I56)</f>
        <v>187929.5237401849</v>
      </c>
      <c r="J57" s="77">
        <f t="shared" ref="J57:M57" si="27">SUM(J55:J56)</f>
        <v>220188.48648393492</v>
      </c>
      <c r="K57" s="77">
        <f t="shared" si="27"/>
        <v>259238.63362237244</v>
      </c>
      <c r="L57" s="77">
        <f t="shared" si="27"/>
        <v>304252.4827528568</v>
      </c>
      <c r="M57" s="77">
        <f t="shared" si="27"/>
        <v>355919.61352722172</v>
      </c>
    </row>
    <row r="58" spans="1:13" ht="16.5" outlineLevel="1" thickBot="1" x14ac:dyDescent="0.3">
      <c r="A58" s="72" t="s">
        <v>32</v>
      </c>
      <c r="B58" s="72"/>
      <c r="C58" s="73"/>
      <c r="D58" s="74">
        <f>D53+D57</f>
        <v>126376.12920000001</v>
      </c>
      <c r="E58" s="74">
        <f t="shared" ref="E58:H58" si="28">E53+E57</f>
        <v>139065.01269787797</v>
      </c>
      <c r="F58" s="74">
        <f t="shared" si="28"/>
        <v>140252.1065830093</v>
      </c>
      <c r="G58" s="74">
        <f t="shared" si="28"/>
        <v>167318.68560660459</v>
      </c>
      <c r="H58" s="74">
        <f t="shared" si="28"/>
        <v>195951.17036518489</v>
      </c>
      <c r="I58" s="72">
        <f t="shared" ref="I58:M58" si="29">I57+I53</f>
        <v>224990.61022785614</v>
      </c>
      <c r="J58" s="72">
        <f t="shared" si="29"/>
        <v>257955.68162037327</v>
      </c>
      <c r="K58" s="72">
        <f t="shared" si="29"/>
        <v>277782.54827245465</v>
      </c>
      <c r="L58" s="72">
        <f t="shared" si="29"/>
        <v>323650.78886794724</v>
      </c>
      <c r="M58" s="72">
        <f t="shared" si="29"/>
        <v>376257.7502538212</v>
      </c>
    </row>
    <row r="59" spans="1:13" ht="16.5" outlineLevel="1" thickTop="1" x14ac:dyDescent="0.25">
      <c r="D59" s="11"/>
      <c r="E59" s="11"/>
      <c r="F59" s="11"/>
      <c r="G59" s="11"/>
      <c r="H59" s="11"/>
    </row>
    <row r="60" spans="1:13" outlineLevel="1" x14ac:dyDescent="0.25">
      <c r="A60" s="80" t="s">
        <v>50</v>
      </c>
      <c r="B60" s="81"/>
      <c r="C60" s="82"/>
      <c r="D60" s="81">
        <f t="shared" ref="D60:M60" si="30">D58-D48</f>
        <v>0</v>
      </c>
      <c r="E60" s="81">
        <f t="shared" si="30"/>
        <v>0</v>
      </c>
      <c r="F60" s="81">
        <f t="shared" si="30"/>
        <v>0</v>
      </c>
      <c r="G60" s="81">
        <f t="shared" si="30"/>
        <v>0</v>
      </c>
      <c r="H60" s="81">
        <f t="shared" si="30"/>
        <v>0</v>
      </c>
      <c r="I60" s="81">
        <f t="shared" si="30"/>
        <v>0</v>
      </c>
      <c r="J60" s="81">
        <f t="shared" si="30"/>
        <v>0</v>
      </c>
      <c r="K60" s="81">
        <f t="shared" si="30"/>
        <v>0</v>
      </c>
      <c r="L60" s="81">
        <f t="shared" si="30"/>
        <v>0</v>
      </c>
      <c r="M60" s="81">
        <f t="shared" si="30"/>
        <v>0</v>
      </c>
    </row>
    <row r="61" spans="1:13" outlineLevel="1" x14ac:dyDescent="0.25">
      <c r="A61" s="81"/>
      <c r="B61" s="81"/>
      <c r="C61" s="82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1:13" x14ac:dyDescent="0.25">
      <c r="D62" s="11"/>
      <c r="E62" s="11"/>
      <c r="F62" s="11"/>
      <c r="G62" s="11"/>
      <c r="H62" s="11"/>
    </row>
    <row r="63" spans="1:13" ht="20.25" x14ac:dyDescent="0.3">
      <c r="A63" s="124" t="s">
        <v>49</v>
      </c>
      <c r="B63" s="125"/>
      <c r="C63" s="126"/>
      <c r="D63" s="125"/>
      <c r="E63" s="125"/>
      <c r="F63" s="125"/>
      <c r="G63" s="125"/>
      <c r="H63" s="125"/>
      <c r="I63" s="125"/>
      <c r="J63" s="125"/>
      <c r="K63" s="125"/>
      <c r="L63" s="125"/>
      <c r="M63" s="125"/>
    </row>
    <row r="64" spans="1:13" outlineLevel="1" x14ac:dyDescent="0.25">
      <c r="A64" s="9"/>
      <c r="D64" s="60"/>
      <c r="E64" s="11"/>
      <c r="F64" s="11"/>
      <c r="G64" s="11"/>
      <c r="H64" s="11"/>
    </row>
    <row r="65" spans="1:13" outlineLevel="1" x14ac:dyDescent="0.25">
      <c r="A65" s="9" t="s">
        <v>33</v>
      </c>
      <c r="D65" s="11"/>
      <c r="E65" s="11"/>
      <c r="F65" s="11"/>
      <c r="G65" s="11"/>
      <c r="H65" s="11"/>
    </row>
    <row r="66" spans="1:13" outlineLevel="1" x14ac:dyDescent="0.25">
      <c r="A66" s="8" t="s">
        <v>9</v>
      </c>
      <c r="D66" s="11">
        <v>2473.8292000000001</v>
      </c>
      <c r="E66" s="11">
        <v>11790.783497877968</v>
      </c>
      <c r="F66" s="11">
        <v>21075.193885131324</v>
      </c>
      <c r="G66" s="11">
        <v>26713.479023595311</v>
      </c>
      <c r="H66" s="11">
        <v>28226.884758580287</v>
      </c>
      <c r="I66" s="8">
        <f t="shared" ref="I66:M66" si="31">I38</f>
        <v>27649.353375000006</v>
      </c>
      <c r="J66" s="8">
        <f t="shared" si="31"/>
        <v>32258.962743750009</v>
      </c>
      <c r="K66" s="8">
        <f t="shared" si="31"/>
        <v>39050.147138437511</v>
      </c>
      <c r="L66" s="8">
        <f t="shared" si="31"/>
        <v>45013.849130484399</v>
      </c>
      <c r="M66" s="8">
        <f t="shared" si="31"/>
        <v>51667.130774364879</v>
      </c>
    </row>
    <row r="67" spans="1:13" outlineLevel="1" x14ac:dyDescent="0.25">
      <c r="A67" s="8" t="s">
        <v>34</v>
      </c>
      <c r="D67" s="11">
        <v>19500</v>
      </c>
      <c r="E67" s="11">
        <v>18150</v>
      </c>
      <c r="F67" s="11">
        <v>17205</v>
      </c>
      <c r="G67" s="11">
        <v>16543.5</v>
      </c>
      <c r="H67" s="11">
        <v>16080.449999999999</v>
      </c>
      <c r="I67" s="8">
        <f>I32</f>
        <v>13132.3675</v>
      </c>
      <c r="J67" s="8">
        <f t="shared" ref="J67:M67" si="32">J32</f>
        <v>13786.038875</v>
      </c>
      <c r="K67" s="8">
        <f t="shared" si="32"/>
        <v>14210.925268750001</v>
      </c>
      <c r="L67" s="8">
        <f t="shared" si="32"/>
        <v>14487.101424687498</v>
      </c>
      <c r="M67" s="8">
        <f t="shared" si="32"/>
        <v>14666.615926046874</v>
      </c>
    </row>
    <row r="68" spans="1:13" outlineLevel="1" x14ac:dyDescent="0.25">
      <c r="A68" s="8" t="s">
        <v>38</v>
      </c>
      <c r="D68" s="11">
        <v>9002.6500000000015</v>
      </c>
      <c r="E68" s="11">
        <v>1702.0499999999993</v>
      </c>
      <c r="F68" s="11">
        <v>774.84999999999854</v>
      </c>
      <c r="G68" s="11">
        <v>902.90000000000146</v>
      </c>
      <c r="H68" s="11">
        <v>827.14999999999782</v>
      </c>
      <c r="I68" s="8">
        <f>I93</f>
        <v>3175.3921972602766</v>
      </c>
      <c r="J68" s="8">
        <f t="shared" ref="J68:M68" si="33">J93</f>
        <v>3737.7411484931508</v>
      </c>
      <c r="K68" s="8">
        <f t="shared" si="33"/>
        <v>2012.2733345753441</v>
      </c>
      <c r="L68" s="8">
        <f t="shared" si="33"/>
        <v>2213.5006680328843</v>
      </c>
      <c r="M68" s="8">
        <f t="shared" si="33"/>
        <v>2434.8507348361636</v>
      </c>
    </row>
    <row r="69" spans="1:13" outlineLevel="1" x14ac:dyDescent="0.25">
      <c r="A69" s="48" t="s">
        <v>35</v>
      </c>
      <c r="B69" s="5"/>
      <c r="C69" s="83"/>
      <c r="D69" s="65">
        <f>D66+D67-D68</f>
        <v>12971.179199999999</v>
      </c>
      <c r="E69" s="65">
        <f t="shared" ref="E69:M69" si="34">E66+E67-E68</f>
        <v>28238.733497877969</v>
      </c>
      <c r="F69" s="65">
        <f t="shared" si="34"/>
        <v>37505.343885131326</v>
      </c>
      <c r="G69" s="65">
        <f t="shared" si="34"/>
        <v>42354.07902359531</v>
      </c>
      <c r="H69" s="65">
        <f t="shared" si="34"/>
        <v>43480.18475858029</v>
      </c>
      <c r="I69" s="65">
        <f t="shared" si="34"/>
        <v>37606.32867773973</v>
      </c>
      <c r="J69" s="65">
        <f t="shared" si="34"/>
        <v>42307.260470256857</v>
      </c>
      <c r="K69" s="65">
        <f t="shared" si="34"/>
        <v>51248.799072612172</v>
      </c>
      <c r="L69" s="65">
        <f t="shared" si="34"/>
        <v>57287.44988713901</v>
      </c>
      <c r="M69" s="65">
        <f t="shared" si="34"/>
        <v>63898.89596557559</v>
      </c>
    </row>
    <row r="70" spans="1:13" outlineLevel="1" x14ac:dyDescent="0.25">
      <c r="A70" s="59"/>
      <c r="B70" s="7"/>
      <c r="C70" s="51"/>
      <c r="D70" s="60"/>
      <c r="E70" s="60"/>
      <c r="F70" s="60"/>
      <c r="G70" s="60"/>
      <c r="H70" s="60"/>
      <c r="I70" s="59"/>
      <c r="J70" s="59"/>
      <c r="K70" s="59"/>
      <c r="L70" s="59"/>
      <c r="M70" s="59"/>
    </row>
    <row r="71" spans="1:13" outlineLevel="1" x14ac:dyDescent="0.25">
      <c r="A71" s="9" t="s">
        <v>39</v>
      </c>
      <c r="D71" s="64"/>
      <c r="E71" s="64"/>
      <c r="F71" s="64"/>
      <c r="G71" s="64"/>
      <c r="H71" s="64"/>
      <c r="I71" s="7"/>
      <c r="J71" s="7"/>
      <c r="K71" s="7"/>
      <c r="L71" s="7"/>
      <c r="M71" s="7"/>
    </row>
    <row r="72" spans="1:13" outlineLevel="1" x14ac:dyDescent="0.25">
      <c r="A72" s="8" t="s">
        <v>40</v>
      </c>
      <c r="D72" s="64">
        <v>15000</v>
      </c>
      <c r="E72" s="64">
        <v>15000</v>
      </c>
      <c r="F72" s="64">
        <v>15000</v>
      </c>
      <c r="G72" s="64">
        <v>15000</v>
      </c>
      <c r="H72" s="64">
        <v>15000</v>
      </c>
      <c r="I72" s="7">
        <f>I97</f>
        <v>15000</v>
      </c>
      <c r="J72" s="7">
        <f t="shared" ref="J72:M72" si="35">J97</f>
        <v>15000</v>
      </c>
      <c r="K72" s="7">
        <f t="shared" si="35"/>
        <v>15000</v>
      </c>
      <c r="L72" s="7">
        <f t="shared" si="35"/>
        <v>15000</v>
      </c>
      <c r="M72" s="7">
        <f t="shared" si="35"/>
        <v>15000</v>
      </c>
    </row>
    <row r="73" spans="1:13" outlineLevel="1" x14ac:dyDescent="0.25">
      <c r="A73" s="48" t="s">
        <v>41</v>
      </c>
      <c r="B73" s="5"/>
      <c r="C73" s="83"/>
      <c r="D73" s="65">
        <f>SUM(D72)</f>
        <v>15000</v>
      </c>
      <c r="E73" s="65">
        <f t="shared" ref="E73:H73" si="36">SUM(E72)</f>
        <v>15000</v>
      </c>
      <c r="F73" s="65">
        <f t="shared" si="36"/>
        <v>15000</v>
      </c>
      <c r="G73" s="65">
        <f t="shared" si="36"/>
        <v>15000</v>
      </c>
      <c r="H73" s="65">
        <f t="shared" si="36"/>
        <v>15000</v>
      </c>
      <c r="I73" s="48">
        <f t="shared" ref="I73:M73" si="37">I72</f>
        <v>15000</v>
      </c>
      <c r="J73" s="48">
        <f t="shared" si="37"/>
        <v>15000</v>
      </c>
      <c r="K73" s="48">
        <f t="shared" si="37"/>
        <v>15000</v>
      </c>
      <c r="L73" s="48">
        <f t="shared" si="37"/>
        <v>15000</v>
      </c>
      <c r="M73" s="48">
        <f t="shared" si="37"/>
        <v>15000</v>
      </c>
    </row>
    <row r="74" spans="1:13" outlineLevel="1" x14ac:dyDescent="0.25">
      <c r="A74" s="59"/>
      <c r="B74" s="7"/>
      <c r="C74" s="51"/>
      <c r="D74" s="60"/>
      <c r="E74" s="60"/>
      <c r="F74" s="60"/>
      <c r="G74" s="60"/>
      <c r="H74" s="60"/>
      <c r="I74" s="59"/>
      <c r="J74" s="59"/>
      <c r="K74" s="59"/>
      <c r="L74" s="59"/>
      <c r="M74" s="59"/>
    </row>
    <row r="75" spans="1:13" outlineLevel="1" x14ac:dyDescent="0.25">
      <c r="A75" s="9" t="s">
        <v>42</v>
      </c>
      <c r="D75" s="64"/>
      <c r="E75" s="64"/>
      <c r="F75" s="64"/>
      <c r="G75" s="64"/>
      <c r="H75" s="64"/>
      <c r="I75" s="7"/>
      <c r="J75" s="7"/>
      <c r="K75" s="7"/>
      <c r="L75" s="7"/>
      <c r="M75" s="7"/>
    </row>
    <row r="76" spans="1:13" outlineLevel="1" x14ac:dyDescent="0.25">
      <c r="A76" s="8" t="s">
        <v>43</v>
      </c>
      <c r="D76" s="64">
        <v>0</v>
      </c>
      <c r="E76" s="64">
        <v>0</v>
      </c>
      <c r="F76" s="64">
        <v>-20000</v>
      </c>
      <c r="G76" s="64">
        <v>0</v>
      </c>
      <c r="H76" s="64">
        <v>0</v>
      </c>
      <c r="I76" s="7">
        <f t="shared" ref="I76:M76" si="38">I103</f>
        <v>0</v>
      </c>
      <c r="J76" s="7">
        <f t="shared" si="38"/>
        <v>0</v>
      </c>
      <c r="K76" s="7">
        <f t="shared" si="38"/>
        <v>-20000</v>
      </c>
      <c r="L76" s="7">
        <f t="shared" si="38"/>
        <v>0</v>
      </c>
      <c r="M76" s="7">
        <f t="shared" si="38"/>
        <v>0</v>
      </c>
    </row>
    <row r="77" spans="1:13" outlineLevel="1" x14ac:dyDescent="0.25">
      <c r="A77" s="8" t="s">
        <v>44</v>
      </c>
      <c r="D77" s="64">
        <v>170000</v>
      </c>
      <c r="E77" s="64">
        <v>0</v>
      </c>
      <c r="F77" s="64">
        <v>0</v>
      </c>
      <c r="G77" s="64">
        <v>0</v>
      </c>
      <c r="H77" s="64">
        <v>0</v>
      </c>
      <c r="I77" s="7">
        <f>I21</f>
        <v>0</v>
      </c>
      <c r="J77" s="7">
        <f>J21</f>
        <v>0</v>
      </c>
      <c r="K77" s="7">
        <f>K21</f>
        <v>0</v>
      </c>
      <c r="L77" s="7">
        <f>L21</f>
        <v>0</v>
      </c>
      <c r="M77" s="7">
        <f>M21</f>
        <v>0</v>
      </c>
    </row>
    <row r="78" spans="1:13" outlineLevel="1" x14ac:dyDescent="0.25">
      <c r="A78" s="48" t="s">
        <v>45</v>
      </c>
      <c r="B78" s="5"/>
      <c r="C78" s="83"/>
      <c r="D78" s="65">
        <f>SUM(D76:D77)</f>
        <v>170000</v>
      </c>
      <c r="E78" s="65">
        <f t="shared" ref="E78:H78" si="39">SUM(E76:E77)</f>
        <v>0</v>
      </c>
      <c r="F78" s="65">
        <f t="shared" si="39"/>
        <v>-20000</v>
      </c>
      <c r="G78" s="65">
        <f t="shared" si="39"/>
        <v>0</v>
      </c>
      <c r="H78" s="65">
        <f t="shared" si="39"/>
        <v>0</v>
      </c>
      <c r="I78" s="48">
        <f t="shared" ref="I78:M78" si="40">SUM(I76:I77)</f>
        <v>0</v>
      </c>
      <c r="J78" s="48">
        <f t="shared" si="40"/>
        <v>0</v>
      </c>
      <c r="K78" s="48">
        <f t="shared" si="40"/>
        <v>-20000</v>
      </c>
      <c r="L78" s="48">
        <f t="shared" si="40"/>
        <v>0</v>
      </c>
      <c r="M78" s="48">
        <f t="shared" si="40"/>
        <v>0</v>
      </c>
    </row>
    <row r="79" spans="1:13" outlineLevel="1" x14ac:dyDescent="0.25">
      <c r="A79" s="59"/>
      <c r="B79" s="7"/>
      <c r="C79" s="51"/>
      <c r="D79" s="60"/>
      <c r="E79" s="60"/>
      <c r="F79" s="60"/>
      <c r="G79" s="60"/>
      <c r="H79" s="60"/>
      <c r="I79" s="59"/>
      <c r="J79" s="59"/>
      <c r="K79" s="59"/>
      <c r="L79" s="59"/>
      <c r="M79" s="59"/>
    </row>
    <row r="80" spans="1:13" outlineLevel="1" x14ac:dyDescent="0.25">
      <c r="A80" s="8" t="s">
        <v>46</v>
      </c>
      <c r="D80" s="84">
        <f>D69-D73+D78</f>
        <v>167971.17920000001</v>
      </c>
      <c r="E80" s="84">
        <f t="shared" ref="E80:M80" si="41">E69-E73+E78</f>
        <v>13238.733497877969</v>
      </c>
      <c r="F80" s="84">
        <f t="shared" si="41"/>
        <v>2505.3438851313258</v>
      </c>
      <c r="G80" s="84">
        <f t="shared" si="41"/>
        <v>27354.07902359531</v>
      </c>
      <c r="H80" s="84">
        <f t="shared" si="41"/>
        <v>28480.18475858029</v>
      </c>
      <c r="I80" s="84">
        <f t="shared" si="41"/>
        <v>22606.32867773973</v>
      </c>
      <c r="J80" s="84">
        <f t="shared" si="41"/>
        <v>27307.260470256857</v>
      </c>
      <c r="K80" s="84">
        <f t="shared" si="41"/>
        <v>16248.799072612172</v>
      </c>
      <c r="L80" s="84">
        <f t="shared" si="41"/>
        <v>42287.44988713901</v>
      </c>
      <c r="M80" s="84">
        <f t="shared" si="41"/>
        <v>48898.89596557559</v>
      </c>
    </row>
    <row r="81" spans="1:13" outlineLevel="1" x14ac:dyDescent="0.25">
      <c r="A81" s="8" t="s">
        <v>47</v>
      </c>
      <c r="D81" s="64">
        <v>0</v>
      </c>
      <c r="E81" s="64">
        <v>67971.179200000013</v>
      </c>
      <c r="F81" s="64">
        <v>81209.912697877968</v>
      </c>
      <c r="G81" s="64">
        <v>83715.256583009294</v>
      </c>
      <c r="H81" s="64">
        <v>111069.33560660461</v>
      </c>
      <c r="I81" s="7">
        <f t="shared" ref="I81:M81" si="42">H82</f>
        <v>139549.5203651849</v>
      </c>
      <c r="J81" s="7">
        <f t="shared" si="42"/>
        <v>162155.84904292464</v>
      </c>
      <c r="K81" s="7">
        <f t="shared" si="42"/>
        <v>189463.10951318149</v>
      </c>
      <c r="L81" s="7">
        <f t="shared" si="42"/>
        <v>205711.90858579366</v>
      </c>
      <c r="M81" s="7">
        <f t="shared" si="42"/>
        <v>247999.35847293265</v>
      </c>
    </row>
    <row r="82" spans="1:13" outlineLevel="1" x14ac:dyDescent="0.25">
      <c r="A82" s="48" t="s">
        <v>48</v>
      </c>
      <c r="B82" s="5"/>
      <c r="C82" s="83"/>
      <c r="D82" s="65">
        <f>SUM(D80:D81)</f>
        <v>167971.17920000001</v>
      </c>
      <c r="E82" s="65">
        <f t="shared" ref="E82:M82" si="43">SUM(E80:E81)</f>
        <v>81209.912697877982</v>
      </c>
      <c r="F82" s="65">
        <f t="shared" si="43"/>
        <v>83715.256583009294</v>
      </c>
      <c r="G82" s="65">
        <f t="shared" si="43"/>
        <v>111069.33560660461</v>
      </c>
      <c r="H82" s="65">
        <f t="shared" si="43"/>
        <v>139549.5203651849</v>
      </c>
      <c r="I82" s="65">
        <f t="shared" si="43"/>
        <v>162155.84904292464</v>
      </c>
      <c r="J82" s="65">
        <f t="shared" si="43"/>
        <v>189463.10951318149</v>
      </c>
      <c r="K82" s="65">
        <f t="shared" si="43"/>
        <v>205711.90858579366</v>
      </c>
      <c r="L82" s="65">
        <f t="shared" si="43"/>
        <v>247999.35847293265</v>
      </c>
      <c r="M82" s="65">
        <f t="shared" si="43"/>
        <v>296898.25443850824</v>
      </c>
    </row>
    <row r="83" spans="1:13" outlineLevel="1" x14ac:dyDescent="0.25">
      <c r="A83" s="9"/>
      <c r="D83" s="60"/>
      <c r="E83" s="11"/>
      <c r="F83" s="11"/>
      <c r="G83" s="11"/>
      <c r="H83" s="11"/>
    </row>
    <row r="84" spans="1:13" outlineLevel="1" x14ac:dyDescent="0.25">
      <c r="A84" s="9"/>
      <c r="D84" s="60"/>
      <c r="E84" s="11"/>
      <c r="F84" s="11"/>
      <c r="G84" s="11"/>
      <c r="H84" s="11"/>
    </row>
    <row r="85" spans="1:13" x14ac:dyDescent="0.25">
      <c r="D85" s="11"/>
      <c r="E85" s="11"/>
      <c r="F85" s="11"/>
      <c r="G85" s="11"/>
      <c r="H85" s="11"/>
    </row>
    <row r="86" spans="1:13" ht="20.25" x14ac:dyDescent="0.3">
      <c r="A86" s="124" t="s">
        <v>51</v>
      </c>
      <c r="B86" s="125"/>
      <c r="C86" s="126"/>
      <c r="D86" s="125"/>
      <c r="E86" s="125"/>
      <c r="F86" s="125"/>
      <c r="G86" s="125"/>
      <c r="H86" s="125"/>
      <c r="I86" s="125"/>
      <c r="J86" s="125"/>
      <c r="K86" s="125"/>
      <c r="L86" s="125"/>
      <c r="M86" s="125"/>
    </row>
    <row r="87" spans="1:13" outlineLevel="1" x14ac:dyDescent="0.25">
      <c r="D87" s="11"/>
      <c r="E87" s="11"/>
      <c r="F87" s="11"/>
      <c r="G87" s="11"/>
      <c r="H87" s="11"/>
    </row>
    <row r="88" spans="1:13" outlineLevel="1" x14ac:dyDescent="0.25">
      <c r="A88" s="9" t="s">
        <v>52</v>
      </c>
      <c r="D88" s="11"/>
      <c r="E88" s="11"/>
      <c r="F88" s="11"/>
      <c r="G88" s="11"/>
      <c r="H88" s="11"/>
    </row>
    <row r="89" spans="1:13" outlineLevel="1" x14ac:dyDescent="0.25">
      <c r="A89" s="8" t="s">
        <v>13</v>
      </c>
      <c r="D89" s="11">
        <v>5100.3500000000004</v>
      </c>
      <c r="E89" s="11">
        <v>5904.3</v>
      </c>
      <c r="F89" s="11">
        <v>6567.25</v>
      </c>
      <c r="G89" s="11">
        <v>7117.05</v>
      </c>
      <c r="H89" s="11">
        <v>7538.6</v>
      </c>
      <c r="I89" s="103">
        <f t="shared" ref="I89:M90" si="44">I45</f>
        <v>8178.8646575342473</v>
      </c>
      <c r="J89" s="103">
        <f t="shared" si="44"/>
        <v>8996.7511232876732</v>
      </c>
      <c r="K89" s="103">
        <f t="shared" si="44"/>
        <v>9896.42623561644</v>
      </c>
      <c r="L89" s="103">
        <f t="shared" si="44"/>
        <v>10886.068859178085</v>
      </c>
      <c r="M89" s="103">
        <f t="shared" si="44"/>
        <v>11974.675745095894</v>
      </c>
    </row>
    <row r="90" spans="1:13" outlineLevel="1" x14ac:dyDescent="0.25">
      <c r="A90" s="8" t="s">
        <v>19</v>
      </c>
      <c r="D90" s="11">
        <v>7804.6</v>
      </c>
      <c r="E90" s="11">
        <v>9600.8000000000011</v>
      </c>
      <c r="F90" s="11">
        <v>9824.6</v>
      </c>
      <c r="G90" s="11">
        <v>10530.800000000001</v>
      </c>
      <c r="H90" s="11">
        <v>11342</v>
      </c>
      <c r="I90" s="103">
        <f t="shared" si="44"/>
        <v>15267.21402739726</v>
      </c>
      <c r="J90" s="103">
        <f t="shared" si="44"/>
        <v>18893.177358904111</v>
      </c>
      <c r="K90" s="103">
        <f t="shared" si="44"/>
        <v>20782.495094794525</v>
      </c>
      <c r="L90" s="103">
        <f t="shared" si="44"/>
        <v>22860.744604273979</v>
      </c>
      <c r="M90" s="103">
        <f t="shared" si="44"/>
        <v>25146.81906470138</v>
      </c>
    </row>
    <row r="91" spans="1:13" outlineLevel="1" x14ac:dyDescent="0.25">
      <c r="A91" s="8" t="s">
        <v>22</v>
      </c>
      <c r="D91" s="11">
        <v>3902.3</v>
      </c>
      <c r="E91" s="11">
        <v>4800.4000000000005</v>
      </c>
      <c r="F91" s="11">
        <v>4912.3</v>
      </c>
      <c r="G91" s="11">
        <v>5265.4000000000005</v>
      </c>
      <c r="H91" s="11">
        <v>5671</v>
      </c>
      <c r="I91" s="103">
        <f>I51</f>
        <v>7061.086487671233</v>
      </c>
      <c r="J91" s="103">
        <f t="shared" ref="J91:M91" si="45">J51</f>
        <v>7767.1951364383576</v>
      </c>
      <c r="K91" s="103">
        <f t="shared" si="45"/>
        <v>8543.9146500821935</v>
      </c>
      <c r="L91" s="103">
        <f t="shared" si="45"/>
        <v>9398.3061150904141</v>
      </c>
      <c r="M91" s="103">
        <f t="shared" si="45"/>
        <v>10338.136726599456</v>
      </c>
    </row>
    <row r="92" spans="1:13" outlineLevel="1" x14ac:dyDescent="0.25">
      <c r="A92" s="5" t="s">
        <v>37</v>
      </c>
      <c r="B92" s="5"/>
      <c r="C92" s="83"/>
      <c r="D92" s="85">
        <f>D89+D90-D91</f>
        <v>9002.6500000000015</v>
      </c>
      <c r="E92" s="85">
        <f t="shared" ref="E92:M92" si="46">E89+E90-E91</f>
        <v>10704.7</v>
      </c>
      <c r="F92" s="85">
        <f t="shared" si="46"/>
        <v>11479.55</v>
      </c>
      <c r="G92" s="85">
        <f t="shared" si="46"/>
        <v>12382.45</v>
      </c>
      <c r="H92" s="85">
        <f t="shared" si="46"/>
        <v>13209.599999999999</v>
      </c>
      <c r="I92" s="104">
        <f t="shared" si="46"/>
        <v>16384.992197260275</v>
      </c>
      <c r="J92" s="104">
        <f t="shared" si="46"/>
        <v>20122.733345753426</v>
      </c>
      <c r="K92" s="104">
        <f t="shared" si="46"/>
        <v>22135.00668032877</v>
      </c>
      <c r="L92" s="104">
        <f t="shared" si="46"/>
        <v>24348.507348361654</v>
      </c>
      <c r="M92" s="104">
        <f t="shared" si="46"/>
        <v>26783.358083197818</v>
      </c>
    </row>
    <row r="93" spans="1:13" outlineLevel="1" x14ac:dyDescent="0.25">
      <c r="A93" s="8" t="s">
        <v>36</v>
      </c>
      <c r="D93" s="32">
        <f>D92-C92</f>
        <v>9002.6500000000015</v>
      </c>
      <c r="E93" s="32">
        <f t="shared" ref="E93:M93" si="47">E92-D92</f>
        <v>1702.0499999999993</v>
      </c>
      <c r="F93" s="32">
        <f t="shared" si="47"/>
        <v>774.84999999999854</v>
      </c>
      <c r="G93" s="32">
        <f t="shared" si="47"/>
        <v>902.90000000000146</v>
      </c>
      <c r="H93" s="32">
        <f t="shared" si="47"/>
        <v>827.14999999999782</v>
      </c>
      <c r="I93" s="103">
        <f t="shared" si="47"/>
        <v>3175.3921972602766</v>
      </c>
      <c r="J93" s="103">
        <f t="shared" si="47"/>
        <v>3737.7411484931508</v>
      </c>
      <c r="K93" s="103">
        <f t="shared" si="47"/>
        <v>2012.2733345753441</v>
      </c>
      <c r="L93" s="103">
        <f t="shared" si="47"/>
        <v>2213.5006680328843</v>
      </c>
      <c r="M93" s="103">
        <f t="shared" si="47"/>
        <v>2434.8507348361636</v>
      </c>
    </row>
    <row r="94" spans="1:13" outlineLevel="1" x14ac:dyDescent="0.25">
      <c r="D94" s="11"/>
      <c r="E94" s="11"/>
      <c r="F94" s="11"/>
      <c r="G94" s="11"/>
      <c r="H94" s="11"/>
      <c r="I94" s="103"/>
      <c r="J94" s="103"/>
      <c r="K94" s="103"/>
      <c r="L94" s="103"/>
      <c r="M94" s="103"/>
    </row>
    <row r="95" spans="1:13" outlineLevel="1" x14ac:dyDescent="0.25">
      <c r="A95" s="9" t="s">
        <v>53</v>
      </c>
      <c r="D95" s="11"/>
      <c r="E95" s="11"/>
      <c r="F95" s="11"/>
      <c r="G95" s="11"/>
      <c r="H95" s="11"/>
      <c r="I95" s="103"/>
      <c r="J95" s="103"/>
      <c r="K95" s="103"/>
      <c r="L95" s="103"/>
      <c r="M95" s="103"/>
    </row>
    <row r="96" spans="1:13" outlineLevel="1" x14ac:dyDescent="0.25">
      <c r="A96" s="8" t="s">
        <v>15</v>
      </c>
      <c r="D96" s="11">
        <v>50000</v>
      </c>
      <c r="E96" s="11">
        <v>45500</v>
      </c>
      <c r="F96" s="11">
        <v>42350</v>
      </c>
      <c r="G96" s="11">
        <v>40145</v>
      </c>
      <c r="H96" s="11">
        <v>38601.5</v>
      </c>
      <c r="I96" s="103">
        <f t="shared" ref="I96:M96" si="48">H99</f>
        <v>37521.050000000003</v>
      </c>
      <c r="J96" s="103">
        <f t="shared" si="48"/>
        <v>39388.682500000003</v>
      </c>
      <c r="K96" s="103">
        <f t="shared" si="48"/>
        <v>40602.643625000004</v>
      </c>
      <c r="L96" s="103">
        <f t="shared" si="48"/>
        <v>41391.718356249999</v>
      </c>
      <c r="M96" s="103">
        <f t="shared" si="48"/>
        <v>41904.616931562501</v>
      </c>
    </row>
    <row r="97" spans="1:13" outlineLevel="1" x14ac:dyDescent="0.25">
      <c r="A97" s="8" t="s">
        <v>16</v>
      </c>
      <c r="D97" s="11">
        <v>15000</v>
      </c>
      <c r="E97" s="11">
        <v>15000</v>
      </c>
      <c r="F97" s="11">
        <v>15000</v>
      </c>
      <c r="G97" s="11">
        <v>15000</v>
      </c>
      <c r="H97" s="11">
        <v>15000</v>
      </c>
      <c r="I97" s="103">
        <f>I19</f>
        <v>15000</v>
      </c>
      <c r="J97" s="103">
        <f>J19</f>
        <v>15000</v>
      </c>
      <c r="K97" s="103">
        <f>K19</f>
        <v>15000</v>
      </c>
      <c r="L97" s="103">
        <f>L19</f>
        <v>15000</v>
      </c>
      <c r="M97" s="103">
        <f>M19</f>
        <v>15000</v>
      </c>
    </row>
    <row r="98" spans="1:13" outlineLevel="1" x14ac:dyDescent="0.25">
      <c r="A98" s="8" t="s">
        <v>17</v>
      </c>
      <c r="C98" s="75"/>
      <c r="D98" s="11">
        <v>19500</v>
      </c>
      <c r="E98" s="11">
        <v>18150</v>
      </c>
      <c r="F98" s="11">
        <v>17205</v>
      </c>
      <c r="G98" s="11">
        <v>16543.5</v>
      </c>
      <c r="H98" s="11">
        <v>16080.449999999999</v>
      </c>
      <c r="I98" s="105">
        <f>I96*I13</f>
        <v>13132.3675</v>
      </c>
      <c r="J98" s="106">
        <f>J96*J13</f>
        <v>13786.038875</v>
      </c>
      <c r="K98" s="106">
        <f>K96*K13</f>
        <v>14210.925268750001</v>
      </c>
      <c r="L98" s="106">
        <f>L96*L13</f>
        <v>14487.101424687498</v>
      </c>
      <c r="M98" s="106">
        <f>M96*M13</f>
        <v>14666.615926046874</v>
      </c>
    </row>
    <row r="99" spans="1:13" outlineLevel="1" x14ac:dyDescent="0.25">
      <c r="A99" s="5" t="s">
        <v>18</v>
      </c>
      <c r="B99" s="5"/>
      <c r="C99" s="83"/>
      <c r="D99" s="85">
        <f>D96+D97-D98</f>
        <v>45500</v>
      </c>
      <c r="E99" s="85">
        <f t="shared" ref="E99:M99" si="49">E96+E97-E98</f>
        <v>42350</v>
      </c>
      <c r="F99" s="85">
        <f t="shared" si="49"/>
        <v>40145</v>
      </c>
      <c r="G99" s="85">
        <f t="shared" si="49"/>
        <v>38601.5</v>
      </c>
      <c r="H99" s="85">
        <f t="shared" si="49"/>
        <v>37521.050000000003</v>
      </c>
      <c r="I99" s="104">
        <f t="shared" si="49"/>
        <v>39388.682500000003</v>
      </c>
      <c r="J99" s="104">
        <f t="shared" si="49"/>
        <v>40602.643625000004</v>
      </c>
      <c r="K99" s="104">
        <f t="shared" si="49"/>
        <v>41391.718356249999</v>
      </c>
      <c r="L99" s="104">
        <f t="shared" si="49"/>
        <v>41904.616931562501</v>
      </c>
      <c r="M99" s="104">
        <f t="shared" si="49"/>
        <v>42238.001005515631</v>
      </c>
    </row>
    <row r="100" spans="1:13" outlineLevel="1" x14ac:dyDescent="0.25">
      <c r="D100" s="11"/>
      <c r="E100" s="11"/>
      <c r="F100" s="11"/>
      <c r="G100" s="11"/>
      <c r="H100" s="11"/>
      <c r="I100" s="103"/>
      <c r="J100" s="103"/>
      <c r="K100" s="103"/>
      <c r="L100" s="103"/>
      <c r="M100" s="103"/>
    </row>
    <row r="101" spans="1:13" outlineLevel="1" x14ac:dyDescent="0.25">
      <c r="A101" s="9" t="s">
        <v>54</v>
      </c>
      <c r="D101" s="11"/>
      <c r="E101" s="11"/>
      <c r="F101" s="11"/>
      <c r="G101" s="11"/>
      <c r="H101" s="11"/>
      <c r="I101" s="103"/>
      <c r="J101" s="103"/>
      <c r="K101" s="103"/>
      <c r="L101" s="103"/>
      <c r="M101" s="103"/>
    </row>
    <row r="102" spans="1:13" outlineLevel="1" x14ac:dyDescent="0.25">
      <c r="A102" s="8" t="s">
        <v>24</v>
      </c>
      <c r="D102" s="11">
        <v>50000</v>
      </c>
      <c r="E102" s="11">
        <v>50000</v>
      </c>
      <c r="F102" s="11">
        <v>50000</v>
      </c>
      <c r="G102" s="11">
        <v>30000</v>
      </c>
      <c r="H102" s="11">
        <v>30000</v>
      </c>
      <c r="I102" s="103">
        <f t="shared" ref="I102:M102" si="50">H104</f>
        <v>30000</v>
      </c>
      <c r="J102" s="103">
        <f t="shared" si="50"/>
        <v>30000</v>
      </c>
      <c r="K102" s="103">
        <f t="shared" si="50"/>
        <v>30000</v>
      </c>
      <c r="L102" s="103">
        <f t="shared" si="50"/>
        <v>10000</v>
      </c>
      <c r="M102" s="103">
        <f t="shared" si="50"/>
        <v>10000</v>
      </c>
    </row>
    <row r="103" spans="1:13" outlineLevel="1" x14ac:dyDescent="0.25">
      <c r="A103" s="8" t="s">
        <v>25</v>
      </c>
      <c r="D103" s="11">
        <v>0</v>
      </c>
      <c r="E103" s="11">
        <v>0</v>
      </c>
      <c r="F103" s="11">
        <v>-20000</v>
      </c>
      <c r="G103" s="11">
        <v>0</v>
      </c>
      <c r="H103" s="11">
        <v>0</v>
      </c>
      <c r="I103" s="107">
        <f>I20</f>
        <v>0</v>
      </c>
      <c r="J103" s="107">
        <f>J20</f>
        <v>0</v>
      </c>
      <c r="K103" s="107">
        <f>K20</f>
        <v>-20000</v>
      </c>
      <c r="L103" s="107">
        <f>L20</f>
        <v>0</v>
      </c>
      <c r="M103" s="107">
        <f>M20</f>
        <v>0</v>
      </c>
    </row>
    <row r="104" spans="1:13" outlineLevel="1" x14ac:dyDescent="0.25">
      <c r="A104" s="5" t="s">
        <v>26</v>
      </c>
      <c r="B104" s="5"/>
      <c r="C104" s="83"/>
      <c r="D104" s="85">
        <f>SUM(D102:D103)</f>
        <v>50000</v>
      </c>
      <c r="E104" s="85">
        <f t="shared" ref="E104:H104" si="51">SUM(E102:E103)</f>
        <v>50000</v>
      </c>
      <c r="F104" s="85">
        <f t="shared" si="51"/>
        <v>30000</v>
      </c>
      <c r="G104" s="85">
        <f t="shared" si="51"/>
        <v>30000</v>
      </c>
      <c r="H104" s="85">
        <f t="shared" si="51"/>
        <v>30000</v>
      </c>
      <c r="I104" s="108">
        <f t="shared" ref="I104:M104" si="52">SUM(I102:I103)</f>
        <v>30000</v>
      </c>
      <c r="J104" s="108">
        <f t="shared" si="52"/>
        <v>30000</v>
      </c>
      <c r="K104" s="108">
        <f t="shared" si="52"/>
        <v>10000</v>
      </c>
      <c r="L104" s="108">
        <f t="shared" si="52"/>
        <v>10000</v>
      </c>
      <c r="M104" s="108">
        <f t="shared" si="52"/>
        <v>10000</v>
      </c>
    </row>
    <row r="105" spans="1:13" outlineLevel="1" x14ac:dyDescent="0.25">
      <c r="A105" s="8" t="s">
        <v>27</v>
      </c>
      <c r="C105" s="75"/>
      <c r="D105" s="11">
        <v>2500</v>
      </c>
      <c r="E105" s="11">
        <v>2500</v>
      </c>
      <c r="F105" s="11">
        <v>1500</v>
      </c>
      <c r="G105" s="11">
        <v>1500</v>
      </c>
      <c r="H105" s="11">
        <v>1500</v>
      </c>
      <c r="I105" s="103">
        <f>I104*I14</f>
        <v>3000</v>
      </c>
      <c r="J105" s="103">
        <f>J104*J14</f>
        <v>3000</v>
      </c>
      <c r="K105" s="103">
        <f>K104*K14</f>
        <v>1000</v>
      </c>
      <c r="L105" s="103">
        <f>L104*L14</f>
        <v>1000</v>
      </c>
      <c r="M105" s="103">
        <f>M104*M14</f>
        <v>1000</v>
      </c>
    </row>
    <row r="106" spans="1:13" outlineLevel="1" x14ac:dyDescent="0.25">
      <c r="D106" s="11"/>
      <c r="E106" s="11"/>
      <c r="F106" s="11"/>
      <c r="G106" s="11"/>
      <c r="H106" s="11"/>
    </row>
    <row r="107" spans="1:13" outlineLevel="1" x14ac:dyDescent="0.25">
      <c r="D107" s="11"/>
      <c r="E107" s="11"/>
      <c r="F107" s="11"/>
      <c r="G107" s="11"/>
      <c r="H107" s="11"/>
    </row>
    <row r="108" spans="1:13" x14ac:dyDescent="0.25">
      <c r="D108" s="11"/>
      <c r="E108" s="11"/>
      <c r="F108" s="11"/>
      <c r="G108" s="11"/>
      <c r="H108" s="11"/>
    </row>
    <row r="109" spans="1:13" ht="20.25" x14ac:dyDescent="0.3">
      <c r="A109" s="124" t="s">
        <v>76</v>
      </c>
      <c r="B109" s="125"/>
      <c r="C109" s="126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</row>
    <row r="110" spans="1:13" outlineLevel="1" x14ac:dyDescent="0.25">
      <c r="A110" s="9"/>
      <c r="D110" s="11"/>
      <c r="E110" s="11"/>
      <c r="F110" s="11"/>
      <c r="G110" s="11"/>
      <c r="H110" s="11"/>
    </row>
    <row r="111" spans="1:13" outlineLevel="1" x14ac:dyDescent="0.25">
      <c r="A111" s="86" t="s">
        <v>73</v>
      </c>
      <c r="B111" s="11"/>
      <c r="C111" s="11"/>
      <c r="D111" s="11"/>
    </row>
    <row r="112" spans="1:13" outlineLevel="1" x14ac:dyDescent="0.25">
      <c r="A112" s="85" t="s">
        <v>85</v>
      </c>
      <c r="B112" s="87"/>
      <c r="C112" s="88">
        <v>0.25</v>
      </c>
      <c r="D112" s="11"/>
    </row>
    <row r="113" spans="1:13" outlineLevel="1" x14ac:dyDescent="0.25">
      <c r="A113" s="32" t="s">
        <v>86</v>
      </c>
      <c r="C113" s="89">
        <v>0.12</v>
      </c>
    </row>
    <row r="114" spans="1:13" outlineLevel="1" x14ac:dyDescent="0.25">
      <c r="A114" s="8" t="s">
        <v>87</v>
      </c>
      <c r="C114" s="89">
        <v>0.04</v>
      </c>
      <c r="J114" s="75"/>
      <c r="K114" s="75"/>
      <c r="L114" s="75"/>
      <c r="M114" s="75"/>
    </row>
    <row r="115" spans="1:13" outlineLevel="1" x14ac:dyDescent="0.25">
      <c r="A115" s="8" t="s">
        <v>88</v>
      </c>
      <c r="C115" s="143">
        <v>8</v>
      </c>
      <c r="J115" s="75"/>
      <c r="K115" s="75"/>
      <c r="L115" s="75"/>
      <c r="M115" s="75"/>
    </row>
    <row r="116" spans="1:13" outlineLevel="1" x14ac:dyDescent="0.25">
      <c r="A116" s="8" t="s">
        <v>93</v>
      </c>
      <c r="C116" s="90">
        <v>42369</v>
      </c>
      <c r="J116" s="75"/>
      <c r="K116" s="75"/>
      <c r="L116" s="75"/>
      <c r="M116" s="75"/>
    </row>
    <row r="117" spans="1:13" outlineLevel="1" x14ac:dyDescent="0.25">
      <c r="A117" s="8" t="s">
        <v>101</v>
      </c>
      <c r="C117" s="91">
        <v>16</v>
      </c>
      <c r="J117" s="75"/>
      <c r="K117" s="75"/>
      <c r="L117" s="75"/>
      <c r="M117" s="75"/>
    </row>
    <row r="118" spans="1:13" outlineLevel="1" x14ac:dyDescent="0.25">
      <c r="A118" s="8" t="s">
        <v>96</v>
      </c>
      <c r="C118" s="92">
        <v>20000</v>
      </c>
    </row>
    <row r="119" spans="1:13" outlineLevel="1" x14ac:dyDescent="0.25">
      <c r="C119" s="92"/>
    </row>
    <row r="120" spans="1:13" outlineLevel="1" x14ac:dyDescent="0.25">
      <c r="C120" s="90"/>
    </row>
    <row r="121" spans="1:13" outlineLevel="1" x14ac:dyDescent="0.25">
      <c r="A121" s="1" t="s">
        <v>94</v>
      </c>
      <c r="B121" s="6"/>
      <c r="C121" s="93" t="s">
        <v>98</v>
      </c>
      <c r="D121" s="94">
        <v>2016</v>
      </c>
      <c r="E121" s="94">
        <f>+D121+1</f>
        <v>2017</v>
      </c>
      <c r="F121" s="94">
        <f t="shared" ref="F121:H121" si="53">+E121+1</f>
        <v>2018</v>
      </c>
      <c r="G121" s="94">
        <f t="shared" si="53"/>
        <v>2019</v>
      </c>
      <c r="H121" s="94">
        <f t="shared" si="53"/>
        <v>2020</v>
      </c>
      <c r="I121" s="93" t="s">
        <v>99</v>
      </c>
      <c r="K121" s="9" t="s">
        <v>83</v>
      </c>
    </row>
    <row r="122" spans="1:13" outlineLevel="1" x14ac:dyDescent="0.25">
      <c r="A122" s="5" t="s">
        <v>100</v>
      </c>
      <c r="B122" s="5"/>
      <c r="C122" s="95">
        <f>C116</f>
        <v>42369</v>
      </c>
      <c r="D122" s="95">
        <v>42735</v>
      </c>
      <c r="E122" s="95">
        <v>43100</v>
      </c>
      <c r="F122" s="95">
        <v>43465</v>
      </c>
      <c r="G122" s="95">
        <v>43830</v>
      </c>
      <c r="H122" s="95">
        <v>44196</v>
      </c>
      <c r="I122" s="95">
        <v>44196</v>
      </c>
      <c r="K122" s="5" t="s">
        <v>84</v>
      </c>
      <c r="L122" s="5"/>
      <c r="M122" s="96"/>
    </row>
    <row r="123" spans="1:13" outlineLevel="1" x14ac:dyDescent="0.25">
      <c r="C123" s="8"/>
      <c r="D123" s="97"/>
      <c r="K123" s="8" t="s">
        <v>91</v>
      </c>
      <c r="M123" s="4">
        <f>+H129*(C115*(1+$J$172))</f>
        <v>676448.9890016003</v>
      </c>
    </row>
    <row r="124" spans="1:13" outlineLevel="1" x14ac:dyDescent="0.25">
      <c r="A124" s="8" t="s">
        <v>77</v>
      </c>
      <c r="C124" s="8"/>
      <c r="D124" s="8">
        <f>I35</f>
        <v>36865.804500000006</v>
      </c>
      <c r="E124" s="8">
        <f t="shared" ref="E124:H124" si="54">J35</f>
        <v>43011.950325000013</v>
      </c>
      <c r="F124" s="8">
        <f t="shared" si="54"/>
        <v>52066.862851250015</v>
      </c>
      <c r="G124" s="8">
        <f t="shared" si="54"/>
        <v>60018.465507312532</v>
      </c>
      <c r="H124" s="8">
        <f t="shared" si="54"/>
        <v>68889.507699153168</v>
      </c>
      <c r="K124" s="8" t="s">
        <v>92</v>
      </c>
      <c r="M124" s="5">
        <f>AVERAGE(M122:M123)</f>
        <v>676448.9890016003</v>
      </c>
    </row>
    <row r="125" spans="1:13" outlineLevel="1" x14ac:dyDescent="0.25">
      <c r="A125" s="8" t="s">
        <v>6</v>
      </c>
      <c r="C125" s="8"/>
      <c r="D125" s="8">
        <f>I33</f>
        <v>3000</v>
      </c>
      <c r="E125" s="8">
        <f t="shared" ref="E125:H125" si="55">J33</f>
        <v>3000</v>
      </c>
      <c r="F125" s="8">
        <f t="shared" si="55"/>
        <v>1000</v>
      </c>
      <c r="G125" s="8">
        <f t="shared" si="55"/>
        <v>1000</v>
      </c>
      <c r="H125" s="8">
        <f t="shared" si="55"/>
        <v>1000</v>
      </c>
    </row>
    <row r="126" spans="1:13" outlineLevel="1" x14ac:dyDescent="0.25">
      <c r="A126" s="8" t="s">
        <v>78</v>
      </c>
      <c r="C126" s="8"/>
      <c r="D126" s="5">
        <f>SUM(D124:D125)</f>
        <v>39865.804500000006</v>
      </c>
      <c r="E126" s="5">
        <f t="shared" ref="E126:H126" si="56">SUM(E124:E125)</f>
        <v>46011.950325000013</v>
      </c>
      <c r="F126" s="5">
        <f t="shared" si="56"/>
        <v>53066.862851250015</v>
      </c>
      <c r="G126" s="5">
        <f t="shared" si="56"/>
        <v>61018.465507312532</v>
      </c>
      <c r="H126" s="5">
        <f t="shared" si="56"/>
        <v>69889.507699153168</v>
      </c>
    </row>
    <row r="127" spans="1:13" outlineLevel="1" x14ac:dyDescent="0.25">
      <c r="A127" s="8" t="s">
        <v>79</v>
      </c>
      <c r="C127" s="8"/>
      <c r="D127" s="4">
        <f>D126*$C$112</f>
        <v>9966.4511250000014</v>
      </c>
      <c r="E127" s="4">
        <f t="shared" ref="E127:H127" si="57">E126*$C$112</f>
        <v>11502.987581250003</v>
      </c>
      <c r="F127" s="4">
        <f t="shared" si="57"/>
        <v>13266.715712812504</v>
      </c>
      <c r="G127" s="4">
        <f t="shared" si="57"/>
        <v>15254.616376828133</v>
      </c>
      <c r="H127" s="4">
        <f t="shared" si="57"/>
        <v>17472.376924788292</v>
      </c>
    </row>
    <row r="128" spans="1:13" outlineLevel="1" x14ac:dyDescent="0.25">
      <c r="A128" s="8" t="s">
        <v>82</v>
      </c>
      <c r="C128" s="8"/>
      <c r="D128" s="4">
        <f>+I67</f>
        <v>13132.3675</v>
      </c>
      <c r="E128" s="4">
        <f t="shared" ref="E128:H128" si="58">+J67</f>
        <v>13786.038875</v>
      </c>
      <c r="F128" s="4">
        <f t="shared" si="58"/>
        <v>14210.925268750001</v>
      </c>
      <c r="G128" s="4">
        <f t="shared" si="58"/>
        <v>14487.101424687498</v>
      </c>
      <c r="H128" s="4">
        <f t="shared" si="58"/>
        <v>14666.615926046874</v>
      </c>
    </row>
    <row r="129" spans="1:9" outlineLevel="1" x14ac:dyDescent="0.25">
      <c r="A129" s="8" t="s">
        <v>117</v>
      </c>
      <c r="C129" s="8"/>
      <c r="D129" s="98">
        <f>D126+D128</f>
        <v>52998.172000000006</v>
      </c>
      <c r="E129" s="98">
        <f t="shared" ref="E129:H129" si="59">E126+E128</f>
        <v>59797.989200000011</v>
      </c>
      <c r="F129" s="98">
        <f t="shared" si="59"/>
        <v>67277.788120000012</v>
      </c>
      <c r="G129" s="98">
        <f t="shared" si="59"/>
        <v>75505.566932000031</v>
      </c>
      <c r="H129" s="98">
        <f t="shared" si="59"/>
        <v>84556.123625200038</v>
      </c>
    </row>
    <row r="130" spans="1:9" outlineLevel="1" x14ac:dyDescent="0.25">
      <c r="A130" s="8" t="s">
        <v>80</v>
      </c>
      <c r="C130" s="8"/>
      <c r="D130" s="8">
        <f>I72</f>
        <v>15000</v>
      </c>
      <c r="E130" s="8">
        <f t="shared" ref="E130:H130" si="60">J72</f>
        <v>15000</v>
      </c>
      <c r="F130" s="8">
        <f t="shared" si="60"/>
        <v>15000</v>
      </c>
      <c r="G130" s="8">
        <f t="shared" si="60"/>
        <v>15000</v>
      </c>
      <c r="H130" s="8">
        <f t="shared" si="60"/>
        <v>15000</v>
      </c>
    </row>
    <row r="131" spans="1:9" outlineLevel="1" x14ac:dyDescent="0.25">
      <c r="A131" s="8" t="s">
        <v>81</v>
      </c>
      <c r="C131" s="8"/>
      <c r="D131" s="8">
        <f>I93</f>
        <v>3175.3921972602766</v>
      </c>
      <c r="E131" s="8">
        <f t="shared" ref="E131:H131" si="61">J93</f>
        <v>3737.7411484931508</v>
      </c>
      <c r="F131" s="8">
        <f t="shared" si="61"/>
        <v>2012.2733345753441</v>
      </c>
      <c r="G131" s="8">
        <f t="shared" si="61"/>
        <v>2213.5006680328843</v>
      </c>
      <c r="H131" s="8">
        <f t="shared" si="61"/>
        <v>2434.8507348361636</v>
      </c>
    </row>
    <row r="132" spans="1:9" outlineLevel="1" x14ac:dyDescent="0.25">
      <c r="A132" s="8" t="s">
        <v>89</v>
      </c>
      <c r="C132" s="8"/>
      <c r="D132" s="5">
        <f>D126-D127+D128-D130-D131</f>
        <v>24856.32867773973</v>
      </c>
      <c r="E132" s="5">
        <f t="shared" ref="E132:H132" si="62">E126-E127+E128-E130-E131</f>
        <v>29557.260470256857</v>
      </c>
      <c r="F132" s="5">
        <f t="shared" si="62"/>
        <v>36998.799072612172</v>
      </c>
      <c r="G132" s="5">
        <f t="shared" si="62"/>
        <v>43037.44988713901</v>
      </c>
      <c r="H132" s="5">
        <f t="shared" si="62"/>
        <v>49648.89596557559</v>
      </c>
    </row>
    <row r="133" spans="1:9" outlineLevel="1" x14ac:dyDescent="0.25">
      <c r="A133" s="8" t="s">
        <v>90</v>
      </c>
      <c r="C133" s="6"/>
      <c r="I133" s="6">
        <f>M124</f>
        <v>676448.9890016003</v>
      </c>
    </row>
    <row r="134" spans="1:9" outlineLevel="1" x14ac:dyDescent="0.25">
      <c r="A134" s="8" t="s">
        <v>95</v>
      </c>
      <c r="C134" s="5">
        <f t="shared" ref="C134:I134" si="63">C133+C132</f>
        <v>0</v>
      </c>
      <c r="D134" s="5">
        <f t="shared" si="63"/>
        <v>24856.32867773973</v>
      </c>
      <c r="E134" s="5">
        <f t="shared" si="63"/>
        <v>29557.260470256857</v>
      </c>
      <c r="F134" s="5">
        <f t="shared" si="63"/>
        <v>36998.799072612172</v>
      </c>
      <c r="G134" s="5">
        <f t="shared" si="63"/>
        <v>43037.44988713901</v>
      </c>
      <c r="H134" s="5">
        <f t="shared" si="63"/>
        <v>49648.89596557559</v>
      </c>
      <c r="I134" s="5">
        <f t="shared" si="63"/>
        <v>676448.9890016003</v>
      </c>
    </row>
    <row r="135" spans="1:9" outlineLevel="1" x14ac:dyDescent="0.25">
      <c r="A135" s="8" t="s">
        <v>97</v>
      </c>
      <c r="C135" s="7">
        <f>-G150</f>
        <v>-210450.4796348151</v>
      </c>
      <c r="D135" s="7">
        <f>D134</f>
        <v>24856.32867773973</v>
      </c>
      <c r="E135" s="7">
        <f t="shared" ref="E135:I135" si="64">E134</f>
        <v>29557.260470256857</v>
      </c>
      <c r="F135" s="7">
        <f t="shared" ref="F135" si="65">F134</f>
        <v>36998.799072612172</v>
      </c>
      <c r="G135" s="7">
        <f t="shared" ref="G135" si="66">G134</f>
        <v>43037.44988713901</v>
      </c>
      <c r="H135" s="7">
        <f t="shared" si="64"/>
        <v>49648.89596557559</v>
      </c>
      <c r="I135" s="7">
        <f t="shared" si="64"/>
        <v>676448.9890016003</v>
      </c>
    </row>
    <row r="136" spans="1:9" outlineLevel="1" x14ac:dyDescent="0.25">
      <c r="C136" s="7"/>
      <c r="D136" s="7"/>
      <c r="E136" s="7"/>
      <c r="F136" s="7"/>
      <c r="G136" s="7"/>
      <c r="H136" s="7"/>
      <c r="I136" s="7"/>
    </row>
    <row r="137" spans="1:9" outlineLevel="1" x14ac:dyDescent="0.25">
      <c r="A137" s="9" t="s">
        <v>119</v>
      </c>
      <c r="C137" s="7"/>
      <c r="D137" s="7"/>
      <c r="E137" s="7"/>
      <c r="F137" s="7"/>
      <c r="G137" s="7"/>
      <c r="H137" s="7"/>
      <c r="I137" s="7"/>
    </row>
    <row r="138" spans="1:9" outlineLevel="1" x14ac:dyDescent="0.25">
      <c r="A138" s="7">
        <f>XNPV($C$113,$C138:$H138,$C$122:$H$122)</f>
        <v>22186.260933448099</v>
      </c>
      <c r="B138" s="28">
        <f>A138/$A$144</f>
        <v>4.3403503087386455E-2</v>
      </c>
      <c r="C138" s="7">
        <v>0</v>
      </c>
      <c r="D138" s="7">
        <f>D135</f>
        <v>24856.32867773973</v>
      </c>
      <c r="E138" s="7">
        <v>0</v>
      </c>
      <c r="F138" s="7">
        <v>0</v>
      </c>
      <c r="G138" s="7">
        <v>0</v>
      </c>
      <c r="H138" s="7">
        <v>0</v>
      </c>
      <c r="I138" s="7"/>
    </row>
    <row r="139" spans="1:9" outlineLevel="1" x14ac:dyDescent="0.25">
      <c r="A139" s="7">
        <f t="shared" ref="A139:A143" si="67">XNPV($C$113,$C139:$H139,$C$122:$H$122)</f>
        <v>23555.55219575746</v>
      </c>
      <c r="B139" s="28">
        <f t="shared" ref="B139:B143" si="68">A139/$A$144</f>
        <v>4.6082279728004417E-2</v>
      </c>
      <c r="C139" s="7">
        <v>0</v>
      </c>
      <c r="D139" s="7">
        <v>0</v>
      </c>
      <c r="E139" s="7">
        <f>E135</f>
        <v>29557.260470256857</v>
      </c>
      <c r="F139" s="7">
        <v>0</v>
      </c>
      <c r="G139" s="7">
        <v>0</v>
      </c>
      <c r="H139" s="7">
        <v>0</v>
      </c>
      <c r="I139" s="7"/>
    </row>
    <row r="140" spans="1:9" outlineLevel="1" x14ac:dyDescent="0.25">
      <c r="A140" s="7">
        <f t="shared" si="67"/>
        <v>26326.838895238459</v>
      </c>
      <c r="B140" s="28">
        <f t="shared" si="68"/>
        <v>5.1503812954255108E-2</v>
      </c>
      <c r="C140" s="7">
        <v>0</v>
      </c>
      <c r="D140" s="7">
        <v>0</v>
      </c>
      <c r="E140" s="7">
        <v>0</v>
      </c>
      <c r="F140" s="7">
        <f>F135</f>
        <v>36998.799072612172</v>
      </c>
      <c r="G140" s="7">
        <v>0</v>
      </c>
      <c r="H140" s="7">
        <v>0</v>
      </c>
      <c r="I140" s="7"/>
    </row>
    <row r="141" spans="1:9" outlineLevel="1" x14ac:dyDescent="0.25">
      <c r="A141" s="7">
        <f t="shared" si="67"/>
        <v>27342.58654625891</v>
      </c>
      <c r="B141" s="28">
        <f t="shared" si="68"/>
        <v>5.3490943928659454E-2</v>
      </c>
      <c r="C141" s="7">
        <v>0</v>
      </c>
      <c r="D141" s="7">
        <v>0</v>
      </c>
      <c r="E141" s="7">
        <v>0</v>
      </c>
      <c r="F141" s="7">
        <v>0</v>
      </c>
      <c r="G141" s="7">
        <f>G135</f>
        <v>43037.44988713901</v>
      </c>
      <c r="H141" s="7">
        <v>0</v>
      </c>
      <c r="I141" s="7"/>
    </row>
    <row r="142" spans="1:9" outlineLevel="1" x14ac:dyDescent="0.25">
      <c r="A142" s="7">
        <f t="shared" si="67"/>
        <v>28154.628062571781</v>
      </c>
      <c r="B142" s="28">
        <f t="shared" si="68"/>
        <v>5.5079559809726439E-2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f>H135</f>
        <v>49648.89596557559</v>
      </c>
      <c r="I142" s="7"/>
    </row>
    <row r="143" spans="1:9" outlineLevel="1" x14ac:dyDescent="0.25">
      <c r="A143" s="7">
        <f t="shared" si="67"/>
        <v>383597.04316180298</v>
      </c>
      <c r="B143" s="28">
        <f t="shared" si="68"/>
        <v>0.75043990049196818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f>I133</f>
        <v>676448.9890016003</v>
      </c>
      <c r="I143" s="7"/>
    </row>
    <row r="144" spans="1:9" outlineLevel="1" x14ac:dyDescent="0.25">
      <c r="A144" s="48">
        <f>SUM(A138:A143)</f>
        <v>511162.90979507769</v>
      </c>
      <c r="B144" s="99">
        <f>SUM(B138:B143)</f>
        <v>1</v>
      </c>
      <c r="C144" s="5">
        <f>SUM(C138:C143)</f>
        <v>0</v>
      </c>
      <c r="D144" s="5">
        <f t="shared" ref="D144:H144" si="69">SUM(D138:D143)</f>
        <v>24856.32867773973</v>
      </c>
      <c r="E144" s="5">
        <f t="shared" si="69"/>
        <v>29557.260470256857</v>
      </c>
      <c r="F144" s="5">
        <f t="shared" si="69"/>
        <v>36998.799072612172</v>
      </c>
      <c r="G144" s="5">
        <f t="shared" si="69"/>
        <v>43037.44988713901</v>
      </c>
      <c r="H144" s="5">
        <f t="shared" si="69"/>
        <v>726097.88496717589</v>
      </c>
    </row>
    <row r="145" spans="1:13" outlineLevel="1" x14ac:dyDescent="0.25">
      <c r="A145" s="7"/>
      <c r="B145" s="14"/>
      <c r="C145" s="7"/>
      <c r="D145" s="7"/>
      <c r="E145" s="7"/>
      <c r="F145" s="7"/>
      <c r="G145" s="7"/>
      <c r="H145" s="7"/>
    </row>
    <row r="146" spans="1:13" outlineLevel="1" x14ac:dyDescent="0.25">
      <c r="A146" s="9" t="s">
        <v>111</v>
      </c>
      <c r="C146" s="7"/>
      <c r="E146" s="9" t="s">
        <v>112</v>
      </c>
      <c r="I146" s="9" t="s">
        <v>113</v>
      </c>
    </row>
    <row r="147" spans="1:13" outlineLevel="1" x14ac:dyDescent="0.25">
      <c r="A147" s="5" t="s">
        <v>106</v>
      </c>
      <c r="B147" s="5"/>
      <c r="C147" s="5">
        <f>XNPV(C113*(1+$G$172),C134:I134,C122:I122)</f>
        <v>511162.90979507769</v>
      </c>
      <c r="E147" s="5" t="s">
        <v>102</v>
      </c>
      <c r="F147" s="5"/>
      <c r="G147" s="5">
        <f>C117*C118</f>
        <v>320000</v>
      </c>
      <c r="I147" s="5" t="s">
        <v>101</v>
      </c>
      <c r="J147" s="5"/>
      <c r="K147" s="100">
        <f>C117</f>
        <v>16</v>
      </c>
    </row>
    <row r="148" spans="1:13" outlineLevel="1" x14ac:dyDescent="0.25">
      <c r="A148" s="8" t="s">
        <v>107</v>
      </c>
      <c r="C148" s="8">
        <f>+H44</f>
        <v>139549.5203651849</v>
      </c>
      <c r="E148" s="8" t="s">
        <v>103</v>
      </c>
      <c r="G148" s="8">
        <f>C149</f>
        <v>30000</v>
      </c>
      <c r="I148" s="8" t="s">
        <v>118</v>
      </c>
      <c r="K148" s="101">
        <f>C150/C118</f>
        <v>31.035621508013133</v>
      </c>
    </row>
    <row r="149" spans="1:13" outlineLevel="1" x14ac:dyDescent="0.25">
      <c r="A149" s="8" t="s">
        <v>108</v>
      </c>
      <c r="C149" s="8">
        <f>H52</f>
        <v>30000</v>
      </c>
      <c r="E149" s="8" t="s">
        <v>104</v>
      </c>
      <c r="G149" s="8">
        <f>+C148</f>
        <v>139549.5203651849</v>
      </c>
      <c r="I149" s="7" t="s">
        <v>114</v>
      </c>
      <c r="J149" s="7"/>
      <c r="K149" s="14">
        <f>K148/K147-1</f>
        <v>0.9397263442508208</v>
      </c>
    </row>
    <row r="150" spans="1:13" outlineLevel="1" x14ac:dyDescent="0.25">
      <c r="A150" s="8" t="s">
        <v>109</v>
      </c>
      <c r="C150" s="5">
        <f>C147+C148-C149</f>
        <v>620712.43016026262</v>
      </c>
      <c r="E150" s="8" t="s">
        <v>105</v>
      </c>
      <c r="G150" s="5">
        <f>G147+G148-G149</f>
        <v>210450.4796348151</v>
      </c>
      <c r="I150" s="8" t="s">
        <v>97</v>
      </c>
      <c r="K150" s="28">
        <f>XIRR(C135:I135,C122:I122)</f>
        <v>0.37028408646583566</v>
      </c>
    </row>
    <row r="151" spans="1:13" outlineLevel="1" x14ac:dyDescent="0.25">
      <c r="C151" s="8"/>
      <c r="G151" s="22"/>
    </row>
    <row r="152" spans="1:13" outlineLevel="1" x14ac:dyDescent="0.25">
      <c r="A152" s="9" t="s">
        <v>110</v>
      </c>
      <c r="C152" s="140">
        <f>C150/C118</f>
        <v>31.035621508013133</v>
      </c>
      <c r="E152" s="9" t="s">
        <v>110</v>
      </c>
      <c r="F152" s="9"/>
      <c r="G152" s="102">
        <f>G147/C118</f>
        <v>16</v>
      </c>
    </row>
    <row r="153" spans="1:13" outlineLevel="1" x14ac:dyDescent="0.25">
      <c r="C153" s="8"/>
    </row>
    <row r="154" spans="1:13" outlineLevel="1" x14ac:dyDescent="0.25">
      <c r="C154" s="8"/>
    </row>
    <row r="155" spans="1:13" x14ac:dyDescent="0.25">
      <c r="C155" s="8"/>
    </row>
    <row r="156" spans="1:13" ht="20.25" x14ac:dyDescent="0.3">
      <c r="A156" s="124" t="s">
        <v>115</v>
      </c>
      <c r="B156" s="125"/>
      <c r="C156" s="126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</row>
    <row r="157" spans="1:13" outlineLevel="1" x14ac:dyDescent="0.25">
      <c r="A157" s="9"/>
      <c r="D157" s="11"/>
      <c r="E157" s="11"/>
      <c r="F157" s="11"/>
      <c r="G157" s="11"/>
      <c r="H157" s="11"/>
    </row>
    <row r="158" spans="1:13" outlineLevel="1" x14ac:dyDescent="0.25">
      <c r="A158" s="9"/>
      <c r="D158" s="11"/>
      <c r="E158" s="11"/>
      <c r="F158" s="11"/>
      <c r="G158" s="11"/>
      <c r="H158" s="11"/>
    </row>
    <row r="159" spans="1:13" outlineLevel="1" x14ac:dyDescent="0.25">
      <c r="A159" s="127" t="s">
        <v>121</v>
      </c>
      <c r="B159" s="127"/>
      <c r="C159" s="127"/>
      <c r="D159" s="128"/>
      <c r="E159" s="128"/>
      <c r="F159" s="128"/>
      <c r="G159" s="128"/>
      <c r="H159" s="12"/>
      <c r="I159" s="13"/>
    </row>
    <row r="160" spans="1:13" outlineLevel="1" x14ac:dyDescent="0.25">
      <c r="A160" s="14"/>
      <c r="B160" s="14"/>
      <c r="C160" s="15" t="s">
        <v>123</v>
      </c>
      <c r="D160" s="16"/>
      <c r="E160" s="16"/>
      <c r="F160" s="16"/>
      <c r="G160" s="16"/>
      <c r="H160" s="12"/>
      <c r="I160" s="13"/>
    </row>
    <row r="161" spans="1:15" outlineLevel="1" x14ac:dyDescent="0.25">
      <c r="A161" s="17"/>
      <c r="B161" s="18">
        <f>C152</f>
        <v>31.035621508013133</v>
      </c>
      <c r="C161" s="19">
        <v>0</v>
      </c>
      <c r="D161" s="20">
        <f>C161+0.05</f>
        <v>0.05</v>
      </c>
      <c r="E161" s="20">
        <f t="shared" ref="E161:G161" si="70">D161+0.05</f>
        <v>0.1</v>
      </c>
      <c r="F161" s="20">
        <f t="shared" si="70"/>
        <v>0.15000000000000002</v>
      </c>
      <c r="G161" s="20">
        <f t="shared" si="70"/>
        <v>0.2</v>
      </c>
      <c r="H161" s="12"/>
      <c r="I161" s="13"/>
    </row>
    <row r="162" spans="1:15" outlineLevel="1" x14ac:dyDescent="0.25">
      <c r="A162" s="21"/>
      <c r="B162" s="109">
        <v>0.1</v>
      </c>
      <c r="C162" s="22">
        <f t="dataTable" ref="C162:G166" dt2D="1" dtr="1" r1="I9" r2="C113" ca="1"/>
        <v>21.424233554533096</v>
      </c>
      <c r="D162" s="22">
        <v>26.806394572940277</v>
      </c>
      <c r="E162" s="22">
        <v>33.217681462567434</v>
      </c>
      <c r="F162" s="22">
        <v>40.805368155945331</v>
      </c>
      <c r="G162" s="22">
        <v>49.730379227063224</v>
      </c>
      <c r="H162" s="12"/>
      <c r="I162" s="13"/>
    </row>
    <row r="163" spans="1:15" outlineLevel="1" x14ac:dyDescent="0.25">
      <c r="A163" s="23"/>
      <c r="B163" s="110">
        <f>B162+0.01</f>
        <v>0.11</v>
      </c>
      <c r="C163" s="22">
        <v>20.799093106517155</v>
      </c>
      <c r="D163" s="24">
        <v>25.956414761406613</v>
      </c>
      <c r="E163" s="24">
        <v>32.098178472109346</v>
      </c>
      <c r="F163" s="24">
        <v>39.36518255906887</v>
      </c>
      <c r="G163" s="22">
        <v>47.911272749852529</v>
      </c>
      <c r="H163" s="12"/>
      <c r="I163" s="13"/>
    </row>
    <row r="164" spans="1:15" outlineLevel="1" x14ac:dyDescent="0.25">
      <c r="A164" s="21" t="s">
        <v>86</v>
      </c>
      <c r="B164" s="110">
        <f t="shared" ref="B164:B166" si="71">B163+0.01</f>
        <v>0.12</v>
      </c>
      <c r="C164" s="22">
        <v>20.205488421089715</v>
      </c>
      <c r="D164" s="24">
        <v>25.149511851480831</v>
      </c>
      <c r="E164" s="25">
        <v>31.035621508013133</v>
      </c>
      <c r="F164" s="24">
        <v>37.998479641955946</v>
      </c>
      <c r="G164" s="22">
        <v>46.18522440233113</v>
      </c>
      <c r="H164" s="12"/>
      <c r="I164" s="13"/>
    </row>
    <row r="165" spans="1:15" outlineLevel="1" x14ac:dyDescent="0.25">
      <c r="A165" s="23"/>
      <c r="B165" s="110">
        <f t="shared" si="71"/>
        <v>0.13</v>
      </c>
      <c r="C165" s="22">
        <v>19.641540572147537</v>
      </c>
      <c r="D165" s="24">
        <v>24.383114329140227</v>
      </c>
      <c r="E165" s="24">
        <v>30.026605662907176</v>
      </c>
      <c r="F165" s="24">
        <v>36.700859682006126</v>
      </c>
      <c r="G165" s="22">
        <v>44.546655678217398</v>
      </c>
      <c r="H165" s="12"/>
      <c r="I165" s="13"/>
    </row>
    <row r="166" spans="1:15" outlineLevel="1" x14ac:dyDescent="0.25">
      <c r="A166" s="23"/>
      <c r="B166" s="110">
        <f t="shared" si="71"/>
        <v>0.14000000000000001</v>
      </c>
      <c r="C166" s="22">
        <v>19.105498561213231</v>
      </c>
      <c r="D166" s="22">
        <v>23.654825935554982</v>
      </c>
      <c r="E166" s="22">
        <v>29.067958280671924</v>
      </c>
      <c r="F166" s="22">
        <v>35.468223291724769</v>
      </c>
      <c r="G166" s="22">
        <v>42.990369130350565</v>
      </c>
      <c r="H166" s="12"/>
      <c r="I166" s="13"/>
      <c r="J166" s="17"/>
      <c r="K166" s="17"/>
      <c r="L166" s="17"/>
      <c r="M166" s="17"/>
      <c r="N166" s="17"/>
    </row>
    <row r="167" spans="1:15" outlineLevel="1" x14ac:dyDescent="0.25">
      <c r="A167" s="26"/>
      <c r="B167" s="27"/>
      <c r="C167" s="22"/>
      <c r="D167" s="22"/>
      <c r="E167" s="22"/>
      <c r="F167" s="22"/>
      <c r="G167" s="22"/>
      <c r="H167" s="12"/>
      <c r="I167" s="13"/>
      <c r="J167" s="17"/>
      <c r="K167" s="17"/>
      <c r="L167" s="17"/>
      <c r="M167" s="17"/>
      <c r="N167" s="17"/>
    </row>
    <row r="168" spans="1:15" outlineLevel="1" x14ac:dyDescent="0.25">
      <c r="A168" s="26"/>
      <c r="B168" s="27"/>
      <c r="C168" s="22"/>
      <c r="D168" s="22"/>
      <c r="E168" s="22"/>
      <c r="F168" s="22"/>
      <c r="G168" s="22"/>
      <c r="H168" s="12"/>
      <c r="I168" s="13"/>
      <c r="J168" s="17"/>
      <c r="K168" s="17"/>
      <c r="L168" s="17"/>
      <c r="M168" s="17"/>
      <c r="N168" s="17"/>
    </row>
    <row r="169" spans="1:15" outlineLevel="1" x14ac:dyDescent="0.25">
      <c r="G169" s="17"/>
      <c r="H169" s="12"/>
      <c r="I169" s="13"/>
      <c r="J169" s="17"/>
      <c r="K169" s="17"/>
      <c r="L169" s="17"/>
      <c r="M169" s="17"/>
      <c r="N169" s="17"/>
    </row>
    <row r="170" spans="1:15" outlineLevel="1" x14ac:dyDescent="0.25">
      <c r="A170" s="129" t="s">
        <v>131</v>
      </c>
      <c r="B170" s="130"/>
      <c r="D170" s="129" t="s">
        <v>135</v>
      </c>
      <c r="E170" s="130"/>
      <c r="F170" s="7"/>
      <c r="G170" s="129" t="s">
        <v>136</v>
      </c>
      <c r="H170" s="130"/>
      <c r="I170" s="7"/>
      <c r="J170" s="129" t="s">
        <v>138</v>
      </c>
      <c r="K170" s="130"/>
      <c r="M170" s="28"/>
      <c r="N170" s="28"/>
    </row>
    <row r="171" spans="1:15" outlineLevel="1" x14ac:dyDescent="0.25">
      <c r="A171" s="29" t="s">
        <v>124</v>
      </c>
      <c r="B171" s="29" t="s">
        <v>116</v>
      </c>
      <c r="D171" s="29" t="s">
        <v>124</v>
      </c>
      <c r="E171" s="29" t="s">
        <v>116</v>
      </c>
      <c r="G171" s="29" t="s">
        <v>124</v>
      </c>
      <c r="H171" s="29" t="s">
        <v>116</v>
      </c>
      <c r="J171" s="29" t="s">
        <v>124</v>
      </c>
      <c r="K171" s="29" t="s">
        <v>116</v>
      </c>
    </row>
    <row r="172" spans="1:15" outlineLevel="1" x14ac:dyDescent="0.25">
      <c r="A172" s="30">
        <v>0</v>
      </c>
      <c r="B172" s="31">
        <f>C152</f>
        <v>31.035621508013133</v>
      </c>
      <c r="D172" s="30">
        <v>0</v>
      </c>
      <c r="E172" s="31">
        <f>C152</f>
        <v>31.035621508013133</v>
      </c>
      <c r="G172" s="30">
        <v>0</v>
      </c>
      <c r="H172" s="31">
        <f>C152</f>
        <v>31.035621508013133</v>
      </c>
      <c r="J172" s="141">
        <v>0</v>
      </c>
      <c r="K172" s="31">
        <f>C152</f>
        <v>31.035621508013133</v>
      </c>
      <c r="L172" s="32"/>
    </row>
    <row r="173" spans="1:15" outlineLevel="1" x14ac:dyDescent="0.25">
      <c r="A173" s="33">
        <v>-0.05</v>
      </c>
      <c r="B173" s="34">
        <f t="dataTable" ref="B173:B174" dt2D="0" dtr="0" r1="A172" ca="1"/>
        <v>24.614832476773358</v>
      </c>
      <c r="D173" s="33">
        <v>-0.05</v>
      </c>
      <c r="E173" s="34">
        <f t="dataTable" ref="E173:E174" dt2D="0" dtr="0" r1="D172"/>
        <v>32.784636582941815</v>
      </c>
      <c r="G173" s="33">
        <v>-0.05</v>
      </c>
      <c r="H173" s="34">
        <f t="dataTable" ref="H173:H174" dt2D="0" dtr="0" r1="G172" ca="1"/>
        <v>31.666518258222414</v>
      </c>
      <c r="J173" s="33">
        <v>-0.05</v>
      </c>
      <c r="K173" s="34">
        <f t="dataTable" ref="K173:K174" dt2D="0" dtr="0" r1="J172" ca="1"/>
        <v>30.07662890010862</v>
      </c>
    </row>
    <row r="174" spans="1:15" outlineLevel="1" x14ac:dyDescent="0.25">
      <c r="A174" s="33">
        <v>0.05</v>
      </c>
      <c r="B174" s="34">
        <v>38.759540374054559</v>
      </c>
      <c r="D174" s="33">
        <v>0.05</v>
      </c>
      <c r="E174" s="34">
        <v>29.286606433084451</v>
      </c>
      <c r="G174" s="33">
        <v>0.05</v>
      </c>
      <c r="H174" s="34">
        <v>30.423995105248409</v>
      </c>
      <c r="I174" s="13"/>
      <c r="J174" s="33">
        <v>0.05</v>
      </c>
      <c r="K174" s="34">
        <v>31.994614115917635</v>
      </c>
    </row>
    <row r="175" spans="1:15" outlineLevel="1" x14ac:dyDescent="0.25">
      <c r="A175" s="35"/>
      <c r="B175" s="22"/>
      <c r="C175" s="12"/>
      <c r="D175" s="13"/>
      <c r="F175" s="35"/>
      <c r="G175" s="22"/>
      <c r="H175" s="12"/>
      <c r="I175" s="13"/>
    </row>
    <row r="176" spans="1:15" outlineLevel="1" x14ac:dyDescent="0.25">
      <c r="A176" s="131" t="s">
        <v>133</v>
      </c>
      <c r="B176" s="130"/>
      <c r="C176" s="132" t="s">
        <v>126</v>
      </c>
      <c r="D176" s="132" t="s">
        <v>134</v>
      </c>
      <c r="E176" s="134" t="s">
        <v>127</v>
      </c>
      <c r="F176" s="133" t="s">
        <v>137</v>
      </c>
      <c r="G176" s="135" t="s">
        <v>130</v>
      </c>
      <c r="H176" s="136" t="s">
        <v>125</v>
      </c>
      <c r="I176" s="137"/>
      <c r="J176" s="138" t="s">
        <v>128</v>
      </c>
      <c r="K176" s="138" t="s">
        <v>129</v>
      </c>
      <c r="L176" s="17"/>
      <c r="M176" s="17"/>
      <c r="N176" s="17"/>
      <c r="O176" s="17"/>
    </row>
    <row r="177" spans="1:15" outlineLevel="1" x14ac:dyDescent="0.25">
      <c r="A177" s="7" t="str">
        <f>A170</f>
        <v>Revenue Growth +/-5%</v>
      </c>
      <c r="B177" s="7"/>
      <c r="C177" s="36">
        <f>B173/B172-1</f>
        <v>-0.20688449978622081</v>
      </c>
      <c r="D177" s="36">
        <f>B174/B172-1</f>
        <v>0.24887269823313107</v>
      </c>
      <c r="E177" s="37">
        <v>1</v>
      </c>
      <c r="F177" s="36">
        <f>ABS(D177:D180)</f>
        <v>0.24887269823313107</v>
      </c>
      <c r="G177" s="38">
        <f>SMALL($F$177:$F$180,E177)</f>
        <v>1.9707238748442935E-2</v>
      </c>
      <c r="H177" s="39" t="str">
        <f>INDEX($A$177:$G$180,MATCH(G177,$F$177:$F$180,0),MATCH($A$177,$A$177:$G$177,0))</f>
        <v>Discount Rate +/-5%</v>
      </c>
      <c r="I177" s="39"/>
      <c r="J177" s="14">
        <f>VLOOKUP(H177,$A$177:$D$180,4,FALSE)</f>
        <v>-1.9707238748442935E-2</v>
      </c>
      <c r="K177" s="14">
        <f>VLOOKUP(H177,$A$177:$D$180,3,FALSE)</f>
        <v>2.0328149383004535E-2</v>
      </c>
      <c r="O177" s="17"/>
    </row>
    <row r="178" spans="1:15" outlineLevel="1" x14ac:dyDescent="0.25">
      <c r="A178" s="8" t="str">
        <f>D170</f>
        <v>COGS +/-5%</v>
      </c>
      <c r="C178" s="40">
        <f>E173/E172-1</f>
        <v>5.6355084575222758E-2</v>
      </c>
      <c r="D178" s="40">
        <f>E174/E172-1</f>
        <v>-5.6355084575222758E-2</v>
      </c>
      <c r="E178" s="41">
        <v>2</v>
      </c>
      <c r="F178" s="36">
        <f t="shared" ref="F178:F180" si="72">ABS(D178:D181)</f>
        <v>5.6355084575222758E-2</v>
      </c>
      <c r="G178" s="38">
        <f t="shared" ref="G178:G180" si="73">SMALL($F$177:$F$180,E178)</f>
        <v>3.0899739116128089E-2</v>
      </c>
      <c r="H178" s="39" t="str">
        <f t="shared" ref="H178:H180" si="74">INDEX($A$177:$G$180,MATCH(G178,$F$177:$F$180,0),MATCH($A$177,$A$177:$G$177,0))</f>
        <v>EV/EBITDA +/-5%</v>
      </c>
      <c r="I178" s="111"/>
      <c r="J178" s="14">
        <f t="shared" ref="J178:J180" si="75">VLOOKUP(H178,$A$177:$D$180,4,FALSE)</f>
        <v>3.0899739116128089E-2</v>
      </c>
      <c r="K178" s="14">
        <f t="shared" ref="K178:K180" si="76">VLOOKUP(H178,$A$177:$D$180,3,FALSE)</f>
        <v>-3.0899739116128533E-2</v>
      </c>
      <c r="O178" s="17"/>
    </row>
    <row r="179" spans="1:15" outlineLevel="1" x14ac:dyDescent="0.25">
      <c r="A179" s="8" t="str">
        <f>G170</f>
        <v>Discount Rate +/-5%</v>
      </c>
      <c r="C179" s="40">
        <f>H173/H172-1</f>
        <v>2.0328149383004535E-2</v>
      </c>
      <c r="D179" s="40">
        <f>H174/H172-1</f>
        <v>-1.9707238748442935E-2</v>
      </c>
      <c r="E179" s="41">
        <v>3</v>
      </c>
      <c r="F179" s="36">
        <f t="shared" si="72"/>
        <v>1.9707238748442935E-2</v>
      </c>
      <c r="G179" s="38">
        <f t="shared" si="73"/>
        <v>5.6355084575222758E-2</v>
      </c>
      <c r="H179" s="39" t="str">
        <f t="shared" si="74"/>
        <v>COGS +/-5%</v>
      </c>
      <c r="I179" s="42"/>
      <c r="J179" s="14">
        <f t="shared" si="75"/>
        <v>-5.6355084575222758E-2</v>
      </c>
      <c r="K179" s="14">
        <f t="shared" si="76"/>
        <v>5.6355084575222758E-2</v>
      </c>
      <c r="O179" s="17"/>
    </row>
    <row r="180" spans="1:15" outlineLevel="1" x14ac:dyDescent="0.25">
      <c r="A180" s="8" t="str">
        <f>J170</f>
        <v>EV/EBITDA +/-5%</v>
      </c>
      <c r="C180" s="40">
        <f>K173/K172-1</f>
        <v>-3.0899739116128533E-2</v>
      </c>
      <c r="D180" s="40">
        <f>K174/K172-1</f>
        <v>3.0899739116128089E-2</v>
      </c>
      <c r="E180" s="41">
        <v>4</v>
      </c>
      <c r="F180" s="36">
        <f t="shared" si="72"/>
        <v>3.0899739116128089E-2</v>
      </c>
      <c r="G180" s="38">
        <f t="shared" si="73"/>
        <v>0.24887269823313107</v>
      </c>
      <c r="H180" s="39" t="str">
        <f t="shared" si="74"/>
        <v>Revenue Growth +/-5%</v>
      </c>
      <c r="I180" s="42"/>
      <c r="J180" s="14">
        <f t="shared" si="75"/>
        <v>0.24887269823313107</v>
      </c>
      <c r="K180" s="14">
        <f t="shared" si="76"/>
        <v>-0.20688449978622081</v>
      </c>
      <c r="O180" s="17"/>
    </row>
    <row r="181" spans="1:15" outlineLevel="1" x14ac:dyDescent="0.25">
      <c r="C181" s="8"/>
      <c r="N181" s="17"/>
    </row>
    <row r="182" spans="1:15" outlineLevel="1" x14ac:dyDescent="0.25">
      <c r="C182" s="8"/>
      <c r="N182" s="17"/>
    </row>
    <row r="183" spans="1:15" outlineLevel="1" x14ac:dyDescent="0.25">
      <c r="B183" s="139" t="s">
        <v>132</v>
      </c>
      <c r="C183" s="139"/>
      <c r="D183" s="139"/>
      <c r="E183" s="139"/>
      <c r="F183" s="139"/>
      <c r="G183" s="139"/>
      <c r="H183" s="139"/>
      <c r="I183" s="139"/>
      <c r="N183" s="17"/>
    </row>
    <row r="184" spans="1:15" outlineLevel="1" x14ac:dyDescent="0.25">
      <c r="C184" s="8"/>
      <c r="N184" s="17"/>
    </row>
    <row r="185" spans="1:15" outlineLevel="1" x14ac:dyDescent="0.25">
      <c r="C185" s="8"/>
      <c r="H185" s="17"/>
      <c r="I185" s="17"/>
      <c r="J185" s="17"/>
      <c r="K185" s="17"/>
      <c r="L185" s="17"/>
      <c r="M185" s="17"/>
      <c r="N185" s="17"/>
    </row>
    <row r="186" spans="1:15" outlineLevel="1" x14ac:dyDescent="0.25">
      <c r="C186" s="8"/>
      <c r="H186" s="17"/>
      <c r="I186" s="17"/>
      <c r="J186" s="17"/>
      <c r="K186" s="17"/>
      <c r="L186" s="17"/>
      <c r="M186" s="17"/>
      <c r="N186" s="17"/>
    </row>
    <row r="187" spans="1:15" ht="16.5" outlineLevel="1" x14ac:dyDescent="0.3">
      <c r="C187" s="8"/>
      <c r="H187" s="17"/>
      <c r="I187" s="43"/>
      <c r="J187" s="43"/>
      <c r="K187" s="43"/>
      <c r="L187" s="43"/>
      <c r="M187" s="43"/>
      <c r="N187" s="43"/>
    </row>
    <row r="188" spans="1:15" ht="16.5" outlineLevel="1" x14ac:dyDescent="0.3">
      <c r="C188" s="8"/>
      <c r="H188" s="17"/>
      <c r="I188" s="43"/>
      <c r="J188" s="43"/>
      <c r="K188" s="43"/>
      <c r="L188" s="43"/>
      <c r="M188" s="43"/>
      <c r="N188" s="43"/>
    </row>
    <row r="189" spans="1:15" ht="16.5" outlineLevel="1" collapsed="1" x14ac:dyDescent="0.3">
      <c r="C189" s="8"/>
      <c r="H189" s="17"/>
      <c r="I189" s="43"/>
      <c r="J189" s="43"/>
      <c r="K189" s="43"/>
      <c r="L189" s="43"/>
      <c r="M189" s="43"/>
      <c r="N189" s="43"/>
    </row>
    <row r="190" spans="1:15" outlineLevel="1" x14ac:dyDescent="0.25">
      <c r="C190" s="8"/>
      <c r="H190" s="17"/>
    </row>
    <row r="191" spans="1:15" outlineLevel="1" x14ac:dyDescent="0.25">
      <c r="C191" s="8"/>
      <c r="H191" s="17"/>
    </row>
    <row r="192" spans="1:15" outlineLevel="1" x14ac:dyDescent="0.25">
      <c r="C192" s="8"/>
      <c r="H192" s="17"/>
    </row>
    <row r="193" spans="3:8" outlineLevel="1" x14ac:dyDescent="0.25">
      <c r="C193" s="8"/>
      <c r="H193" s="17"/>
    </row>
    <row r="194" spans="3:8" outlineLevel="1" x14ac:dyDescent="0.25">
      <c r="C194" s="8"/>
      <c r="H194" s="17"/>
    </row>
    <row r="195" spans="3:8" outlineLevel="1" x14ac:dyDescent="0.25">
      <c r="C195" s="8"/>
      <c r="H195" s="17"/>
    </row>
    <row r="196" spans="3:8" outlineLevel="1" x14ac:dyDescent="0.25">
      <c r="C196" s="8"/>
      <c r="H196" s="17"/>
    </row>
    <row r="197" spans="3:8" outlineLevel="1" x14ac:dyDescent="0.25">
      <c r="C197" s="8"/>
      <c r="H197" s="17"/>
    </row>
  </sheetData>
  <sheetProtection formatCells="0" formatColumns="0" formatRows="0" insertColumns="0" insertRows="0" insertHyperlinks="0" deleteColumns="0" deleteRows="0" sort="0" autoFilter="0" pivotTables="0"/>
  <sortState ref="L123:O125">
    <sortCondition ref="O123:O125"/>
  </sortState>
  <conditionalFormatting sqref="D3:M3 D4:I4 K4:M4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 &amp; Sensitivity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Ferdinand</cp:lastModifiedBy>
  <cp:lastPrinted>2014-12-13T23:43:21Z</cp:lastPrinted>
  <dcterms:created xsi:type="dcterms:W3CDTF">2014-11-08T22:00:02Z</dcterms:created>
  <dcterms:modified xsi:type="dcterms:W3CDTF">2022-09-09T18:19:42Z</dcterms:modified>
</cp:coreProperties>
</file>