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Учебные мат\Математическая статистика\Дз1\"/>
    </mc:Choice>
  </mc:AlternateContent>
  <xr:revisionPtr revIDLastSave="0" documentId="13_ncr:1_{CAAEFBA8-CAF1-4344-8144-468B4471F302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задание 1" sheetId="2" r:id="rId1"/>
    <sheet name="задание 2" sheetId="3" r:id="rId2"/>
    <sheet name="Практика №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3" l="1"/>
  <c r="B112" i="3"/>
  <c r="B111" i="3"/>
  <c r="B110" i="3"/>
  <c r="B109" i="3"/>
  <c r="B108" i="3"/>
  <c r="B107" i="3"/>
  <c r="B106" i="3"/>
  <c r="B105" i="3"/>
  <c r="B104" i="3"/>
  <c r="B103" i="3"/>
  <c r="J95" i="3"/>
  <c r="J94" i="3"/>
  <c r="J93" i="3"/>
  <c r="J92" i="3"/>
  <c r="J91" i="3"/>
  <c r="J90" i="3"/>
  <c r="J89" i="3"/>
  <c r="F101" i="3"/>
  <c r="E101" i="3"/>
  <c r="D101" i="3"/>
  <c r="C101" i="3"/>
  <c r="E87" i="3"/>
  <c r="D87" i="3"/>
  <c r="C87" i="3"/>
  <c r="B71" i="2"/>
  <c r="B70" i="2"/>
  <c r="B69" i="2"/>
  <c r="B68" i="2"/>
  <c r="B67" i="2"/>
  <c r="H60" i="2"/>
  <c r="H61" i="2"/>
  <c r="H62" i="2"/>
  <c r="H63" i="2"/>
  <c r="H64" i="2"/>
  <c r="G61" i="2"/>
  <c r="G62" i="2"/>
  <c r="G63" i="2"/>
  <c r="G64" i="2"/>
  <c r="G60" i="2"/>
  <c r="F61" i="2"/>
  <c r="F62" i="2"/>
  <c r="F63" i="2"/>
  <c r="F64" i="2"/>
  <c r="F60" i="2"/>
  <c r="E60" i="2"/>
  <c r="E61" i="2"/>
  <c r="E62" i="2"/>
  <c r="E63" i="2"/>
  <c r="E64" i="2"/>
  <c r="D60" i="2"/>
  <c r="D61" i="2"/>
  <c r="D62" i="2"/>
  <c r="D63" i="2"/>
  <c r="D64" i="2"/>
  <c r="C61" i="2"/>
  <c r="C62" i="2"/>
  <c r="C63" i="2"/>
  <c r="C64" i="2"/>
  <c r="C60" i="2"/>
  <c r="B61" i="2"/>
  <c r="B62" i="2"/>
  <c r="B63" i="2"/>
  <c r="B64" i="2"/>
  <c r="B60" i="2"/>
  <c r="A63" i="2"/>
  <c r="A64" i="2"/>
  <c r="A61" i="2"/>
  <c r="A62" i="2"/>
  <c r="A60" i="2"/>
  <c r="E54" i="2"/>
  <c r="G51" i="2"/>
  <c r="G52" i="2" s="1"/>
  <c r="G53" i="2" s="1"/>
  <c r="G50" i="2"/>
  <c r="G49" i="2"/>
  <c r="F54" i="2"/>
  <c r="F50" i="2"/>
  <c r="F51" i="2"/>
  <c r="F52" i="2"/>
  <c r="F53" i="2"/>
  <c r="F49" i="2"/>
  <c r="E53" i="2"/>
  <c r="E52" i="2"/>
  <c r="E51" i="2"/>
  <c r="E50" i="2"/>
  <c r="E49" i="2"/>
  <c r="D50" i="2"/>
  <c r="D51" i="2"/>
  <c r="D52" i="2"/>
  <c r="D53" i="2"/>
  <c r="D49" i="2"/>
  <c r="B51" i="2"/>
  <c r="C51" i="2"/>
  <c r="B52" i="2"/>
  <c r="C52" i="2" s="1"/>
  <c r="B53" i="2" s="1"/>
  <c r="C53" i="2" s="1"/>
  <c r="C50" i="2"/>
  <c r="B50" i="2"/>
  <c r="B45" i="2"/>
  <c r="F97" i="3"/>
  <c r="F98" i="3"/>
  <c r="E96" i="3"/>
  <c r="E97" i="3"/>
  <c r="E98" i="3"/>
  <c r="D96" i="3"/>
  <c r="D95" i="3" s="1"/>
  <c r="D97" i="3"/>
  <c r="D98" i="3"/>
  <c r="E90" i="3"/>
  <c r="D91" i="3"/>
  <c r="D90" i="3"/>
  <c r="B99" i="3"/>
  <c r="C96" i="3"/>
  <c r="C95" i="3" s="1"/>
  <c r="C94" i="3" s="1"/>
  <c r="C97" i="3"/>
  <c r="C98" i="3"/>
  <c r="C92" i="3"/>
  <c r="C91" i="3"/>
  <c r="C90" i="3"/>
  <c r="B90" i="3"/>
  <c r="B91" i="3"/>
  <c r="B92" i="3"/>
  <c r="B93" i="3"/>
  <c r="B94" i="3"/>
  <c r="B95" i="3"/>
  <c r="B96" i="3"/>
  <c r="B97" i="3"/>
  <c r="B98" i="3"/>
  <c r="B89" i="3"/>
  <c r="A98" i="3"/>
  <c r="A97" i="3"/>
  <c r="A96" i="3"/>
  <c r="A93" i="3"/>
  <c r="A94" i="3"/>
  <c r="A95" i="3"/>
  <c r="A90" i="3"/>
  <c r="A91" i="3"/>
  <c r="A92" i="3"/>
  <c r="A89" i="3"/>
  <c r="B81" i="3"/>
  <c r="B80" i="3"/>
  <c r="B79" i="3"/>
  <c r="B78" i="3"/>
  <c r="B77" i="3"/>
  <c r="B76" i="3"/>
  <c r="B75" i="3"/>
  <c r="B74" i="3"/>
  <c r="B73" i="3"/>
  <c r="B72" i="3"/>
  <c r="B71" i="3"/>
  <c r="M13" i="4"/>
  <c r="B58" i="3"/>
  <c r="B59" i="3"/>
  <c r="B60" i="3"/>
  <c r="B61" i="3"/>
  <c r="B62" i="3"/>
  <c r="B63" i="3"/>
  <c r="B64" i="3"/>
  <c r="B65" i="3"/>
  <c r="B57" i="3"/>
  <c r="H13" i="3"/>
  <c r="A58" i="3" s="1"/>
  <c r="H12" i="3"/>
  <c r="A57" i="3" s="1"/>
  <c r="N20" i="4"/>
  <c r="O20" i="4"/>
  <c r="P20" i="4"/>
  <c r="Q20" i="4"/>
  <c r="R20" i="4"/>
  <c r="R15" i="4"/>
  <c r="M20" i="4"/>
  <c r="L20" i="4"/>
  <c r="R14" i="4"/>
  <c r="R16" i="4"/>
  <c r="R17" i="4"/>
  <c r="R18" i="4"/>
  <c r="R19" i="4"/>
  <c r="R13" i="4"/>
  <c r="Q14" i="4"/>
  <c r="Q15" i="4"/>
  <c r="Q16" i="4"/>
  <c r="Q17" i="4"/>
  <c r="Q18" i="4"/>
  <c r="Q19" i="4"/>
  <c r="Q13" i="4"/>
  <c r="P14" i="4"/>
  <c r="P15" i="4"/>
  <c r="P16" i="4"/>
  <c r="P17" i="4"/>
  <c r="P18" i="4"/>
  <c r="P19" i="4"/>
  <c r="P13" i="4"/>
  <c r="O13" i="4"/>
  <c r="O14" i="4"/>
  <c r="O15" i="4"/>
  <c r="O16" i="4"/>
  <c r="O17" i="4"/>
  <c r="O18" i="4"/>
  <c r="O19" i="4"/>
  <c r="N14" i="4"/>
  <c r="N15" i="4"/>
  <c r="N16" i="4"/>
  <c r="N17" i="4"/>
  <c r="N18" i="4"/>
  <c r="N19" i="4"/>
  <c r="N13" i="4"/>
  <c r="M14" i="4"/>
  <c r="M15" i="4"/>
  <c r="M16" i="4"/>
  <c r="M17" i="4"/>
  <c r="M18" i="4"/>
  <c r="M19" i="4"/>
  <c r="L14" i="4"/>
  <c r="L15" i="4"/>
  <c r="L16" i="4"/>
  <c r="L17" i="4"/>
  <c r="L18" i="4"/>
  <c r="L19" i="4"/>
  <c r="L13" i="4"/>
  <c r="K14" i="4"/>
  <c r="K15" i="4"/>
  <c r="K16" i="4"/>
  <c r="K17" i="4"/>
  <c r="K18" i="4"/>
  <c r="K19" i="4"/>
  <c r="K13" i="4"/>
  <c r="G15" i="4"/>
  <c r="G16" i="4" s="1"/>
  <c r="G17" i="4" s="1"/>
  <c r="G18" i="4" s="1"/>
  <c r="G19" i="4" s="1"/>
  <c r="G14" i="4"/>
  <c r="G13" i="4"/>
  <c r="F14" i="4"/>
  <c r="F15" i="4"/>
  <c r="F16" i="4"/>
  <c r="F17" i="4"/>
  <c r="F18" i="4"/>
  <c r="F19" i="4"/>
  <c r="F13" i="4"/>
  <c r="B10" i="4"/>
  <c r="B13" i="4" s="1"/>
  <c r="B8" i="4"/>
  <c r="B7" i="4"/>
  <c r="O27" i="2"/>
  <c r="B10" i="2"/>
  <c r="J12" i="3"/>
  <c r="D21" i="3"/>
  <c r="B13" i="3"/>
  <c r="C13" i="3" s="1"/>
  <c r="O21" i="2"/>
  <c r="B16" i="2" s="1"/>
  <c r="O24" i="2" s="1"/>
  <c r="O25" i="2" s="1"/>
  <c r="C18" i="2"/>
  <c r="E18" i="2"/>
  <c r="F18" i="2"/>
  <c r="G18" i="2"/>
  <c r="H18" i="2"/>
  <c r="I18" i="2"/>
  <c r="J18" i="2"/>
  <c r="K18" i="2"/>
  <c r="L18" i="2"/>
  <c r="B18" i="2"/>
  <c r="B17" i="2"/>
  <c r="C17" i="2"/>
  <c r="D17" i="2"/>
  <c r="E17" i="2"/>
  <c r="F17" i="2"/>
  <c r="G17" i="2"/>
  <c r="H17" i="2"/>
  <c r="I17" i="2"/>
  <c r="J17" i="2"/>
  <c r="K17" i="2"/>
  <c r="L17" i="2"/>
  <c r="E16" i="2"/>
  <c r="C16" i="2"/>
  <c r="D16" i="2"/>
  <c r="F16" i="2"/>
  <c r="G16" i="2"/>
  <c r="H16" i="2"/>
  <c r="I16" i="2"/>
  <c r="J16" i="2"/>
  <c r="K16" i="2"/>
  <c r="L16" i="2"/>
  <c r="O23" i="2"/>
  <c r="C15" i="2"/>
  <c r="D15" i="2"/>
  <c r="E15" i="2"/>
  <c r="F15" i="2"/>
  <c r="G15" i="2"/>
  <c r="H15" i="2"/>
  <c r="I15" i="2"/>
  <c r="J15" i="2"/>
  <c r="K15" i="2"/>
  <c r="L15" i="2"/>
  <c r="B15" i="2"/>
  <c r="F12" i="3"/>
  <c r="F13" i="3" s="1"/>
  <c r="F14" i="3" s="1"/>
  <c r="F15" i="3" s="1"/>
  <c r="F16" i="3" s="1"/>
  <c r="F17" i="3" s="1"/>
  <c r="F18" i="3" s="1"/>
  <c r="F19" i="3" s="1"/>
  <c r="F20" i="3" s="1"/>
  <c r="B5" i="3"/>
  <c r="B4" i="3"/>
  <c r="B3" i="3"/>
  <c r="E20" i="3" s="1"/>
  <c r="D10" i="2"/>
  <c r="E10" i="2"/>
  <c r="F10" i="2"/>
  <c r="G10" i="2"/>
  <c r="H10" i="2"/>
  <c r="I10" i="2"/>
  <c r="J10" i="2"/>
  <c r="K10" i="2"/>
  <c r="L10" i="2"/>
  <c r="C10" i="2"/>
  <c r="C8" i="2"/>
  <c r="D8" i="2"/>
  <c r="E8" i="2"/>
  <c r="F8" i="2"/>
  <c r="G8" i="2"/>
  <c r="H8" i="2"/>
  <c r="I8" i="2"/>
  <c r="J8" i="2"/>
  <c r="K8" i="2"/>
  <c r="L8" i="2"/>
  <c r="B8" i="2"/>
  <c r="L7" i="2"/>
  <c r="K7" i="2"/>
  <c r="J7" i="2"/>
  <c r="I7" i="2"/>
  <c r="H7" i="2"/>
  <c r="G7" i="2"/>
  <c r="F7" i="2"/>
  <c r="E7" i="2"/>
  <c r="D7" i="2"/>
  <c r="C7" i="2"/>
  <c r="B4" i="2"/>
  <c r="C13" i="4" l="1"/>
  <c r="B14" i="4" s="1"/>
  <c r="B14" i="3"/>
  <c r="J13" i="3"/>
  <c r="E19" i="3"/>
  <c r="E17" i="3"/>
  <c r="E15" i="3"/>
  <c r="E16" i="3"/>
  <c r="E14" i="3"/>
  <c r="E12" i="3"/>
  <c r="G12" i="3" s="1"/>
  <c r="E18" i="3"/>
  <c r="E13" i="3"/>
  <c r="D18" i="2"/>
  <c r="O26" i="2"/>
  <c r="G13" i="3" l="1"/>
  <c r="G14" i="3" s="1"/>
  <c r="G15" i="3" s="1"/>
  <c r="G16" i="3" s="1"/>
  <c r="G17" i="3" s="1"/>
  <c r="G18" i="3" s="1"/>
  <c r="G19" i="3" s="1"/>
  <c r="G20" i="3" s="1"/>
  <c r="D13" i="4"/>
  <c r="C14" i="4"/>
  <c r="B15" i="4" s="1"/>
  <c r="C14" i="3"/>
  <c r="E21" i="3"/>
  <c r="B15" i="3" l="1"/>
  <c r="H14" i="3"/>
  <c r="A59" i="3" s="1"/>
  <c r="C15" i="4"/>
  <c r="B16" i="4" s="1"/>
  <c r="D14" i="4"/>
  <c r="C15" i="3"/>
  <c r="K27" i="3"/>
  <c r="K26" i="3"/>
  <c r="J15" i="3"/>
  <c r="J14" i="3"/>
  <c r="B16" i="3" l="1"/>
  <c r="H15" i="3"/>
  <c r="C16" i="4"/>
  <c r="B17" i="4" s="1"/>
  <c r="D15" i="4"/>
  <c r="C16" i="3"/>
  <c r="J16" i="3"/>
  <c r="B17" i="3" l="1"/>
  <c r="H16" i="3"/>
  <c r="A61" i="3" s="1"/>
  <c r="A60" i="3"/>
  <c r="B54" i="3"/>
  <c r="C17" i="4"/>
  <c r="B18" i="4" s="1"/>
  <c r="D16" i="4"/>
  <c r="C17" i="3"/>
  <c r="J17" i="3" s="1"/>
  <c r="C61" i="3" l="1"/>
  <c r="B18" i="3"/>
  <c r="H17" i="3"/>
  <c r="A62" i="3" s="1"/>
  <c r="C62" i="3" s="1"/>
  <c r="C57" i="3"/>
  <c r="C58" i="3"/>
  <c r="C59" i="3"/>
  <c r="C60" i="3"/>
  <c r="C18" i="4"/>
  <c r="B19" i="4" s="1"/>
  <c r="D18" i="4"/>
  <c r="D17" i="4"/>
  <c r="C18" i="3"/>
  <c r="J18" i="3"/>
  <c r="G59" i="3" l="1"/>
  <c r="E59" i="3"/>
  <c r="D59" i="3"/>
  <c r="F59" i="3"/>
  <c r="H59" i="3"/>
  <c r="B19" i="3"/>
  <c r="H18" i="3"/>
  <c r="A63" i="3" s="1"/>
  <c r="C63" i="3" s="1"/>
  <c r="F58" i="3"/>
  <c r="D58" i="3"/>
  <c r="G58" i="3"/>
  <c r="E58" i="3"/>
  <c r="H58" i="3"/>
  <c r="D57" i="3"/>
  <c r="F57" i="3"/>
  <c r="E57" i="3"/>
  <c r="H57" i="3"/>
  <c r="G57" i="3"/>
  <c r="D60" i="3"/>
  <c r="G60" i="3"/>
  <c r="F60" i="3"/>
  <c r="E60" i="3"/>
  <c r="H60" i="3"/>
  <c r="D62" i="3"/>
  <c r="G62" i="3"/>
  <c r="H62" i="3"/>
  <c r="E62" i="3"/>
  <c r="F62" i="3"/>
  <c r="D61" i="3"/>
  <c r="G61" i="3"/>
  <c r="E61" i="3"/>
  <c r="F61" i="3"/>
  <c r="H61" i="3"/>
  <c r="C19" i="4"/>
  <c r="D19" i="4"/>
  <c r="C19" i="3"/>
  <c r="B20" i="3" l="1"/>
  <c r="H19" i="3"/>
  <c r="A64" i="3" s="1"/>
  <c r="C64" i="3" s="1"/>
  <c r="D63" i="3"/>
  <c r="F63" i="3"/>
  <c r="G63" i="3"/>
  <c r="E63" i="3"/>
  <c r="H63" i="3"/>
  <c r="J19" i="3"/>
  <c r="C20" i="3"/>
  <c r="D64" i="3" l="1"/>
  <c r="H64" i="3"/>
  <c r="G64" i="3"/>
  <c r="E64" i="3"/>
  <c r="F64" i="3"/>
  <c r="J20" i="3"/>
  <c r="K25" i="3" s="1"/>
  <c r="K20" i="3" s="1"/>
  <c r="H20" i="3"/>
  <c r="A65" i="3" s="1"/>
  <c r="C65" i="3" s="1"/>
  <c r="M20" i="3"/>
  <c r="L20" i="3" l="1"/>
  <c r="F65" i="3"/>
  <c r="D65" i="3"/>
  <c r="H65" i="3"/>
  <c r="H66" i="3" s="1"/>
  <c r="E65" i="3"/>
  <c r="G65" i="3"/>
  <c r="J66" i="3"/>
  <c r="M12" i="3"/>
  <c r="L12" i="3"/>
  <c r="L13" i="3"/>
  <c r="M13" i="3"/>
  <c r="K12" i="3"/>
  <c r="K28" i="3" s="1"/>
  <c r="K29" i="3" s="1"/>
  <c r="K13" i="3"/>
  <c r="K14" i="3"/>
  <c r="L14" i="3"/>
  <c r="M14" i="3"/>
  <c r="M15" i="3"/>
  <c r="L15" i="3"/>
  <c r="K15" i="3"/>
  <c r="M16" i="3"/>
  <c r="L16" i="3"/>
  <c r="K16" i="3"/>
  <c r="M17" i="3"/>
  <c r="L17" i="3"/>
  <c r="K17" i="3"/>
  <c r="M18" i="3"/>
  <c r="K18" i="3"/>
  <c r="L18" i="3"/>
  <c r="L19" i="3"/>
  <c r="K19" i="3"/>
  <c r="M19" i="3"/>
  <c r="K30" i="3" l="1"/>
  <c r="K31" i="3"/>
</calcChain>
</file>

<file path=xl/sharedStrings.xml><?xml version="1.0" encoding="utf-8"?>
<sst xmlns="http://schemas.openxmlformats.org/spreadsheetml/2006/main" count="189" uniqueCount="109">
  <si>
    <t xml:space="preserve">n = </t>
  </si>
  <si>
    <t>wi</t>
  </si>
  <si>
    <t>ni</t>
  </si>
  <si>
    <t>Ni</t>
  </si>
  <si>
    <t>Wi</t>
  </si>
  <si>
    <t>x</t>
  </si>
  <si>
    <t>min</t>
  </si>
  <si>
    <t>max</t>
  </si>
  <si>
    <t>n</t>
  </si>
  <si>
    <t>h</t>
  </si>
  <si>
    <t>№</t>
  </si>
  <si>
    <t>от [</t>
  </si>
  <si>
    <t>до )</t>
  </si>
  <si>
    <t>x̅ - cреднее арифсетическое ряда</t>
  </si>
  <si>
    <t>Mo - мода</t>
  </si>
  <si>
    <t xml:space="preserve">Me - медиана </t>
  </si>
  <si>
    <t>Dв - выборочная дисперсия</t>
  </si>
  <si>
    <t>o - выборочное среднее квадратичное отклонение</t>
  </si>
  <si>
    <t xml:space="preserve">A - коэффициент ассиметрии </t>
  </si>
  <si>
    <t>E - эксцесс</t>
  </si>
  <si>
    <t xml:space="preserve">x̅  - средняя арифметическая </t>
  </si>
  <si>
    <t>Fn(x)</t>
  </si>
  <si>
    <t>, при</t>
  </si>
  <si>
    <t>x &lt;15</t>
  </si>
  <si>
    <t>15 &lt; x &lt;= 16</t>
  </si>
  <si>
    <t>x &gt; 25</t>
  </si>
  <si>
    <t>16 &lt; x &lt;= 17</t>
  </si>
  <si>
    <t>17 &lt; x &lt;= 18</t>
  </si>
  <si>
    <t>18 &lt; x &lt;= 19</t>
  </si>
  <si>
    <t>19 &lt; x &lt;= 20</t>
  </si>
  <si>
    <t>20 &lt; x &lt;= 21</t>
  </si>
  <si>
    <t>21 &lt; x &lt;= 22</t>
  </si>
  <si>
    <t>22 &lt; x &lt;= 23</t>
  </si>
  <si>
    <t>23 &lt; x &lt;= 24</t>
  </si>
  <si>
    <t>24 &lt; x &lt;= 25</t>
  </si>
  <si>
    <t>x &lt; 85</t>
  </si>
  <si>
    <t>85 &lt; x &lt;= 91</t>
  </si>
  <si>
    <t>91 &lt; x &lt;= 97</t>
  </si>
  <si>
    <t>97 &lt; x &lt;= 103</t>
  </si>
  <si>
    <t>103 &lt; x &lt;= 109</t>
  </si>
  <si>
    <t>109 &lt; x &lt;= 115</t>
  </si>
  <si>
    <t>115 &lt; x &lt;= 121</t>
  </si>
  <si>
    <t>121 &lt; x &lt;= 127</t>
  </si>
  <si>
    <t>127 &lt; x &lt;= 133</t>
  </si>
  <si>
    <t>133 &lt; x &lt;= 139</t>
  </si>
  <si>
    <t>Эмпирическая функция распределения:</t>
  </si>
  <si>
    <t>Промежуточные вычисления</t>
  </si>
  <si>
    <t xml:space="preserve">Промежуточные вычисления:  </t>
  </si>
  <si>
    <t xml:space="preserve">n </t>
  </si>
  <si>
    <t>Xmin</t>
  </si>
  <si>
    <t xml:space="preserve">Xmax </t>
  </si>
  <si>
    <t>Xнач</t>
  </si>
  <si>
    <t>от</t>
  </si>
  <si>
    <t>до</t>
  </si>
  <si>
    <t>середина интервала</t>
  </si>
  <si>
    <t>x*i</t>
  </si>
  <si>
    <t>niU</t>
  </si>
  <si>
    <t>niU^2</t>
  </si>
  <si>
    <t>niU^3</t>
  </si>
  <si>
    <t>niU^4</t>
  </si>
  <si>
    <t>ni(U+1)^4</t>
  </si>
  <si>
    <t>U</t>
  </si>
  <si>
    <t>сумма</t>
  </si>
  <si>
    <t>b = x*i в самом болшом по частоте интервале</t>
  </si>
  <si>
    <t xml:space="preserve">Расчеты: </t>
  </si>
  <si>
    <t xml:space="preserve">Xв - мат ожидание </t>
  </si>
  <si>
    <t xml:space="preserve">Dв - дисперсия </t>
  </si>
  <si>
    <t xml:space="preserve">o - среднее квадратичное отклонение </t>
  </si>
  <si>
    <t>m3 - центральный момент 3 порядка</t>
  </si>
  <si>
    <t xml:space="preserve">m4 - центральный момент 4 порядка </t>
  </si>
  <si>
    <t xml:space="preserve">A - выборочный коэффициент ассиметрии </t>
  </si>
  <si>
    <t xml:space="preserve">E - эксцесс </t>
  </si>
  <si>
    <t>Xi - середина</t>
  </si>
  <si>
    <t>Ui</t>
  </si>
  <si>
    <t>niUi</t>
  </si>
  <si>
    <t>niU^2i</t>
  </si>
  <si>
    <t>niU^3i</t>
  </si>
  <si>
    <t>niU^4i</t>
  </si>
  <si>
    <t>ni(Ui+1)^4</t>
  </si>
  <si>
    <t xml:space="preserve">Проверка: </t>
  </si>
  <si>
    <t>Метод произведений</t>
  </si>
  <si>
    <t>Метод произведений:</t>
  </si>
  <si>
    <t>Ложный ноль:</t>
  </si>
  <si>
    <t>v1 - условный начальный момент 1 порядка</t>
  </si>
  <si>
    <t>v2 - условный начальный момент 2 порядка</t>
  </si>
  <si>
    <t>v3 - условный начальный момент 3 порядка</t>
  </si>
  <si>
    <t>v4 - условный начальный момент 4 порядка</t>
  </si>
  <si>
    <t xml:space="preserve">Метод Сумм: </t>
  </si>
  <si>
    <t>Сумма</t>
  </si>
  <si>
    <t xml:space="preserve">a1 = </t>
  </si>
  <si>
    <t xml:space="preserve">a2 = </t>
  </si>
  <si>
    <t xml:space="preserve">a3 = </t>
  </si>
  <si>
    <t>a4 = 0</t>
  </si>
  <si>
    <t>b4 = 0</t>
  </si>
  <si>
    <t>d1</t>
  </si>
  <si>
    <t>d2</t>
  </si>
  <si>
    <t>d3</t>
  </si>
  <si>
    <t>s1</t>
  </si>
  <si>
    <t>s2</t>
  </si>
  <si>
    <t>s3</t>
  </si>
  <si>
    <t>s4</t>
  </si>
  <si>
    <t>Разобьем интервал на 5 частичных</t>
  </si>
  <si>
    <t xml:space="preserve">до </t>
  </si>
  <si>
    <t>xi</t>
  </si>
  <si>
    <t xml:space="preserve">Ложный ноль </t>
  </si>
  <si>
    <t>D*в - дисперсия с поправкой Шеппарда</t>
  </si>
  <si>
    <t>b1 = 34</t>
  </si>
  <si>
    <t>b2 = 24</t>
  </si>
  <si>
    <t>b3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</si>
</sst>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" xfId="0" applyFill="1" applyBorder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1'!$B$6:$L$6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'задание 1'!$B$7:$L$7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13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0-4D02-AA40-93B8A771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952143"/>
        <c:axId val="1349862495"/>
      </c:lineChart>
      <c:catAx>
        <c:axId val="115995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9862495"/>
        <c:crosses val="autoZero"/>
        <c:auto val="1"/>
        <c:lblAlgn val="ctr"/>
        <c:lblOffset val="100"/>
        <c:noMultiLvlLbl val="0"/>
      </c:catAx>
      <c:valAx>
        <c:axId val="134986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9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распределения относительных частот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1'!$B$6:$L$6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'задание 1'!$B$8:$L$8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0.16666666666666666</c:v>
                </c:pt>
                <c:pt idx="6">
                  <c:v>0.21666666666666667</c:v>
                </c:pt>
                <c:pt idx="7">
                  <c:v>0.11666666666666667</c:v>
                </c:pt>
                <c:pt idx="8">
                  <c:v>0.1</c:v>
                </c:pt>
                <c:pt idx="9">
                  <c:v>6.6666666666666666E-2</c:v>
                </c:pt>
                <c:pt idx="10">
                  <c:v>3.3333333333333333E-2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F-42B7-8757-3961C26E1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48975"/>
        <c:axId val="1346426127"/>
      </c:lineChart>
      <c:catAx>
        <c:axId val="115404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426127"/>
        <c:crosses val="autoZero"/>
        <c:auto val="1"/>
        <c:lblAlgn val="ctr"/>
        <c:lblOffset val="100"/>
        <c:noMultiLvlLbl val="0"/>
      </c:catAx>
      <c:valAx>
        <c:axId val="134642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wi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0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1'!$B$6:$L$6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'задание 1'!$B$9:$L$9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12</c:v>
                </c:pt>
                <c:pt idx="4">
                  <c:v>18</c:v>
                </c:pt>
                <c:pt idx="5">
                  <c:v>28</c:v>
                </c:pt>
                <c:pt idx="6">
                  <c:v>41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1-49A1-B12A-9306A1FA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47535"/>
        <c:axId val="1461835967"/>
      </c:lineChart>
      <c:catAx>
        <c:axId val="115404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1835967"/>
        <c:crosses val="autoZero"/>
        <c:auto val="1"/>
        <c:lblAlgn val="ctr"/>
        <c:lblOffset val="100"/>
        <c:noMultiLvlLbl val="0"/>
      </c:catAx>
      <c:valAx>
        <c:axId val="14618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0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Функция</a:t>
            </a:r>
            <a:r>
              <a:rPr lang="ru-RU" baseline="0"/>
              <a:t>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'задание 1'!$B$6:$L$6</c:f>
              <c:numCache>
                <c:formatCode>General</c:formatCod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numCache>
            </c:numRef>
          </c:cat>
          <c:val>
            <c:numRef>
              <c:f>'задание 1'!$B$10:$L$10</c:f>
              <c:numCache>
                <c:formatCode>General</c:formatCode>
                <c:ptCount val="11"/>
                <c:pt idx="0">
                  <c:v>1.6666666666666666E-2</c:v>
                </c:pt>
                <c:pt idx="1">
                  <c:v>0.05</c:v>
                </c:pt>
                <c:pt idx="2">
                  <c:v>0.11666666666666667</c:v>
                </c:pt>
                <c:pt idx="3">
                  <c:v>0.2</c:v>
                </c:pt>
                <c:pt idx="4">
                  <c:v>0.30000000000000004</c:v>
                </c:pt>
                <c:pt idx="5">
                  <c:v>0.46666666666666667</c:v>
                </c:pt>
                <c:pt idx="6">
                  <c:v>0.68333333333333335</c:v>
                </c:pt>
                <c:pt idx="7">
                  <c:v>0.8</c:v>
                </c:pt>
                <c:pt idx="8">
                  <c:v>0.9</c:v>
                </c:pt>
                <c:pt idx="9">
                  <c:v>0.96666666666666667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7-41FE-9A90-BBB1AF54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"/>
        <c:axId val="2096001872"/>
        <c:axId val="154356192"/>
      </c:barChart>
      <c:catAx>
        <c:axId val="20960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56192"/>
        <c:crosses val="autoZero"/>
        <c:auto val="1"/>
        <c:lblAlgn val="ctr"/>
        <c:lblOffset val="100"/>
        <c:noMultiLvlLbl val="0"/>
      </c:catAx>
      <c:valAx>
        <c:axId val="1543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60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2'!$B$12:$B$20</c:f>
              <c:numCache>
                <c:formatCode>General</c:formatCode>
                <c:ptCount val="9"/>
                <c:pt idx="0">
                  <c:v>85</c:v>
                </c:pt>
                <c:pt idx="1">
                  <c:v>91</c:v>
                </c:pt>
                <c:pt idx="2">
                  <c:v>97</c:v>
                </c:pt>
                <c:pt idx="3">
                  <c:v>103</c:v>
                </c:pt>
                <c:pt idx="4">
                  <c:v>109</c:v>
                </c:pt>
                <c:pt idx="5">
                  <c:v>115</c:v>
                </c:pt>
                <c:pt idx="6">
                  <c:v>121</c:v>
                </c:pt>
                <c:pt idx="7">
                  <c:v>127</c:v>
                </c:pt>
                <c:pt idx="8">
                  <c:v>133</c:v>
                </c:pt>
              </c:numCache>
            </c:numRef>
          </c:cat>
          <c:val>
            <c:numRef>
              <c:f>'задание 2'!$G$12:$G$20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0.2</c:v>
                </c:pt>
                <c:pt idx="2">
                  <c:v>0.34</c:v>
                </c:pt>
                <c:pt idx="3">
                  <c:v>0.62000000000000011</c:v>
                </c:pt>
                <c:pt idx="4">
                  <c:v>0.8</c:v>
                </c:pt>
                <c:pt idx="5">
                  <c:v>0.92</c:v>
                </c:pt>
                <c:pt idx="6">
                  <c:v>0.96000000000000008</c:v>
                </c:pt>
                <c:pt idx="7">
                  <c:v>0.98000000000000009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5D4-B4E5-34D5D0224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34112"/>
        <c:axId val="278138656"/>
      </c:lineChart>
      <c:catAx>
        <c:axId val="351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8138656"/>
        <c:crosses val="autoZero"/>
        <c:auto val="1"/>
        <c:lblAlgn val="ctr"/>
        <c:lblOffset val="100"/>
        <c:noMultiLvlLbl val="0"/>
      </c:catAx>
      <c:valAx>
        <c:axId val="2781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8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3</xdr:row>
      <xdr:rowOff>0</xdr:rowOff>
    </xdr:from>
    <xdr:to>
      <xdr:col>17</xdr:col>
      <xdr:colOff>9919</xdr:colOff>
      <xdr:row>12</xdr:row>
      <xdr:rowOff>124079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FCA7BBE-50E7-F00E-9E0B-483D6CEC8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552450"/>
          <a:ext cx="4896533" cy="1819529"/>
        </a:xfrm>
        <a:prstGeom prst="rect">
          <a:avLst/>
        </a:prstGeom>
      </xdr:spPr>
    </xdr:pic>
    <xdr:clientData/>
  </xdr:twoCellAnchor>
  <xdr:twoCellAnchor>
    <xdr:from>
      <xdr:col>21</xdr:col>
      <xdr:colOff>183602</xdr:colOff>
      <xdr:row>2</xdr:row>
      <xdr:rowOff>17955</xdr:rowOff>
    </xdr:from>
    <xdr:to>
      <xdr:col>30</xdr:col>
      <xdr:colOff>362168</xdr:colOff>
      <xdr:row>19</xdr:row>
      <xdr:rowOff>125905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902A022-7D5D-3721-2472-56599B2E6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52552</xdr:colOff>
      <xdr:row>2</xdr:row>
      <xdr:rowOff>6350</xdr:rowOff>
    </xdr:from>
    <xdr:to>
      <xdr:col>39</xdr:col>
      <xdr:colOff>539532</xdr:colOff>
      <xdr:row>19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7477332-5F51-D9F9-71E4-D568A59C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192690</xdr:colOff>
      <xdr:row>20</xdr:row>
      <xdr:rowOff>135757</xdr:rowOff>
    </xdr:from>
    <xdr:to>
      <xdr:col>30</xdr:col>
      <xdr:colOff>368081</xdr:colOff>
      <xdr:row>37</xdr:row>
      <xdr:rowOff>167507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94B0C30-0B4A-AFCD-5ED8-7326C6D1D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5634</xdr:colOff>
      <xdr:row>28</xdr:row>
      <xdr:rowOff>13961</xdr:rowOff>
    </xdr:from>
    <xdr:to>
      <xdr:col>17</xdr:col>
      <xdr:colOff>368340</xdr:colOff>
      <xdr:row>42</xdr:row>
      <xdr:rowOff>171444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320655A-76E3-2695-C089-8C874BA32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32</xdr:row>
      <xdr:rowOff>31750</xdr:rowOff>
    </xdr:from>
    <xdr:to>
      <xdr:col>12</xdr:col>
      <xdr:colOff>203200</xdr:colOff>
      <xdr:row>47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3CBCD1-055E-4AC1-1968-8D79B58E1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6AB0-541A-4BEF-A8E8-437ADDE2CD16}">
  <dimension ref="A1:BH71"/>
  <sheetViews>
    <sheetView tabSelected="1" topLeftCell="A34" zoomScaleNormal="100" workbookViewId="0">
      <selection activeCell="I56" sqref="I56"/>
    </sheetView>
  </sheetViews>
  <sheetFormatPr defaultRowHeight="14.5" x14ac:dyDescent="0.35"/>
  <cols>
    <col min="1" max="1" width="38.36328125" customWidth="1"/>
    <col min="2" max="2" width="18.54296875" customWidth="1"/>
    <col min="6" max="6" width="14.81640625" customWidth="1"/>
    <col min="8" max="8" width="10.90625" customWidth="1"/>
    <col min="12" max="12" width="10.7265625" customWidth="1"/>
    <col min="14" max="14" width="43.81640625" customWidth="1"/>
  </cols>
  <sheetData>
    <row r="1" spans="1:60" x14ac:dyDescent="0.35">
      <c r="A1">
        <v>15</v>
      </c>
      <c r="B1">
        <v>16</v>
      </c>
      <c r="C1">
        <v>16</v>
      </c>
      <c r="D1">
        <v>17</v>
      </c>
      <c r="E1">
        <v>17</v>
      </c>
      <c r="F1">
        <v>17</v>
      </c>
      <c r="G1">
        <v>17</v>
      </c>
      <c r="H1">
        <v>18</v>
      </c>
      <c r="I1">
        <v>18</v>
      </c>
      <c r="J1">
        <v>18</v>
      </c>
      <c r="K1">
        <v>18</v>
      </c>
      <c r="L1">
        <v>18</v>
      </c>
      <c r="M1">
        <v>19</v>
      </c>
      <c r="N1">
        <v>19</v>
      </c>
      <c r="O1">
        <v>19</v>
      </c>
      <c r="P1">
        <v>19</v>
      </c>
      <c r="Q1">
        <v>19</v>
      </c>
      <c r="R1">
        <v>19</v>
      </c>
      <c r="S1" s="2">
        <v>20</v>
      </c>
      <c r="T1">
        <v>20</v>
      </c>
      <c r="U1">
        <v>20</v>
      </c>
      <c r="V1">
        <v>20</v>
      </c>
      <c r="W1">
        <v>20</v>
      </c>
      <c r="X1">
        <v>20</v>
      </c>
      <c r="Y1">
        <v>20</v>
      </c>
      <c r="Z1">
        <v>20</v>
      </c>
      <c r="AA1">
        <v>20</v>
      </c>
      <c r="AB1">
        <v>20</v>
      </c>
      <c r="AC1">
        <v>21</v>
      </c>
      <c r="AD1">
        <v>21</v>
      </c>
      <c r="AE1">
        <v>21</v>
      </c>
      <c r="AF1">
        <v>21</v>
      </c>
      <c r="AG1">
        <v>21</v>
      </c>
      <c r="AH1">
        <v>21</v>
      </c>
      <c r="AI1">
        <v>21</v>
      </c>
      <c r="AJ1">
        <v>21</v>
      </c>
      <c r="AK1">
        <v>21</v>
      </c>
      <c r="AL1">
        <v>21</v>
      </c>
      <c r="AM1">
        <v>21</v>
      </c>
      <c r="AN1">
        <v>21</v>
      </c>
      <c r="AO1">
        <v>21</v>
      </c>
      <c r="AP1">
        <v>22</v>
      </c>
      <c r="AQ1">
        <v>22</v>
      </c>
      <c r="AR1">
        <v>22</v>
      </c>
      <c r="AS1">
        <v>22</v>
      </c>
      <c r="AT1">
        <v>22</v>
      </c>
      <c r="AU1">
        <v>22</v>
      </c>
      <c r="AV1">
        <v>22</v>
      </c>
      <c r="AW1">
        <v>23</v>
      </c>
      <c r="AX1">
        <v>23</v>
      </c>
      <c r="AY1">
        <v>23</v>
      </c>
      <c r="AZ1">
        <v>23</v>
      </c>
      <c r="BA1">
        <v>23</v>
      </c>
      <c r="BB1">
        <v>23</v>
      </c>
      <c r="BC1">
        <v>24</v>
      </c>
      <c r="BD1">
        <v>24</v>
      </c>
      <c r="BE1">
        <v>24</v>
      </c>
      <c r="BF1">
        <v>24</v>
      </c>
      <c r="BG1">
        <v>25</v>
      </c>
      <c r="BH1">
        <v>25</v>
      </c>
    </row>
    <row r="4" spans="1:60" x14ac:dyDescent="0.35">
      <c r="A4" t="s">
        <v>0</v>
      </c>
      <c r="B4">
        <f>COUNT(1:1)</f>
        <v>60</v>
      </c>
    </row>
    <row r="5" spans="1:60" ht="15" thickBot="1" x14ac:dyDescent="0.4"/>
    <row r="6" spans="1:60" ht="15" thickBot="1" x14ac:dyDescent="0.4">
      <c r="A6" s="6" t="s">
        <v>5</v>
      </c>
      <c r="B6" s="7">
        <v>15</v>
      </c>
      <c r="C6" s="8">
        <v>16</v>
      </c>
      <c r="D6" s="8">
        <v>17</v>
      </c>
      <c r="E6" s="8">
        <v>18</v>
      </c>
      <c r="F6" s="8">
        <v>19</v>
      </c>
      <c r="G6" s="8">
        <v>20</v>
      </c>
      <c r="H6" s="8">
        <v>21</v>
      </c>
      <c r="I6" s="8">
        <v>22</v>
      </c>
      <c r="J6" s="8">
        <v>23</v>
      </c>
      <c r="K6" s="8">
        <v>24</v>
      </c>
      <c r="L6" s="9">
        <v>25</v>
      </c>
    </row>
    <row r="7" spans="1:60" ht="15" thickBot="1" x14ac:dyDescent="0.4">
      <c r="A7" s="6" t="s">
        <v>2</v>
      </c>
      <c r="B7" s="4">
        <v>1</v>
      </c>
      <c r="C7" s="5">
        <f>COUNTIF(1:1,"=16")</f>
        <v>2</v>
      </c>
      <c r="D7" s="5">
        <f>COUNTIF(1:1,"=17")</f>
        <v>4</v>
      </c>
      <c r="E7" s="5">
        <f>COUNTIF(1:1,"=18")</f>
        <v>5</v>
      </c>
      <c r="F7" s="5">
        <f>COUNTIF(1:1,"=19")</f>
        <v>6</v>
      </c>
      <c r="G7" s="5">
        <f>COUNTIF(1:1,"=20")</f>
        <v>10</v>
      </c>
      <c r="H7" s="5">
        <f>COUNTIF(1:1,"=21")</f>
        <v>13</v>
      </c>
      <c r="I7" s="5">
        <f>COUNTIF(1:1,"=22")</f>
        <v>7</v>
      </c>
      <c r="J7" s="5">
        <f>COUNTIF(1:1,"=23")</f>
        <v>6</v>
      </c>
      <c r="K7" s="5">
        <f>COUNTIF(1:1,"=24")</f>
        <v>4</v>
      </c>
      <c r="L7" s="5">
        <f>COUNTIF(1:1,"=25")</f>
        <v>2</v>
      </c>
    </row>
    <row r="8" spans="1:60" ht="15" thickBot="1" x14ac:dyDescent="0.4">
      <c r="A8" s="6" t="s">
        <v>1</v>
      </c>
      <c r="B8" s="3">
        <f>B7/$B$4</f>
        <v>1.6666666666666666E-2</v>
      </c>
      <c r="C8" s="1">
        <f t="shared" ref="C8:L8" si="0">C7/$B$4</f>
        <v>3.3333333333333333E-2</v>
      </c>
      <c r="D8" s="1">
        <f t="shared" si="0"/>
        <v>6.6666666666666666E-2</v>
      </c>
      <c r="E8" s="1">
        <f t="shared" si="0"/>
        <v>8.3333333333333329E-2</v>
      </c>
      <c r="F8" s="1">
        <f t="shared" si="0"/>
        <v>0.1</v>
      </c>
      <c r="G8" s="1">
        <f t="shared" si="0"/>
        <v>0.16666666666666666</v>
      </c>
      <c r="H8" s="1">
        <f t="shared" si="0"/>
        <v>0.21666666666666667</v>
      </c>
      <c r="I8" s="1">
        <f t="shared" si="0"/>
        <v>0.11666666666666667</v>
      </c>
      <c r="J8" s="1">
        <f t="shared" si="0"/>
        <v>0.1</v>
      </c>
      <c r="K8" s="1">
        <f t="shared" si="0"/>
        <v>6.6666666666666666E-2</v>
      </c>
      <c r="L8" s="1">
        <f t="shared" si="0"/>
        <v>3.3333333333333333E-2</v>
      </c>
    </row>
    <row r="9" spans="1:60" ht="15" thickBot="1" x14ac:dyDescent="0.4">
      <c r="A9" s="14" t="s">
        <v>3</v>
      </c>
      <c r="B9" s="12">
        <v>1</v>
      </c>
      <c r="C9" s="13">
        <v>3</v>
      </c>
      <c r="D9" s="13">
        <v>7</v>
      </c>
      <c r="E9" s="13">
        <v>12</v>
      </c>
      <c r="F9" s="13">
        <v>18</v>
      </c>
      <c r="G9" s="13">
        <v>28</v>
      </c>
      <c r="H9" s="13">
        <v>41</v>
      </c>
      <c r="I9" s="13">
        <v>48</v>
      </c>
      <c r="J9" s="13">
        <v>54</v>
      </c>
      <c r="K9" s="13">
        <v>58</v>
      </c>
      <c r="L9" s="13">
        <v>60</v>
      </c>
    </row>
    <row r="10" spans="1:60" ht="15" thickBot="1" x14ac:dyDescent="0.4">
      <c r="A10" s="6" t="s">
        <v>4</v>
      </c>
      <c r="B10" s="3">
        <f>B8</f>
        <v>1.6666666666666666E-2</v>
      </c>
      <c r="C10" s="1">
        <f>SUM($B$8:C8)</f>
        <v>0.05</v>
      </c>
      <c r="D10" s="1">
        <f>SUM($B$8:D8)</f>
        <v>0.11666666666666667</v>
      </c>
      <c r="E10" s="1">
        <f>SUM($B$8:E8)</f>
        <v>0.2</v>
      </c>
      <c r="F10" s="1">
        <f>SUM($B$8:F8)</f>
        <v>0.30000000000000004</v>
      </c>
      <c r="G10" s="1">
        <f>SUM($B$8:G8)</f>
        <v>0.46666666666666667</v>
      </c>
      <c r="H10" s="1">
        <f>SUM($B$8:H8)</f>
        <v>0.68333333333333335</v>
      </c>
      <c r="I10" s="1">
        <f>SUM($B$8:I8)</f>
        <v>0.8</v>
      </c>
      <c r="J10" s="1">
        <f>SUM($B$8:J8)</f>
        <v>0.9</v>
      </c>
      <c r="K10" s="1">
        <f>SUM($B$8:K8)</f>
        <v>0.96666666666666667</v>
      </c>
      <c r="L10" s="1">
        <f>SUM($B$8:L8)</f>
        <v>1</v>
      </c>
    </row>
    <row r="12" spans="1:60" ht="15" thickBot="1" x14ac:dyDescent="0.4"/>
    <row r="13" spans="1:60" x14ac:dyDescent="0.35">
      <c r="B13" s="15" t="s">
        <v>46</v>
      </c>
      <c r="C13" s="16"/>
      <c r="D13" s="16"/>
      <c r="E13" s="16"/>
      <c r="F13" s="16"/>
      <c r="G13" s="16"/>
      <c r="H13" s="16"/>
      <c r="I13" s="16"/>
      <c r="J13" s="16"/>
      <c r="K13" s="16"/>
      <c r="L13" s="17"/>
    </row>
    <row r="14" spans="1:60" x14ac:dyDescent="0.35">
      <c r="B14" s="18"/>
      <c r="L14" s="19"/>
    </row>
    <row r="15" spans="1:60" x14ac:dyDescent="0.35">
      <c r="B15" s="18">
        <f>B6*B7</f>
        <v>15</v>
      </c>
      <c r="C15">
        <f t="shared" ref="C15:L15" si="1">C6*C7</f>
        <v>32</v>
      </c>
      <c r="D15">
        <f t="shared" si="1"/>
        <v>68</v>
      </c>
      <c r="E15">
        <f t="shared" si="1"/>
        <v>90</v>
      </c>
      <c r="F15">
        <f t="shared" si="1"/>
        <v>114</v>
      </c>
      <c r="G15">
        <f t="shared" si="1"/>
        <v>200</v>
      </c>
      <c r="H15">
        <f t="shared" si="1"/>
        <v>273</v>
      </c>
      <c r="I15">
        <f t="shared" si="1"/>
        <v>154</v>
      </c>
      <c r="J15">
        <f t="shared" si="1"/>
        <v>138</v>
      </c>
      <c r="K15">
        <f t="shared" si="1"/>
        <v>96</v>
      </c>
      <c r="L15" s="19">
        <f t="shared" si="1"/>
        <v>50</v>
      </c>
    </row>
    <row r="16" spans="1:60" x14ac:dyDescent="0.35">
      <c r="B16" s="18">
        <f>B7*((B6-$O$21)^2)</f>
        <v>30.25</v>
      </c>
      <c r="C16">
        <f t="shared" ref="C16:L16" si="2">C7*(C6-$O$21)^2</f>
        <v>40.5</v>
      </c>
      <c r="D16">
        <f t="shared" si="2"/>
        <v>49</v>
      </c>
      <c r="E16">
        <f>E7*(E6-$O$21)^2</f>
        <v>31.25</v>
      </c>
      <c r="F16">
        <f t="shared" si="2"/>
        <v>13.5</v>
      </c>
      <c r="G16">
        <f t="shared" si="2"/>
        <v>2.5</v>
      </c>
      <c r="H16">
        <f t="shared" si="2"/>
        <v>3.25</v>
      </c>
      <c r="I16">
        <f t="shared" si="2"/>
        <v>15.75</v>
      </c>
      <c r="J16">
        <f t="shared" si="2"/>
        <v>37.5</v>
      </c>
      <c r="K16">
        <f t="shared" si="2"/>
        <v>49</v>
      </c>
      <c r="L16" s="19">
        <f t="shared" si="2"/>
        <v>40.5</v>
      </c>
    </row>
    <row r="17" spans="2:15" x14ac:dyDescent="0.35">
      <c r="B17" s="18">
        <f>B7*(B6-$O$21)^3</f>
        <v>-166.375</v>
      </c>
      <c r="C17">
        <f t="shared" ref="C17:L17" si="3">C7*(C6-$O$21)^3</f>
        <v>-182.25</v>
      </c>
      <c r="D17">
        <f t="shared" si="3"/>
        <v>-171.5</v>
      </c>
      <c r="E17">
        <f t="shared" si="3"/>
        <v>-78.125</v>
      </c>
      <c r="F17">
        <f t="shared" si="3"/>
        <v>-20.25</v>
      </c>
      <c r="G17">
        <f t="shared" si="3"/>
        <v>-1.25</v>
      </c>
      <c r="H17">
        <f t="shared" si="3"/>
        <v>1.625</v>
      </c>
      <c r="I17">
        <f t="shared" si="3"/>
        <v>23.625</v>
      </c>
      <c r="J17">
        <f t="shared" si="3"/>
        <v>93.75</v>
      </c>
      <c r="K17">
        <f t="shared" si="3"/>
        <v>171.5</v>
      </c>
      <c r="L17" s="19">
        <f t="shared" si="3"/>
        <v>182.25</v>
      </c>
    </row>
    <row r="18" spans="2:15" ht="15" thickBot="1" x14ac:dyDescent="0.4">
      <c r="B18" s="20">
        <f>B7*(B6-$O$21)^4</f>
        <v>915.0625</v>
      </c>
      <c r="C18" s="21">
        <f t="shared" ref="C18:L18" si="4">C7*(C6-$O$21)^4</f>
        <v>820.125</v>
      </c>
      <c r="D18" s="21">
        <f t="shared" si="4"/>
        <v>600.25</v>
      </c>
      <c r="E18" s="21">
        <f t="shared" si="4"/>
        <v>195.3125</v>
      </c>
      <c r="F18" s="21">
        <f t="shared" si="4"/>
        <v>30.375</v>
      </c>
      <c r="G18" s="21">
        <f t="shared" si="4"/>
        <v>0.625</v>
      </c>
      <c r="H18" s="21">
        <f t="shared" si="4"/>
        <v>0.8125</v>
      </c>
      <c r="I18" s="21">
        <f t="shared" si="4"/>
        <v>35.4375</v>
      </c>
      <c r="J18" s="21">
        <f t="shared" si="4"/>
        <v>234.375</v>
      </c>
      <c r="K18" s="21">
        <f t="shared" si="4"/>
        <v>600.25</v>
      </c>
      <c r="L18" s="22">
        <f t="shared" si="4"/>
        <v>820.125</v>
      </c>
    </row>
    <row r="21" spans="2:15" x14ac:dyDescent="0.35">
      <c r="B21" t="s">
        <v>45</v>
      </c>
      <c r="N21" s="1" t="s">
        <v>13</v>
      </c>
      <c r="O21" s="1">
        <f>SUM(B15:L15)/60</f>
        <v>20.5</v>
      </c>
    </row>
    <row r="22" spans="2:15" x14ac:dyDescent="0.35">
      <c r="N22" s="1" t="s">
        <v>14</v>
      </c>
      <c r="O22" s="1">
        <v>21</v>
      </c>
    </row>
    <row r="23" spans="2:15" x14ac:dyDescent="0.35">
      <c r="B23" s="23"/>
      <c r="C23">
        <v>0</v>
      </c>
      <c r="D23" t="s">
        <v>22</v>
      </c>
      <c r="E23" t="s">
        <v>23</v>
      </c>
      <c r="N23" s="1" t="s">
        <v>15</v>
      </c>
      <c r="O23" s="1">
        <f>SUM(B6:L6)/COUNT(B6:L6)</f>
        <v>20</v>
      </c>
    </row>
    <row r="24" spans="2:15" x14ac:dyDescent="0.35">
      <c r="B24" s="23"/>
      <c r="C24">
        <v>1.6666666666666666E-2</v>
      </c>
      <c r="D24" t="s">
        <v>22</v>
      </c>
      <c r="E24" t="s">
        <v>24</v>
      </c>
      <c r="N24" s="1" t="s">
        <v>16</v>
      </c>
      <c r="O24" s="1">
        <f>SUM(B16:L16)/B4</f>
        <v>5.2166666666666668</v>
      </c>
    </row>
    <row r="25" spans="2:15" x14ac:dyDescent="0.35">
      <c r="B25" s="23"/>
      <c r="C25">
        <v>0.05</v>
      </c>
      <c r="D25" t="s">
        <v>22</v>
      </c>
      <c r="E25" t="s">
        <v>26</v>
      </c>
      <c r="N25" s="1" t="s">
        <v>17</v>
      </c>
      <c r="O25" s="1">
        <f>SQRT(O24)</f>
        <v>2.2840023350834531</v>
      </c>
    </row>
    <row r="26" spans="2:15" x14ac:dyDescent="0.35">
      <c r="B26" s="23"/>
      <c r="C26">
        <v>0.11666666666666667</v>
      </c>
      <c r="D26" t="s">
        <v>22</v>
      </c>
      <c r="E26" t="s">
        <v>27</v>
      </c>
      <c r="N26" s="1" t="s">
        <v>18</v>
      </c>
      <c r="O26" s="1">
        <f>SUM(B17:L17)/($B$4*$O$25^3)</f>
        <v>-0.20562525488099356</v>
      </c>
    </row>
    <row r="27" spans="2:15" x14ac:dyDescent="0.35">
      <c r="B27" s="23"/>
      <c r="C27">
        <v>0.2</v>
      </c>
      <c r="D27" t="s">
        <v>22</v>
      </c>
      <c r="E27" t="s">
        <v>28</v>
      </c>
      <c r="N27" s="1" t="s">
        <v>19</v>
      </c>
      <c r="O27" s="1">
        <f>SUM(B18:L18)/($B$4*$O$25^4)-3</f>
        <v>-0.39545162245199927</v>
      </c>
    </row>
    <row r="28" spans="2:15" x14ac:dyDescent="0.35">
      <c r="B28" s="23" t="s">
        <v>21</v>
      </c>
      <c r="C28">
        <v>0.30000000000000004</v>
      </c>
      <c r="D28" t="s">
        <v>22</v>
      </c>
      <c r="E28" t="s">
        <v>29</v>
      </c>
    </row>
    <row r="29" spans="2:15" x14ac:dyDescent="0.35">
      <c r="B29" s="23"/>
      <c r="C29">
        <v>0.46666666666666667</v>
      </c>
      <c r="D29" t="s">
        <v>22</v>
      </c>
      <c r="E29" t="s">
        <v>30</v>
      </c>
    </row>
    <row r="30" spans="2:15" x14ac:dyDescent="0.35">
      <c r="B30" s="23"/>
      <c r="C30">
        <v>0.68333333333333335</v>
      </c>
      <c r="D30" t="s">
        <v>22</v>
      </c>
      <c r="E30" t="s">
        <v>31</v>
      </c>
    </row>
    <row r="31" spans="2:15" x14ac:dyDescent="0.35">
      <c r="B31" s="23"/>
      <c r="C31">
        <v>0.8</v>
      </c>
      <c r="D31" t="s">
        <v>22</v>
      </c>
      <c r="E31" t="s">
        <v>32</v>
      </c>
    </row>
    <row r="32" spans="2:15" x14ac:dyDescent="0.35">
      <c r="B32" s="23"/>
      <c r="C32">
        <v>0.9</v>
      </c>
      <c r="D32" t="s">
        <v>22</v>
      </c>
      <c r="E32" t="s">
        <v>33</v>
      </c>
    </row>
    <row r="33" spans="1:7" x14ac:dyDescent="0.35">
      <c r="B33" s="23"/>
      <c r="C33">
        <v>0.96666666666666667</v>
      </c>
      <c r="D33" t="s">
        <v>22</v>
      </c>
      <c r="E33" t="s">
        <v>34</v>
      </c>
    </row>
    <row r="34" spans="1:7" x14ac:dyDescent="0.35">
      <c r="B34" s="23"/>
      <c r="C34">
        <v>1</v>
      </c>
      <c r="D34" t="s">
        <v>22</v>
      </c>
      <c r="E34" t="s">
        <v>25</v>
      </c>
    </row>
    <row r="41" spans="1:7" ht="21" x14ac:dyDescent="0.5">
      <c r="A41" s="25" t="s">
        <v>80</v>
      </c>
    </row>
    <row r="42" spans="1:7" x14ac:dyDescent="0.35">
      <c r="A42" t="s">
        <v>101</v>
      </c>
    </row>
    <row r="44" spans="1:7" x14ac:dyDescent="0.35">
      <c r="A44" t="s">
        <v>48</v>
      </c>
      <c r="B44">
        <v>60</v>
      </c>
    </row>
    <row r="45" spans="1:7" x14ac:dyDescent="0.35">
      <c r="A45" t="s">
        <v>9</v>
      </c>
      <c r="B45">
        <f>(25-15)/5</f>
        <v>2</v>
      </c>
    </row>
    <row r="48" spans="1:7" x14ac:dyDescent="0.35">
      <c r="A48" s="1" t="s">
        <v>10</v>
      </c>
      <c r="B48" s="1" t="s">
        <v>52</v>
      </c>
      <c r="C48" s="1" t="s">
        <v>102</v>
      </c>
      <c r="D48" s="1" t="s">
        <v>103</v>
      </c>
      <c r="E48" s="1" t="s">
        <v>2</v>
      </c>
      <c r="F48" s="1" t="s">
        <v>1</v>
      </c>
      <c r="G48" s="1" t="s">
        <v>3</v>
      </c>
    </row>
    <row r="49" spans="1:8" x14ac:dyDescent="0.35">
      <c r="A49" s="1">
        <v>1</v>
      </c>
      <c r="B49" s="1">
        <v>15</v>
      </c>
      <c r="C49" s="1">
        <v>17</v>
      </c>
      <c r="D49" s="1">
        <f>(B49+C49)/2</f>
        <v>16</v>
      </c>
      <c r="E49" s="1">
        <f>B7+C7</f>
        <v>3</v>
      </c>
      <c r="F49" s="1">
        <f>E49/$B$44</f>
        <v>0.05</v>
      </c>
      <c r="G49" s="1">
        <f>E49</f>
        <v>3</v>
      </c>
    </row>
    <row r="50" spans="1:8" x14ac:dyDescent="0.35">
      <c r="A50" s="1">
        <v>2</v>
      </c>
      <c r="B50" s="1">
        <f>C49</f>
        <v>17</v>
      </c>
      <c r="C50" s="1">
        <f>B50+2</f>
        <v>19</v>
      </c>
      <c r="D50" s="1">
        <f t="shared" ref="D50:D53" si="5">(B50+C50)/2</f>
        <v>18</v>
      </c>
      <c r="E50" s="1">
        <f>D7+E7</f>
        <v>9</v>
      </c>
      <c r="F50" s="1">
        <f t="shared" ref="F50:F53" si="6">E50/$B$44</f>
        <v>0.15</v>
      </c>
      <c r="G50" s="1">
        <f>G49+E50</f>
        <v>12</v>
      </c>
    </row>
    <row r="51" spans="1:8" x14ac:dyDescent="0.35">
      <c r="A51" s="1">
        <v>3</v>
      </c>
      <c r="B51" s="1">
        <f t="shared" ref="B51:B53" si="7">C50</f>
        <v>19</v>
      </c>
      <c r="C51" s="1">
        <f t="shared" ref="C51:C53" si="8">B51+2</f>
        <v>21</v>
      </c>
      <c r="D51" s="1">
        <f t="shared" si="5"/>
        <v>20</v>
      </c>
      <c r="E51" s="1">
        <f>F7+G7</f>
        <v>16</v>
      </c>
      <c r="F51" s="1">
        <f t="shared" si="6"/>
        <v>0.26666666666666666</v>
      </c>
      <c r="G51" s="1">
        <f t="shared" ref="G51:G53" si="9">G50+E51</f>
        <v>28</v>
      </c>
    </row>
    <row r="52" spans="1:8" x14ac:dyDescent="0.35">
      <c r="A52" s="1">
        <v>4</v>
      </c>
      <c r="B52" s="1">
        <f t="shared" si="7"/>
        <v>21</v>
      </c>
      <c r="C52" s="1">
        <f t="shared" si="8"/>
        <v>23</v>
      </c>
      <c r="D52" s="1">
        <f t="shared" si="5"/>
        <v>22</v>
      </c>
      <c r="E52" s="1">
        <f>H7+I7</f>
        <v>20</v>
      </c>
      <c r="F52" s="1">
        <f t="shared" si="6"/>
        <v>0.33333333333333331</v>
      </c>
      <c r="G52" s="1">
        <f t="shared" si="9"/>
        <v>48</v>
      </c>
    </row>
    <row r="53" spans="1:8" x14ac:dyDescent="0.35">
      <c r="A53" s="1">
        <v>5</v>
      </c>
      <c r="B53" s="1">
        <f t="shared" si="7"/>
        <v>23</v>
      </c>
      <c r="C53" s="1">
        <f t="shared" si="8"/>
        <v>25</v>
      </c>
      <c r="D53" s="1">
        <f t="shared" si="5"/>
        <v>24</v>
      </c>
      <c r="E53" s="1">
        <f>J7+K7+L7</f>
        <v>12</v>
      </c>
      <c r="F53" s="1">
        <f t="shared" si="6"/>
        <v>0.2</v>
      </c>
      <c r="G53" s="1">
        <f t="shared" si="9"/>
        <v>60</v>
      </c>
    </row>
    <row r="54" spans="1:8" x14ac:dyDescent="0.35">
      <c r="E54" s="1">
        <f>SUM(E49:E53)</f>
        <v>60</v>
      </c>
      <c r="F54" s="24">
        <f>SUM(F49:F53)</f>
        <v>1</v>
      </c>
    </row>
    <row r="57" spans="1:8" x14ac:dyDescent="0.35">
      <c r="A57" t="s">
        <v>104</v>
      </c>
      <c r="B57">
        <v>22</v>
      </c>
    </row>
    <row r="59" spans="1:8" x14ac:dyDescent="0.35">
      <c r="A59" s="1" t="s">
        <v>72</v>
      </c>
      <c r="B59" s="1" t="s">
        <v>2</v>
      </c>
      <c r="C59" s="1" t="s">
        <v>73</v>
      </c>
      <c r="D59" s="1" t="s">
        <v>74</v>
      </c>
      <c r="E59" s="1" t="s">
        <v>75</v>
      </c>
      <c r="F59" s="1" t="s">
        <v>76</v>
      </c>
      <c r="G59" s="1" t="s">
        <v>77</v>
      </c>
      <c r="H59" s="1" t="s">
        <v>78</v>
      </c>
    </row>
    <row r="60" spans="1:8" x14ac:dyDescent="0.35">
      <c r="A60" s="1">
        <f>D49</f>
        <v>16</v>
      </c>
      <c r="B60" s="1">
        <f>E49</f>
        <v>3</v>
      </c>
      <c r="C60" s="1">
        <f>(A60-$B$57)/$B$45</f>
        <v>-3</v>
      </c>
      <c r="D60" s="1">
        <f>C60*B60</f>
        <v>-9</v>
      </c>
      <c r="E60" s="1">
        <f>(C60^2)*B60</f>
        <v>27</v>
      </c>
      <c r="F60" s="1">
        <f>(C60^3)*B60</f>
        <v>-81</v>
      </c>
      <c r="G60" s="1">
        <f>(C60^4)*B60</f>
        <v>243</v>
      </c>
      <c r="H60" s="1">
        <f>B60*(C60+1)^4</f>
        <v>48</v>
      </c>
    </row>
    <row r="61" spans="1:8" x14ac:dyDescent="0.35">
      <c r="A61" s="1">
        <f t="shared" ref="A61:A64" si="10">D50</f>
        <v>18</v>
      </c>
      <c r="B61" s="1">
        <f t="shared" ref="B61:B64" si="11">E50</f>
        <v>9</v>
      </c>
      <c r="C61" s="1">
        <f t="shared" ref="C61:C64" si="12">(A61-$B$57)/$B$45</f>
        <v>-2</v>
      </c>
      <c r="D61" s="1">
        <f t="shared" ref="D61:D64" si="13">C61*B61</f>
        <v>-18</v>
      </c>
      <c r="E61" s="1">
        <f t="shared" ref="E61:E64" si="14">(C61^2)*B61</f>
        <v>36</v>
      </c>
      <c r="F61" s="1">
        <f t="shared" ref="F61:F64" si="15">(C61^3)*B61</f>
        <v>-72</v>
      </c>
      <c r="G61" s="1">
        <f t="shared" ref="G61:G64" si="16">(C61^4)*B61</f>
        <v>144</v>
      </c>
      <c r="H61" s="1">
        <f t="shared" ref="H61:H64" si="17">B61*(C61+1)^4</f>
        <v>9</v>
      </c>
    </row>
    <row r="62" spans="1:8" x14ac:dyDescent="0.35">
      <c r="A62" s="1">
        <f t="shared" si="10"/>
        <v>20</v>
      </c>
      <c r="B62" s="1">
        <f t="shared" si="11"/>
        <v>16</v>
      </c>
      <c r="C62" s="1">
        <f t="shared" si="12"/>
        <v>-1</v>
      </c>
      <c r="D62" s="1">
        <f t="shared" si="13"/>
        <v>-16</v>
      </c>
      <c r="E62" s="1">
        <f t="shared" si="14"/>
        <v>16</v>
      </c>
      <c r="F62" s="1">
        <f t="shared" si="15"/>
        <v>-16</v>
      </c>
      <c r="G62" s="1">
        <f t="shared" si="16"/>
        <v>16</v>
      </c>
      <c r="H62" s="1">
        <f t="shared" si="17"/>
        <v>0</v>
      </c>
    </row>
    <row r="63" spans="1:8" x14ac:dyDescent="0.35">
      <c r="A63" s="1">
        <f>D52</f>
        <v>22</v>
      </c>
      <c r="B63" s="1">
        <f t="shared" si="11"/>
        <v>20</v>
      </c>
      <c r="C63" s="1">
        <f t="shared" si="12"/>
        <v>0</v>
      </c>
      <c r="D63" s="1">
        <f t="shared" si="13"/>
        <v>0</v>
      </c>
      <c r="E63" s="1">
        <f t="shared" si="14"/>
        <v>0</v>
      </c>
      <c r="F63" s="1">
        <f t="shared" si="15"/>
        <v>0</v>
      </c>
      <c r="G63" s="1">
        <f t="shared" si="16"/>
        <v>0</v>
      </c>
      <c r="H63" s="1">
        <f t="shared" si="17"/>
        <v>20</v>
      </c>
    </row>
    <row r="64" spans="1:8" x14ac:dyDescent="0.35">
      <c r="A64" s="1">
        <f t="shared" si="10"/>
        <v>24</v>
      </c>
      <c r="B64" s="1">
        <f t="shared" si="11"/>
        <v>12</v>
      </c>
      <c r="C64" s="1">
        <f t="shared" si="12"/>
        <v>1</v>
      </c>
      <c r="D64" s="1">
        <f t="shared" si="13"/>
        <v>12</v>
      </c>
      <c r="E64" s="1">
        <f t="shared" si="14"/>
        <v>12</v>
      </c>
      <c r="F64" s="1">
        <f t="shared" si="15"/>
        <v>12</v>
      </c>
      <c r="G64" s="1">
        <f t="shared" si="16"/>
        <v>12</v>
      </c>
      <c r="H64" s="1">
        <f t="shared" si="17"/>
        <v>192</v>
      </c>
    </row>
    <row r="67" spans="1:2" x14ac:dyDescent="0.35">
      <c r="A67" t="s">
        <v>83</v>
      </c>
      <c r="B67">
        <f>1/60*SUM(D60:D64)</f>
        <v>-0.51666666666666661</v>
      </c>
    </row>
    <row r="68" spans="1:2" x14ac:dyDescent="0.35">
      <c r="A68" t="s">
        <v>84</v>
      </c>
      <c r="B68">
        <f>1/60*SUM(E60:E64)</f>
        <v>1.5166666666666666</v>
      </c>
    </row>
    <row r="69" spans="1:2" x14ac:dyDescent="0.35">
      <c r="A69" t="s">
        <v>65</v>
      </c>
      <c r="B69">
        <f>B67*B45+B57</f>
        <v>20.966666666666669</v>
      </c>
    </row>
    <row r="70" spans="1:2" x14ac:dyDescent="0.35">
      <c r="A70" t="s">
        <v>66</v>
      </c>
      <c r="B70">
        <f>(B68-(B67^2))/(B45^2)</f>
        <v>0.31243055555555554</v>
      </c>
    </row>
    <row r="71" spans="1:2" x14ac:dyDescent="0.35">
      <c r="A71" t="s">
        <v>105</v>
      </c>
      <c r="B71">
        <f>B70-(1/12*(B45^2))</f>
        <v>-2.090277777777777E-2</v>
      </c>
    </row>
  </sheetData>
  <sortState xmlns:xlrd2="http://schemas.microsoft.com/office/spreadsheetml/2017/richdata2" ref="Z17:Z27">
    <sortCondition ref="Z27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59F4-0131-4678-85F6-FF3C3302F1B8}">
  <dimension ref="A1:AX113"/>
  <sheetViews>
    <sheetView topLeftCell="A85" zoomScale="106" workbookViewId="0">
      <selection activeCell="B114" sqref="B114"/>
    </sheetView>
  </sheetViews>
  <sheetFormatPr defaultRowHeight="14.5" x14ac:dyDescent="0.35"/>
  <cols>
    <col min="1" max="1" width="37.6328125" customWidth="1"/>
    <col min="2" max="2" width="17.453125" customWidth="1"/>
    <col min="8" max="8" width="11.26953125" customWidth="1"/>
    <col min="10" max="10" width="45.6328125" customWidth="1"/>
  </cols>
  <sheetData>
    <row r="1" spans="1:50" x14ac:dyDescent="0.35">
      <c r="A1">
        <v>85</v>
      </c>
      <c r="B1">
        <v>85</v>
      </c>
      <c r="C1">
        <v>85</v>
      </c>
      <c r="D1">
        <v>86</v>
      </c>
      <c r="E1">
        <v>88</v>
      </c>
      <c r="F1">
        <v>89</v>
      </c>
      <c r="G1">
        <v>89</v>
      </c>
      <c r="H1">
        <v>91</v>
      </c>
      <c r="I1">
        <v>94</v>
      </c>
      <c r="J1">
        <v>96</v>
      </c>
      <c r="K1">
        <v>97</v>
      </c>
      <c r="L1">
        <v>97</v>
      </c>
      <c r="M1">
        <v>98</v>
      </c>
      <c r="N1">
        <v>99</v>
      </c>
      <c r="O1">
        <v>99</v>
      </c>
      <c r="P1">
        <v>101</v>
      </c>
      <c r="Q1">
        <v>102</v>
      </c>
      <c r="R1">
        <v>103</v>
      </c>
      <c r="S1">
        <v>103</v>
      </c>
      <c r="T1">
        <v>104</v>
      </c>
      <c r="U1">
        <v>105</v>
      </c>
      <c r="V1">
        <v>105</v>
      </c>
      <c r="W1">
        <v>105</v>
      </c>
      <c r="X1">
        <v>105</v>
      </c>
      <c r="Y1">
        <v>106</v>
      </c>
      <c r="Z1">
        <v>107</v>
      </c>
      <c r="AA1">
        <v>107</v>
      </c>
      <c r="AB1">
        <v>107</v>
      </c>
      <c r="AC1">
        <v>107</v>
      </c>
      <c r="AD1">
        <v>108</v>
      </c>
      <c r="AE1">
        <v>108</v>
      </c>
      <c r="AF1">
        <v>109</v>
      </c>
      <c r="AG1">
        <v>109</v>
      </c>
      <c r="AH1">
        <v>109</v>
      </c>
      <c r="AI1">
        <v>109</v>
      </c>
      <c r="AJ1" s="2">
        <v>111</v>
      </c>
      <c r="AK1">
        <v>111</v>
      </c>
      <c r="AL1">
        <v>111</v>
      </c>
      <c r="AM1">
        <v>112</v>
      </c>
      <c r="AN1">
        <v>113</v>
      </c>
      <c r="AO1">
        <v>115</v>
      </c>
      <c r="AP1">
        <v>115</v>
      </c>
      <c r="AQ1">
        <v>116</v>
      </c>
      <c r="AR1">
        <v>117</v>
      </c>
      <c r="AS1">
        <v>118</v>
      </c>
      <c r="AT1">
        <v>119</v>
      </c>
      <c r="AU1">
        <v>125</v>
      </c>
      <c r="AV1">
        <v>125</v>
      </c>
      <c r="AW1">
        <v>127</v>
      </c>
      <c r="AX1">
        <v>139</v>
      </c>
    </row>
    <row r="3" spans="1:50" x14ac:dyDescent="0.35">
      <c r="A3" t="s">
        <v>8</v>
      </c>
      <c r="B3">
        <f>COUNT(1:1)</f>
        <v>50</v>
      </c>
    </row>
    <row r="4" spans="1:50" x14ac:dyDescent="0.35">
      <c r="A4" t="s">
        <v>6</v>
      </c>
      <c r="B4">
        <f>MIN(1:1)</f>
        <v>85</v>
      </c>
    </row>
    <row r="5" spans="1:50" x14ac:dyDescent="0.35">
      <c r="A5" t="s">
        <v>7</v>
      </c>
      <c r="B5">
        <f>MAX(1:1)</f>
        <v>139</v>
      </c>
    </row>
    <row r="6" spans="1:50" x14ac:dyDescent="0.35">
      <c r="A6" t="s">
        <v>9</v>
      </c>
      <c r="B6">
        <v>6</v>
      </c>
    </row>
    <row r="10" spans="1:50" ht="15" thickBot="1" x14ac:dyDescent="0.4"/>
    <row r="11" spans="1:50" x14ac:dyDescent="0.35">
      <c r="A11" s="1" t="s">
        <v>10</v>
      </c>
      <c r="B11" s="1" t="s">
        <v>11</v>
      </c>
      <c r="C11" s="1" t="s">
        <v>12</v>
      </c>
      <c r="D11" s="1" t="s">
        <v>2</v>
      </c>
      <c r="E11" s="1" t="s">
        <v>1</v>
      </c>
      <c r="F11" s="1" t="s">
        <v>3</v>
      </c>
      <c r="G11" s="1" t="s">
        <v>4</v>
      </c>
      <c r="H11" s="24" t="s">
        <v>72</v>
      </c>
      <c r="J11" s="15" t="s">
        <v>47</v>
      </c>
      <c r="K11" s="16"/>
      <c r="L11" s="16"/>
      <c r="M11" s="17"/>
    </row>
    <row r="12" spans="1:50" x14ac:dyDescent="0.35">
      <c r="A12" s="1">
        <v>1</v>
      </c>
      <c r="B12" s="1">
        <v>85</v>
      </c>
      <c r="C12" s="1">
        <v>91</v>
      </c>
      <c r="D12" s="1">
        <v>7</v>
      </c>
      <c r="E12" s="1">
        <f>D12/$B$3</f>
        <v>0.14000000000000001</v>
      </c>
      <c r="F12" s="1">
        <f>D12</f>
        <v>7</v>
      </c>
      <c r="G12" s="1">
        <f>E12</f>
        <v>0.14000000000000001</v>
      </c>
      <c r="H12" s="1">
        <f>(C12+B12)/2</f>
        <v>88</v>
      </c>
      <c r="J12" s="18">
        <f t="shared" ref="J12:J20" si="0">(B12+C12)/2*D12</f>
        <v>616</v>
      </c>
      <c r="K12">
        <f>(((B12+C12)/2)-$K$25)^2*D12</f>
        <v>2328.8831999999984</v>
      </c>
      <c r="L12">
        <f>(((B12+C12)/2)-$K$25)^3*D12</f>
        <v>-42478.829567999957</v>
      </c>
      <c r="M12" s="19">
        <f>(((B12+C12)/2)-$K$25)^4*D12</f>
        <v>774813.85132031911</v>
      </c>
    </row>
    <row r="13" spans="1:50" x14ac:dyDescent="0.35">
      <c r="A13" s="1">
        <v>2</v>
      </c>
      <c r="B13" s="1">
        <f>C12</f>
        <v>91</v>
      </c>
      <c r="C13" s="1">
        <f>B13+$B$6</f>
        <v>97</v>
      </c>
      <c r="D13" s="1">
        <v>3</v>
      </c>
      <c r="E13" s="1">
        <f t="shared" ref="E13:E20" si="1">D13/$B$3</f>
        <v>0.06</v>
      </c>
      <c r="F13" s="1">
        <f>F12+D13</f>
        <v>10</v>
      </c>
      <c r="G13" s="1">
        <f>G12+E13</f>
        <v>0.2</v>
      </c>
      <c r="H13" s="1">
        <f t="shared" ref="H13:H20" si="2">(C13+B13)/2</f>
        <v>94</v>
      </c>
      <c r="J13" s="18">
        <f t="shared" si="0"/>
        <v>282</v>
      </c>
      <c r="K13">
        <f t="shared" ref="K13:K20" si="3">(((B13+C13)/2)-$K$25)^2*D13</f>
        <v>449.45279999999968</v>
      </c>
      <c r="L13">
        <f t="shared" ref="L13:L20" si="4">(((B13+C13)/2)-$K$25)^3*D13</f>
        <v>-5501.3022719999935</v>
      </c>
      <c r="M13" s="19">
        <f t="shared" ref="M13:M20" si="5">(((B13+C13)/2)-$K$25)^4*D13</f>
        <v>67335.939809279895</v>
      </c>
    </row>
    <row r="14" spans="1:50" x14ac:dyDescent="0.35">
      <c r="A14" s="1">
        <v>3</v>
      </c>
      <c r="B14" s="1">
        <f t="shared" ref="B14:B20" si="6">C13</f>
        <v>97</v>
      </c>
      <c r="C14" s="1">
        <f t="shared" ref="C14:C20" si="7">B14+$B$6</f>
        <v>103</v>
      </c>
      <c r="D14" s="1">
        <v>7</v>
      </c>
      <c r="E14" s="1">
        <f t="shared" si="1"/>
        <v>0.14000000000000001</v>
      </c>
      <c r="F14" s="1">
        <f t="shared" ref="F14:F20" si="8">F13+D14</f>
        <v>17</v>
      </c>
      <c r="G14" s="1">
        <f t="shared" ref="G14:G20" si="9">G13+E14</f>
        <v>0.34</v>
      </c>
      <c r="H14" s="1">
        <f t="shared" si="2"/>
        <v>100</v>
      </c>
      <c r="J14" s="18">
        <f t="shared" si="0"/>
        <v>700</v>
      </c>
      <c r="K14">
        <f t="shared" si="3"/>
        <v>272.5631999999996</v>
      </c>
      <c r="L14">
        <f t="shared" si="4"/>
        <v>-1700.794367999996</v>
      </c>
      <c r="M14" s="19">
        <f t="shared" si="5"/>
        <v>10612.956856319966</v>
      </c>
    </row>
    <row r="15" spans="1:50" x14ac:dyDescent="0.35">
      <c r="A15" s="1">
        <v>4</v>
      </c>
      <c r="B15" s="1">
        <f t="shared" si="6"/>
        <v>103</v>
      </c>
      <c r="C15" s="1">
        <f t="shared" si="7"/>
        <v>109</v>
      </c>
      <c r="D15" s="1">
        <v>14</v>
      </c>
      <c r="E15" s="1">
        <f t="shared" si="1"/>
        <v>0.28000000000000003</v>
      </c>
      <c r="F15" s="1">
        <f t="shared" si="8"/>
        <v>31</v>
      </c>
      <c r="G15" s="1">
        <f t="shared" si="9"/>
        <v>0.62000000000000011</v>
      </c>
      <c r="H15" s="1">
        <f t="shared" si="2"/>
        <v>106</v>
      </c>
      <c r="J15" s="18">
        <f t="shared" si="0"/>
        <v>1484</v>
      </c>
      <c r="K15">
        <f t="shared" si="3"/>
        <v>0.80639999999996559</v>
      </c>
      <c r="L15">
        <f t="shared" si="4"/>
        <v>-0.19353599999998761</v>
      </c>
      <c r="M15" s="19">
        <f t="shared" si="5"/>
        <v>4.644863999999603E-2</v>
      </c>
    </row>
    <row r="16" spans="1:50" x14ac:dyDescent="0.35">
      <c r="A16" s="1">
        <v>5</v>
      </c>
      <c r="B16" s="1">
        <f t="shared" si="6"/>
        <v>109</v>
      </c>
      <c r="C16" s="1">
        <f t="shared" si="7"/>
        <v>115</v>
      </c>
      <c r="D16" s="1">
        <v>9</v>
      </c>
      <c r="E16" s="1">
        <f t="shared" si="1"/>
        <v>0.18</v>
      </c>
      <c r="F16" s="1">
        <f t="shared" si="8"/>
        <v>40</v>
      </c>
      <c r="G16" s="1">
        <f t="shared" si="9"/>
        <v>0.8</v>
      </c>
      <c r="H16" s="1">
        <f t="shared" si="2"/>
        <v>112</v>
      </c>
      <c r="J16" s="18">
        <f t="shared" si="0"/>
        <v>1008</v>
      </c>
      <c r="K16">
        <f t="shared" si="3"/>
        <v>298.59840000000054</v>
      </c>
      <c r="L16">
        <f t="shared" si="4"/>
        <v>1719.9267840000048</v>
      </c>
      <c r="M16" s="19">
        <f t="shared" si="5"/>
        <v>9906.7782758400372</v>
      </c>
    </row>
    <row r="17" spans="1:13" x14ac:dyDescent="0.35">
      <c r="A17" s="1">
        <v>6</v>
      </c>
      <c r="B17" s="1">
        <f t="shared" si="6"/>
        <v>115</v>
      </c>
      <c r="C17" s="1">
        <f t="shared" si="7"/>
        <v>121</v>
      </c>
      <c r="D17" s="1">
        <v>6</v>
      </c>
      <c r="E17" s="1">
        <f t="shared" si="1"/>
        <v>0.12</v>
      </c>
      <c r="F17" s="1">
        <f t="shared" si="8"/>
        <v>46</v>
      </c>
      <c r="G17" s="1">
        <f t="shared" si="9"/>
        <v>0.92</v>
      </c>
      <c r="H17" s="1">
        <f t="shared" si="2"/>
        <v>118</v>
      </c>
      <c r="J17" s="18">
        <f t="shared" si="0"/>
        <v>708</v>
      </c>
      <c r="K17">
        <f t="shared" si="3"/>
        <v>829.78560000000084</v>
      </c>
      <c r="L17">
        <f t="shared" si="4"/>
        <v>9758.2786560000131</v>
      </c>
      <c r="M17" s="19">
        <f t="shared" si="5"/>
        <v>114757.35699456022</v>
      </c>
    </row>
    <row r="18" spans="1:13" x14ac:dyDescent="0.35">
      <c r="A18" s="1">
        <v>7</v>
      </c>
      <c r="B18" s="1">
        <f t="shared" si="6"/>
        <v>121</v>
      </c>
      <c r="C18" s="1">
        <f t="shared" si="7"/>
        <v>127</v>
      </c>
      <c r="D18" s="1">
        <v>2</v>
      </c>
      <c r="E18" s="1">
        <f t="shared" si="1"/>
        <v>0.04</v>
      </c>
      <c r="F18" s="1">
        <f t="shared" si="8"/>
        <v>48</v>
      </c>
      <c r="G18" s="1">
        <f t="shared" si="9"/>
        <v>0.96000000000000008</v>
      </c>
      <c r="H18" s="1">
        <f t="shared" si="2"/>
        <v>124</v>
      </c>
      <c r="J18" s="18">
        <f t="shared" si="0"/>
        <v>248</v>
      </c>
      <c r="K18">
        <f t="shared" si="3"/>
        <v>630.83520000000033</v>
      </c>
      <c r="L18">
        <f t="shared" si="4"/>
        <v>11203.633152000009</v>
      </c>
      <c r="M18" s="19">
        <f t="shared" si="5"/>
        <v>198976.5247795202</v>
      </c>
    </row>
    <row r="19" spans="1:13" x14ac:dyDescent="0.35">
      <c r="A19" s="1">
        <v>8</v>
      </c>
      <c r="B19" s="1">
        <f t="shared" si="6"/>
        <v>127</v>
      </c>
      <c r="C19" s="1">
        <f t="shared" si="7"/>
        <v>133</v>
      </c>
      <c r="D19" s="1">
        <v>1</v>
      </c>
      <c r="E19" s="1">
        <f t="shared" si="1"/>
        <v>0.02</v>
      </c>
      <c r="F19" s="1">
        <f t="shared" si="8"/>
        <v>49</v>
      </c>
      <c r="G19" s="1">
        <f t="shared" si="9"/>
        <v>0.98000000000000009</v>
      </c>
      <c r="H19" s="1">
        <f t="shared" si="2"/>
        <v>130</v>
      </c>
      <c r="J19" s="18">
        <f t="shared" si="0"/>
        <v>130</v>
      </c>
      <c r="K19">
        <f t="shared" si="3"/>
        <v>564.53760000000023</v>
      </c>
      <c r="L19">
        <f t="shared" si="4"/>
        <v>13413.413376000008</v>
      </c>
      <c r="M19" s="19">
        <f t="shared" si="5"/>
        <v>318702.70181376027</v>
      </c>
    </row>
    <row r="20" spans="1:13" ht="15" thickBot="1" x14ac:dyDescent="0.4">
      <c r="A20" s="1">
        <v>9</v>
      </c>
      <c r="B20" s="1">
        <f t="shared" si="6"/>
        <v>133</v>
      </c>
      <c r="C20" s="1">
        <f t="shared" si="7"/>
        <v>139</v>
      </c>
      <c r="D20" s="1">
        <v>1</v>
      </c>
      <c r="E20" s="1">
        <f t="shared" si="1"/>
        <v>0.02</v>
      </c>
      <c r="F20" s="1">
        <f t="shared" si="8"/>
        <v>50</v>
      </c>
      <c r="G20" s="1">
        <f t="shared" si="9"/>
        <v>1</v>
      </c>
      <c r="H20" s="1">
        <f t="shared" si="2"/>
        <v>136</v>
      </c>
      <c r="J20" s="20">
        <f t="shared" si="0"/>
        <v>136</v>
      </c>
      <c r="K20" s="21">
        <f t="shared" si="3"/>
        <v>885.65760000000034</v>
      </c>
      <c r="L20" s="21">
        <f t="shared" si="4"/>
        <v>26357.170176000014</v>
      </c>
      <c r="M20" s="22">
        <f t="shared" si="5"/>
        <v>784389.38443776057</v>
      </c>
    </row>
    <row r="21" spans="1:13" x14ac:dyDescent="0.35">
      <c r="A21" s="10" t="s">
        <v>8</v>
      </c>
      <c r="B21" s="11"/>
      <c r="C21" s="11"/>
      <c r="D21" s="3">
        <f>SUM(D12:D20)</f>
        <v>50</v>
      </c>
      <c r="E21" s="10">
        <f>SUM(E12:E20)</f>
        <v>1</v>
      </c>
      <c r="F21" s="3"/>
      <c r="G21" s="1"/>
      <c r="H21" s="1"/>
    </row>
    <row r="25" spans="1:13" x14ac:dyDescent="0.35">
      <c r="A25" t="s">
        <v>45</v>
      </c>
      <c r="J25" s="1" t="s">
        <v>20</v>
      </c>
      <c r="K25" s="1">
        <f>SUM(J12:J20)/$B$3</f>
        <v>106.24</v>
      </c>
    </row>
    <row r="26" spans="1:13" x14ac:dyDescent="0.35">
      <c r="J26" s="1" t="s">
        <v>14</v>
      </c>
      <c r="K26" s="1">
        <f>B15+B6*((D15-D14)/((D15-D14)+(D15-D16)))</f>
        <v>106.5</v>
      </c>
    </row>
    <row r="27" spans="1:13" x14ac:dyDescent="0.35">
      <c r="A27" s="23"/>
      <c r="B27">
        <v>0</v>
      </c>
      <c r="C27" t="s">
        <v>22</v>
      </c>
      <c r="D27" t="s">
        <v>35</v>
      </c>
      <c r="J27" s="1" t="s">
        <v>15</v>
      </c>
      <c r="K27" s="1">
        <f>B15+B6*(((0.5*B3)-F14)/D15)</f>
        <v>106.42857142857143</v>
      </c>
    </row>
    <row r="28" spans="1:13" x14ac:dyDescent="0.35">
      <c r="A28" s="23"/>
      <c r="B28">
        <v>0.14000000000000001</v>
      </c>
      <c r="C28" t="s">
        <v>22</v>
      </c>
      <c r="D28" t="s">
        <v>36</v>
      </c>
      <c r="J28" s="1" t="s">
        <v>16</v>
      </c>
      <c r="K28" s="1">
        <f>SUM(K12:K20)/B3</f>
        <v>125.22240000000002</v>
      </c>
    </row>
    <row r="29" spans="1:13" x14ac:dyDescent="0.35">
      <c r="A29" s="23"/>
      <c r="B29">
        <v>0.2</v>
      </c>
      <c r="C29" t="s">
        <v>22</v>
      </c>
      <c r="D29" t="s">
        <v>37</v>
      </c>
      <c r="J29" s="1" t="s">
        <v>17</v>
      </c>
      <c r="K29" s="1">
        <f>SQRT(K28)</f>
        <v>11.190281497799777</v>
      </c>
    </row>
    <row r="30" spans="1:13" x14ac:dyDescent="0.35">
      <c r="A30" s="23"/>
      <c r="B30">
        <v>0.34</v>
      </c>
      <c r="C30" t="s">
        <v>22</v>
      </c>
      <c r="D30" t="s">
        <v>38</v>
      </c>
      <c r="J30" s="1" t="s">
        <v>18</v>
      </c>
      <c r="K30" s="1">
        <f>SUM(L12:L20)/B3/K29^3</f>
        <v>0.18228131340866818</v>
      </c>
    </row>
    <row r="31" spans="1:13" x14ac:dyDescent="0.35">
      <c r="A31" s="23"/>
      <c r="B31">
        <v>0.62000000000000011</v>
      </c>
      <c r="C31" t="s">
        <v>22</v>
      </c>
      <c r="D31" t="s">
        <v>39</v>
      </c>
      <c r="J31" s="1" t="s">
        <v>19</v>
      </c>
      <c r="K31" s="1">
        <f>SUM(M12:M20)/B3/K29^4-3</f>
        <v>-9.2600601403727723E-2</v>
      </c>
    </row>
    <row r="32" spans="1:13" x14ac:dyDescent="0.35">
      <c r="A32" s="23" t="s">
        <v>21</v>
      </c>
      <c r="B32">
        <v>0.8</v>
      </c>
      <c r="C32" t="s">
        <v>22</v>
      </c>
      <c r="D32" t="s">
        <v>40</v>
      </c>
    </row>
    <row r="33" spans="1:4" x14ac:dyDescent="0.35">
      <c r="A33" s="23"/>
      <c r="B33">
        <v>0.92</v>
      </c>
      <c r="C33" t="s">
        <v>22</v>
      </c>
      <c r="D33" t="s">
        <v>41</v>
      </c>
    </row>
    <row r="34" spans="1:4" x14ac:dyDescent="0.35">
      <c r="A34" s="23"/>
      <c r="B34">
        <v>0.96000000000000008</v>
      </c>
      <c r="C34" t="s">
        <v>22</v>
      </c>
      <c r="D34" t="s">
        <v>42</v>
      </c>
    </row>
    <row r="35" spans="1:4" x14ac:dyDescent="0.35">
      <c r="A35" s="23"/>
      <c r="B35">
        <v>0.98000000000000009</v>
      </c>
      <c r="C35" t="s">
        <v>22</v>
      </c>
      <c r="D35" t="s">
        <v>43</v>
      </c>
    </row>
    <row r="36" spans="1:4" x14ac:dyDescent="0.35">
      <c r="A36" s="23"/>
      <c r="B36">
        <v>1</v>
      </c>
      <c r="C36" t="s">
        <v>22</v>
      </c>
      <c r="D36" t="s">
        <v>44</v>
      </c>
    </row>
    <row r="53" spans="1:8" ht="21" x14ac:dyDescent="0.5">
      <c r="A53" s="25" t="s">
        <v>81</v>
      </c>
    </row>
    <row r="54" spans="1:8" x14ac:dyDescent="0.35">
      <c r="A54" t="s">
        <v>82</v>
      </c>
      <c r="B54">
        <f>H15</f>
        <v>106</v>
      </c>
    </row>
    <row r="56" spans="1:8" x14ac:dyDescent="0.35">
      <c r="A56" s="1" t="s">
        <v>72</v>
      </c>
      <c r="B56" s="1" t="s">
        <v>2</v>
      </c>
      <c r="C56" s="1" t="s">
        <v>73</v>
      </c>
      <c r="D56" s="1" t="s">
        <v>74</v>
      </c>
      <c r="E56" s="1" t="s">
        <v>75</v>
      </c>
      <c r="F56" s="1" t="s">
        <v>76</v>
      </c>
      <c r="G56" s="1" t="s">
        <v>77</v>
      </c>
      <c r="H56" s="1" t="s">
        <v>78</v>
      </c>
    </row>
    <row r="57" spans="1:8" x14ac:dyDescent="0.35">
      <c r="A57" s="1">
        <f>H12</f>
        <v>88</v>
      </c>
      <c r="B57" s="1">
        <f>D12</f>
        <v>7</v>
      </c>
      <c r="C57" s="1">
        <f>(A57-$B$54)/$B$6</f>
        <v>-3</v>
      </c>
      <c r="D57" s="1">
        <f>C57*B57</f>
        <v>-21</v>
      </c>
      <c r="E57" s="1">
        <f>B57*(C57^2)</f>
        <v>63</v>
      </c>
      <c r="F57" s="1">
        <f>B57*(C57^3)</f>
        <v>-189</v>
      </c>
      <c r="G57" s="1">
        <f>B57*(C57^4)</f>
        <v>567</v>
      </c>
      <c r="H57" s="1">
        <f>B57*((C57+1)^4)</f>
        <v>112</v>
      </c>
    </row>
    <row r="58" spans="1:8" x14ac:dyDescent="0.35">
      <c r="A58" s="1">
        <f t="shared" ref="A58:A65" si="10">H13</f>
        <v>94</v>
      </c>
      <c r="B58" s="1">
        <f t="shared" ref="B58:B65" si="11">D13</f>
        <v>3</v>
      </c>
      <c r="C58" s="1">
        <f t="shared" ref="C58:C65" si="12">(A58-$B$54)/$B$6</f>
        <v>-2</v>
      </c>
      <c r="D58" s="1">
        <f t="shared" ref="D58:D65" si="13">C58*B58</f>
        <v>-6</v>
      </c>
      <c r="E58" s="1">
        <f t="shared" ref="E58:E65" si="14">B58*(C58^2)</f>
        <v>12</v>
      </c>
      <c r="F58" s="1">
        <f t="shared" ref="F58:F65" si="15">B58*(C58^3)</f>
        <v>-24</v>
      </c>
      <c r="G58" s="1">
        <f t="shared" ref="G58:G65" si="16">B58*(C58^4)</f>
        <v>48</v>
      </c>
      <c r="H58" s="1">
        <f t="shared" ref="H58:H65" si="17">B58*((C58+1)^4)</f>
        <v>3</v>
      </c>
    </row>
    <row r="59" spans="1:8" x14ac:dyDescent="0.35">
      <c r="A59" s="1">
        <f t="shared" si="10"/>
        <v>100</v>
      </c>
      <c r="B59" s="1">
        <f t="shared" si="11"/>
        <v>7</v>
      </c>
      <c r="C59" s="1">
        <f t="shared" si="12"/>
        <v>-1</v>
      </c>
      <c r="D59" s="1">
        <f t="shared" si="13"/>
        <v>-7</v>
      </c>
      <c r="E59" s="1">
        <f t="shared" si="14"/>
        <v>7</v>
      </c>
      <c r="F59" s="1">
        <f t="shared" si="15"/>
        <v>-7</v>
      </c>
      <c r="G59" s="1">
        <f t="shared" si="16"/>
        <v>7</v>
      </c>
      <c r="H59" s="1">
        <f t="shared" si="17"/>
        <v>0</v>
      </c>
    </row>
    <row r="60" spans="1:8" x14ac:dyDescent="0.35">
      <c r="A60" s="1">
        <f t="shared" si="10"/>
        <v>106</v>
      </c>
      <c r="B60" s="1">
        <f t="shared" si="11"/>
        <v>14</v>
      </c>
      <c r="C60" s="1">
        <f t="shared" si="12"/>
        <v>0</v>
      </c>
      <c r="D60" s="1">
        <f t="shared" si="13"/>
        <v>0</v>
      </c>
      <c r="E60" s="1">
        <f t="shared" si="14"/>
        <v>0</v>
      </c>
      <c r="F60" s="1">
        <f t="shared" si="15"/>
        <v>0</v>
      </c>
      <c r="G60" s="1">
        <f t="shared" si="16"/>
        <v>0</v>
      </c>
      <c r="H60" s="1">
        <f t="shared" si="17"/>
        <v>14</v>
      </c>
    </row>
    <row r="61" spans="1:8" x14ac:dyDescent="0.35">
      <c r="A61" s="1">
        <f t="shared" si="10"/>
        <v>112</v>
      </c>
      <c r="B61" s="1">
        <f t="shared" si="11"/>
        <v>9</v>
      </c>
      <c r="C61" s="1">
        <f t="shared" si="12"/>
        <v>1</v>
      </c>
      <c r="D61" s="1">
        <f t="shared" si="13"/>
        <v>9</v>
      </c>
      <c r="E61" s="1">
        <f t="shared" si="14"/>
        <v>9</v>
      </c>
      <c r="F61" s="1">
        <f t="shared" si="15"/>
        <v>9</v>
      </c>
      <c r="G61" s="1">
        <f t="shared" si="16"/>
        <v>9</v>
      </c>
      <c r="H61" s="1">
        <f t="shared" si="17"/>
        <v>144</v>
      </c>
    </row>
    <row r="62" spans="1:8" x14ac:dyDescent="0.35">
      <c r="A62" s="1">
        <f t="shared" si="10"/>
        <v>118</v>
      </c>
      <c r="B62" s="1">
        <f t="shared" si="11"/>
        <v>6</v>
      </c>
      <c r="C62" s="1">
        <f t="shared" si="12"/>
        <v>2</v>
      </c>
      <c r="D62" s="1">
        <f t="shared" si="13"/>
        <v>12</v>
      </c>
      <c r="E62" s="1">
        <f t="shared" si="14"/>
        <v>24</v>
      </c>
      <c r="F62" s="1">
        <f t="shared" si="15"/>
        <v>48</v>
      </c>
      <c r="G62" s="1">
        <f t="shared" si="16"/>
        <v>96</v>
      </c>
      <c r="H62" s="1">
        <f t="shared" si="17"/>
        <v>486</v>
      </c>
    </row>
    <row r="63" spans="1:8" x14ac:dyDescent="0.35">
      <c r="A63" s="1">
        <f t="shared" si="10"/>
        <v>124</v>
      </c>
      <c r="B63" s="1">
        <f t="shared" si="11"/>
        <v>2</v>
      </c>
      <c r="C63" s="1">
        <f t="shared" si="12"/>
        <v>3</v>
      </c>
      <c r="D63" s="1">
        <f t="shared" si="13"/>
        <v>6</v>
      </c>
      <c r="E63" s="1">
        <f t="shared" si="14"/>
        <v>18</v>
      </c>
      <c r="F63" s="1">
        <f t="shared" si="15"/>
        <v>54</v>
      </c>
      <c r="G63" s="1">
        <f t="shared" si="16"/>
        <v>162</v>
      </c>
      <c r="H63" s="1">
        <f t="shared" si="17"/>
        <v>512</v>
      </c>
    </row>
    <row r="64" spans="1:8" x14ac:dyDescent="0.35">
      <c r="A64" s="1">
        <f>H19</f>
        <v>130</v>
      </c>
      <c r="B64" s="1">
        <f t="shared" si="11"/>
        <v>1</v>
      </c>
      <c r="C64" s="1">
        <f t="shared" si="12"/>
        <v>4</v>
      </c>
      <c r="D64" s="1">
        <f t="shared" si="13"/>
        <v>4</v>
      </c>
      <c r="E64" s="1">
        <f t="shared" si="14"/>
        <v>16</v>
      </c>
      <c r="F64" s="1">
        <f t="shared" si="15"/>
        <v>64</v>
      </c>
      <c r="G64" s="1">
        <f t="shared" si="16"/>
        <v>256</v>
      </c>
      <c r="H64" s="1">
        <f t="shared" si="17"/>
        <v>625</v>
      </c>
    </row>
    <row r="65" spans="1:10" x14ac:dyDescent="0.35">
      <c r="A65" s="1">
        <f t="shared" si="10"/>
        <v>136</v>
      </c>
      <c r="B65" s="1">
        <f t="shared" si="11"/>
        <v>1</v>
      </c>
      <c r="C65" s="1">
        <f t="shared" si="12"/>
        <v>5</v>
      </c>
      <c r="D65" s="1">
        <f t="shared" si="13"/>
        <v>5</v>
      </c>
      <c r="E65" s="1">
        <f t="shared" si="14"/>
        <v>25</v>
      </c>
      <c r="F65" s="1">
        <f t="shared" si="15"/>
        <v>125</v>
      </c>
      <c r="G65" s="1">
        <f t="shared" si="16"/>
        <v>625</v>
      </c>
      <c r="H65" s="1">
        <f t="shared" si="17"/>
        <v>1296</v>
      </c>
      <c r="J65" t="s">
        <v>79</v>
      </c>
    </row>
    <row r="66" spans="1:10" x14ac:dyDescent="0.35">
      <c r="H66" s="24">
        <f>SUM(H57:H65)</f>
        <v>3192</v>
      </c>
      <c r="J66">
        <f>SUM(B57:B65)+4*SUM(D57:D65)+6*SUM(E57:E65)+4*SUM(F57:F65)+SUM(G57:G65)</f>
        <v>3192</v>
      </c>
    </row>
    <row r="70" spans="1:10" ht="18.5" x14ac:dyDescent="0.45">
      <c r="A70" s="26" t="s">
        <v>64</v>
      </c>
    </row>
    <row r="71" spans="1:10" x14ac:dyDescent="0.35">
      <c r="A71" t="s">
        <v>83</v>
      </c>
      <c r="B71">
        <f>1/B3*SUM(D57:D65)</f>
        <v>0.04</v>
      </c>
    </row>
    <row r="72" spans="1:10" x14ac:dyDescent="0.35">
      <c r="A72" t="s">
        <v>84</v>
      </c>
      <c r="B72">
        <f>1/$B$3*SUM(E57:E65)</f>
        <v>3.48</v>
      </c>
    </row>
    <row r="73" spans="1:10" x14ac:dyDescent="0.35">
      <c r="A73" t="s">
        <v>85</v>
      </c>
      <c r="B73">
        <f>1/$B$3*SUM(F57:F65)</f>
        <v>1.6</v>
      </c>
    </row>
    <row r="74" spans="1:10" x14ac:dyDescent="0.35">
      <c r="A74" t="s">
        <v>86</v>
      </c>
      <c r="B74">
        <f>1/$B$3*SUM(G57:G65)</f>
        <v>35.4</v>
      </c>
    </row>
    <row r="75" spans="1:10" x14ac:dyDescent="0.35">
      <c r="A75" t="s">
        <v>65</v>
      </c>
      <c r="B75">
        <f>B71*B6+B54</f>
        <v>106.24</v>
      </c>
    </row>
    <row r="76" spans="1:10" x14ac:dyDescent="0.35">
      <c r="A76" t="s">
        <v>66</v>
      </c>
      <c r="B76">
        <f>(B72 - B71^2)*(B6^2)</f>
        <v>125.22240000000001</v>
      </c>
    </row>
    <row r="77" spans="1:10" x14ac:dyDescent="0.35">
      <c r="A77" t="s">
        <v>67</v>
      </c>
      <c r="B77">
        <f>SQRT(B76)</f>
        <v>11.190281497799777</v>
      </c>
    </row>
    <row r="78" spans="1:10" x14ac:dyDescent="0.35">
      <c r="A78" t="s">
        <v>68</v>
      </c>
      <c r="B78">
        <f>(B73-3*B71*B72+2*(B71^3))/(B6^3)</f>
        <v>5.4746666666666667E-3</v>
      </c>
    </row>
    <row r="79" spans="1:10" x14ac:dyDescent="0.35">
      <c r="A79" t="s">
        <v>69</v>
      </c>
      <c r="B79">
        <f>(B74-4*B71*B73+6*(B71^2)*B72-3*(B71^4))/(B6^4)</f>
        <v>2.7143055802469132E-2</v>
      </c>
    </row>
    <row r="80" spans="1:10" x14ac:dyDescent="0.35">
      <c r="A80" t="s">
        <v>70</v>
      </c>
      <c r="B80">
        <f>B78/(B77^3)</f>
        <v>3.90692115502115E-6</v>
      </c>
    </row>
    <row r="81" spans="1:10" x14ac:dyDescent="0.35">
      <c r="A81" t="s">
        <v>71</v>
      </c>
      <c r="B81">
        <f>B79/(B77^4)</f>
        <v>1.730990535096279E-6</v>
      </c>
    </row>
    <row r="86" spans="1:10" ht="21" x14ac:dyDescent="0.5">
      <c r="A86" s="25" t="s">
        <v>87</v>
      </c>
    </row>
    <row r="87" spans="1:10" x14ac:dyDescent="0.35">
      <c r="C87">
        <f>SUM(C90:C92)</f>
        <v>34</v>
      </c>
      <c r="D87">
        <f>SUM(D90:D91)</f>
        <v>24</v>
      </c>
      <c r="E87">
        <f>E90</f>
        <v>7</v>
      </c>
      <c r="F87">
        <v>0</v>
      </c>
    </row>
    <row r="89" spans="1:10" x14ac:dyDescent="0.35">
      <c r="A89" s="1" t="str">
        <f>A56</f>
        <v>Xi - середина</v>
      </c>
      <c r="B89" s="1" t="str">
        <f>B56</f>
        <v>ni</v>
      </c>
      <c r="C89" s="1" t="s">
        <v>106</v>
      </c>
      <c r="D89" s="1" t="s">
        <v>107</v>
      </c>
      <c r="E89" s="1" t="s">
        <v>108</v>
      </c>
      <c r="F89" s="1" t="s">
        <v>93</v>
      </c>
      <c r="I89" t="s">
        <v>94</v>
      </c>
      <c r="J89">
        <f>C101-C87</f>
        <v>2</v>
      </c>
    </row>
    <row r="90" spans="1:10" x14ac:dyDescent="0.35">
      <c r="A90" s="1">
        <f t="shared" ref="A90:B95" si="18">A57</f>
        <v>88</v>
      </c>
      <c r="B90" s="1">
        <f t="shared" si="18"/>
        <v>7</v>
      </c>
      <c r="C90" s="1">
        <f>B90</f>
        <v>7</v>
      </c>
      <c r="D90" s="1">
        <f>C90</f>
        <v>7</v>
      </c>
      <c r="E90" s="1">
        <f>D90</f>
        <v>7</v>
      </c>
      <c r="F90" s="1">
        <v>0</v>
      </c>
      <c r="I90" t="s">
        <v>95</v>
      </c>
      <c r="J90">
        <f>D101-D87</f>
        <v>4</v>
      </c>
    </row>
    <row r="91" spans="1:10" x14ac:dyDescent="0.35">
      <c r="A91" s="1">
        <f t="shared" si="18"/>
        <v>94</v>
      </c>
      <c r="B91" s="1">
        <f t="shared" si="18"/>
        <v>3</v>
      </c>
      <c r="C91" s="1">
        <f>B90+B91</f>
        <v>10</v>
      </c>
      <c r="D91" s="1">
        <f>D90+C91</f>
        <v>17</v>
      </c>
      <c r="E91" s="1">
        <v>0</v>
      </c>
      <c r="F91" s="1">
        <v>0</v>
      </c>
      <c r="I91" t="s">
        <v>96</v>
      </c>
      <c r="J91">
        <f>E101-E87</f>
        <v>9</v>
      </c>
    </row>
    <row r="92" spans="1:10" x14ac:dyDescent="0.35">
      <c r="A92" s="1">
        <f t="shared" si="18"/>
        <v>100</v>
      </c>
      <c r="B92" s="1">
        <f t="shared" si="18"/>
        <v>7</v>
      </c>
      <c r="C92" s="1">
        <f>C91+B92</f>
        <v>17</v>
      </c>
      <c r="D92" s="1">
        <v>0</v>
      </c>
      <c r="E92" s="1">
        <v>0</v>
      </c>
      <c r="F92" s="1">
        <v>0</v>
      </c>
      <c r="I92" t="s">
        <v>97</v>
      </c>
      <c r="J92">
        <f>C101+C87</f>
        <v>70</v>
      </c>
    </row>
    <row r="93" spans="1:10" x14ac:dyDescent="0.35">
      <c r="A93" s="1">
        <f>A60</f>
        <v>106</v>
      </c>
      <c r="B93" s="1">
        <f t="shared" ref="B93:B98" si="19">B60</f>
        <v>14</v>
      </c>
      <c r="C93" s="1">
        <v>0</v>
      </c>
      <c r="D93" s="1">
        <v>0</v>
      </c>
      <c r="E93" s="1">
        <v>0</v>
      </c>
      <c r="F93" s="1">
        <v>0</v>
      </c>
      <c r="I93" t="s">
        <v>98</v>
      </c>
      <c r="J93">
        <f>D101+D87</f>
        <v>52</v>
      </c>
    </row>
    <row r="94" spans="1:10" x14ac:dyDescent="0.35">
      <c r="A94" s="1">
        <f t="shared" si="18"/>
        <v>112</v>
      </c>
      <c r="B94" s="1">
        <f t="shared" si="19"/>
        <v>9</v>
      </c>
      <c r="C94" s="1">
        <f t="shared" ref="C94:C96" si="20">C95+B94</f>
        <v>19</v>
      </c>
      <c r="D94" s="1">
        <v>0</v>
      </c>
      <c r="E94" s="1">
        <v>0</v>
      </c>
      <c r="F94" s="1">
        <v>0</v>
      </c>
      <c r="I94" t="s">
        <v>99</v>
      </c>
      <c r="J94">
        <f>E101+E87</f>
        <v>23</v>
      </c>
    </row>
    <row r="95" spans="1:10" x14ac:dyDescent="0.35">
      <c r="A95" s="1">
        <f t="shared" si="18"/>
        <v>118</v>
      </c>
      <c r="B95" s="1">
        <f t="shared" si="19"/>
        <v>6</v>
      </c>
      <c r="C95" s="1">
        <f t="shared" si="20"/>
        <v>10</v>
      </c>
      <c r="D95" s="1">
        <f t="shared" ref="D95:D96" si="21">D96+C95</f>
        <v>17</v>
      </c>
      <c r="E95" s="1">
        <v>0</v>
      </c>
      <c r="F95" s="1">
        <v>0</v>
      </c>
      <c r="I95" t="s">
        <v>100</v>
      </c>
      <c r="J95">
        <f>F101+F87</f>
        <v>6</v>
      </c>
    </row>
    <row r="96" spans="1:10" x14ac:dyDescent="0.35">
      <c r="A96" s="1">
        <f>A63</f>
        <v>124</v>
      </c>
      <c r="B96" s="1">
        <f t="shared" si="19"/>
        <v>2</v>
      </c>
      <c r="C96" s="1">
        <f t="shared" si="20"/>
        <v>4</v>
      </c>
      <c r="D96" s="1">
        <f t="shared" si="21"/>
        <v>7</v>
      </c>
      <c r="E96" s="1">
        <f>E97+D96</f>
        <v>11</v>
      </c>
      <c r="F96" s="1">
        <v>0</v>
      </c>
    </row>
    <row r="97" spans="1:6" x14ac:dyDescent="0.35">
      <c r="A97" s="1">
        <f>A64</f>
        <v>130</v>
      </c>
      <c r="B97" s="1">
        <f t="shared" si="19"/>
        <v>1</v>
      </c>
      <c r="C97" s="1">
        <f>C98+B97</f>
        <v>2</v>
      </c>
      <c r="D97" s="1">
        <f>D98+C97</f>
        <v>3</v>
      </c>
      <c r="E97" s="1">
        <f>E98+D97</f>
        <v>4</v>
      </c>
      <c r="F97" s="1">
        <f>F98+E97</f>
        <v>5</v>
      </c>
    </row>
    <row r="98" spans="1:6" x14ac:dyDescent="0.35">
      <c r="A98" s="1">
        <f>A65</f>
        <v>136</v>
      </c>
      <c r="B98" s="1">
        <f t="shared" si="19"/>
        <v>1</v>
      </c>
      <c r="C98" s="1">
        <f>B98</f>
        <v>1</v>
      </c>
      <c r="D98" s="1">
        <f>C98</f>
        <v>1</v>
      </c>
      <c r="E98" s="1">
        <f>D98</f>
        <v>1</v>
      </c>
      <c r="F98" s="1">
        <f>E98</f>
        <v>1</v>
      </c>
    </row>
    <row r="99" spans="1:6" x14ac:dyDescent="0.35">
      <c r="A99" s="1" t="s">
        <v>88</v>
      </c>
      <c r="B99" s="1">
        <f>SUM(B90:B98)</f>
        <v>50</v>
      </c>
      <c r="C99" s="1" t="s">
        <v>89</v>
      </c>
      <c r="D99" s="1" t="s">
        <v>90</v>
      </c>
      <c r="E99" s="1" t="s">
        <v>91</v>
      </c>
      <c r="F99" s="1" t="s">
        <v>92</v>
      </c>
    </row>
    <row r="101" spans="1:6" x14ac:dyDescent="0.35">
      <c r="C101">
        <f>SUM(C94:C98)</f>
        <v>36</v>
      </c>
      <c r="D101">
        <f>SUM(D95:D98)</f>
        <v>28</v>
      </c>
      <c r="E101">
        <f>SUM(E96:E98)</f>
        <v>16</v>
      </c>
      <c r="F101">
        <f>SUM(F97:F98)</f>
        <v>6</v>
      </c>
    </row>
    <row r="103" spans="1:6" x14ac:dyDescent="0.35">
      <c r="A103" t="s">
        <v>83</v>
      </c>
      <c r="B103">
        <f>J89/50</f>
        <v>0.04</v>
      </c>
    </row>
    <row r="104" spans="1:6" x14ac:dyDescent="0.35">
      <c r="A104" t="s">
        <v>84</v>
      </c>
      <c r="B104">
        <f>(J92+2*J93)/50</f>
        <v>3.48</v>
      </c>
    </row>
    <row r="105" spans="1:6" x14ac:dyDescent="0.35">
      <c r="A105" t="s">
        <v>85</v>
      </c>
      <c r="B105">
        <f>(J89+6*J90+6*J91)/50</f>
        <v>1.6</v>
      </c>
    </row>
    <row r="106" spans="1:6" x14ac:dyDescent="0.35">
      <c r="A106" t="s">
        <v>86</v>
      </c>
      <c r="B106">
        <f>(J92+14*J93+36*J94+24*J95)/50</f>
        <v>35.4</v>
      </c>
    </row>
    <row r="107" spans="1:6" x14ac:dyDescent="0.35">
      <c r="A107" t="s">
        <v>65</v>
      </c>
      <c r="B107">
        <f>B103*B6+B54</f>
        <v>106.24</v>
      </c>
    </row>
    <row r="108" spans="1:6" x14ac:dyDescent="0.35">
      <c r="A108" t="s">
        <v>66</v>
      </c>
      <c r="B108">
        <f>(B104-(B103^2))*B6^2</f>
        <v>125.22240000000001</v>
      </c>
    </row>
    <row r="109" spans="1:6" x14ac:dyDescent="0.35">
      <c r="A109" t="s">
        <v>67</v>
      </c>
      <c r="B109">
        <f>SQRT(B108)</f>
        <v>11.190281497799777</v>
      </c>
    </row>
    <row r="110" spans="1:6" x14ac:dyDescent="0.35">
      <c r="A110" t="s">
        <v>68</v>
      </c>
      <c r="B110">
        <f>(B105-3*B103*B104+2*(B105^3))*(B6^3)</f>
        <v>2024.8704000000002</v>
      </c>
    </row>
    <row r="111" spans="1:6" x14ac:dyDescent="0.35">
      <c r="A111" t="s">
        <v>69</v>
      </c>
      <c r="B111">
        <f>(B106-4*B103*B105+6*(B103^2)*B104-3*(B104^4))*(B6^4)</f>
        <v>-524631.11159808002</v>
      </c>
    </row>
    <row r="112" spans="1:6" x14ac:dyDescent="0.35">
      <c r="A112" t="s">
        <v>70</v>
      </c>
      <c r="B112">
        <f>B110/(B109^3)</f>
        <v>1.4450211279717742</v>
      </c>
    </row>
    <row r="113" spans="1:2" x14ac:dyDescent="0.35">
      <c r="A113" t="s">
        <v>71</v>
      </c>
      <c r="B113">
        <f>(B111/(B109^4))-3</f>
        <v>-36.457231020786757</v>
      </c>
    </row>
  </sheetData>
  <sortState xmlns:xlrd2="http://schemas.microsoft.com/office/spreadsheetml/2017/richdata2" columnSort="1" ref="A1:AX1">
    <sortCondition ref="A1:AX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4EB8-56E4-469B-99AE-48DAFFD85E36}">
  <dimension ref="A1:AX32"/>
  <sheetViews>
    <sheetView zoomScale="102" workbookViewId="0">
      <selection activeCell="D26" sqref="D26"/>
    </sheetView>
  </sheetViews>
  <sheetFormatPr defaultRowHeight="14.5" x14ac:dyDescent="0.35"/>
  <cols>
    <col min="4" max="4" width="29.26953125" customWidth="1"/>
    <col min="11" max="11" width="35.08984375" customWidth="1"/>
  </cols>
  <sheetData>
    <row r="1" spans="1:50" x14ac:dyDescent="0.35">
      <c r="A1">
        <v>-1.76</v>
      </c>
      <c r="B1">
        <v>-1.488</v>
      </c>
      <c r="C1">
        <v>-1.3819999999999999</v>
      </c>
      <c r="D1">
        <v>-1.304</v>
      </c>
      <c r="E1">
        <v>-1.087</v>
      </c>
      <c r="F1">
        <v>-0.99199999999999999</v>
      </c>
      <c r="G1">
        <v>-0.53900000000000003</v>
      </c>
      <c r="H1">
        <v>-0.45</v>
      </c>
      <c r="I1">
        <v>-0.433</v>
      </c>
      <c r="J1">
        <v>-0.36099999999999999</v>
      </c>
      <c r="K1">
        <v>-0.36099999999999999</v>
      </c>
      <c r="L1">
        <v>-0.32900000000000001</v>
      </c>
      <c r="M1">
        <v>-0.29499999999999998</v>
      </c>
      <c r="N1">
        <v>-0.29299999999999998</v>
      </c>
      <c r="O1">
        <v>-0.29099999999999998</v>
      </c>
      <c r="P1">
        <v>-0.26600000000000001</v>
      </c>
      <c r="Q1">
        <v>-0.24399999999999999</v>
      </c>
      <c r="R1">
        <v>-0.158</v>
      </c>
      <c r="S1">
        <v>-0.11</v>
      </c>
      <c r="T1">
        <v>-7.8E-2</v>
      </c>
      <c r="U1">
        <v>-5.8999999999999997E-2</v>
      </c>
      <c r="V1">
        <v>-5.8000000000000003E-2</v>
      </c>
      <c r="W1">
        <v>-5.6000000000000001E-2</v>
      </c>
      <c r="X1">
        <v>8.5999999999999993E-2</v>
      </c>
      <c r="Y1">
        <v>8.6999999999999994E-2</v>
      </c>
      <c r="Z1">
        <v>0.105</v>
      </c>
      <c r="AA1">
        <v>0.123</v>
      </c>
      <c r="AB1">
        <v>0.129</v>
      </c>
      <c r="AC1">
        <v>0.13</v>
      </c>
      <c r="AD1">
        <v>0.19400000000000001</v>
      </c>
      <c r="AE1">
        <v>0.22900000000000001</v>
      </c>
      <c r="AF1">
        <v>0.248</v>
      </c>
      <c r="AG1">
        <v>0.318</v>
      </c>
      <c r="AH1">
        <v>0.318</v>
      </c>
      <c r="AI1">
        <v>0.34899999999999998</v>
      </c>
      <c r="AJ1">
        <v>0.36699999999999999</v>
      </c>
      <c r="AK1">
        <v>0.41499999999999998</v>
      </c>
      <c r="AL1">
        <v>0.49</v>
      </c>
      <c r="AM1">
        <v>0.51200000000000001</v>
      </c>
      <c r="AN1">
        <v>0.52900000000000003</v>
      </c>
      <c r="AO1">
        <v>0.63400000000000001</v>
      </c>
      <c r="AP1">
        <v>0.72</v>
      </c>
      <c r="AQ1">
        <v>0.75700000000000001</v>
      </c>
      <c r="AR1">
        <v>0.88200000000000001</v>
      </c>
      <c r="AS1">
        <v>0.89900000000000002</v>
      </c>
      <c r="AT1">
        <v>1.028</v>
      </c>
      <c r="AU1">
        <v>1.409</v>
      </c>
      <c r="AV1">
        <v>1.5309999999999999</v>
      </c>
      <c r="AW1">
        <v>1.7010000000000001</v>
      </c>
      <c r="AX1">
        <v>1.74</v>
      </c>
    </row>
    <row r="5" spans="1:50" x14ac:dyDescent="0.35">
      <c r="A5" t="s">
        <v>48</v>
      </c>
      <c r="B5">
        <v>50</v>
      </c>
    </row>
    <row r="6" spans="1:50" x14ac:dyDescent="0.35">
      <c r="A6" t="s">
        <v>48</v>
      </c>
      <c r="B6">
        <v>7</v>
      </c>
    </row>
    <row r="7" spans="1:50" x14ac:dyDescent="0.35">
      <c r="A7" t="s">
        <v>49</v>
      </c>
      <c r="B7">
        <f>MIN(1:1)</f>
        <v>-1.76</v>
      </c>
    </row>
    <row r="8" spans="1:50" x14ac:dyDescent="0.35">
      <c r="A8" t="s">
        <v>50</v>
      </c>
      <c r="B8">
        <f>MAX(1:1)</f>
        <v>1.74</v>
      </c>
    </row>
    <row r="9" spans="1:50" x14ac:dyDescent="0.35">
      <c r="A9" t="s">
        <v>9</v>
      </c>
      <c r="B9">
        <v>0.6</v>
      </c>
    </row>
    <row r="10" spans="1:50" x14ac:dyDescent="0.35">
      <c r="A10" t="s">
        <v>51</v>
      </c>
      <c r="B10">
        <f>B7-(B9/2)</f>
        <v>-2.06</v>
      </c>
    </row>
    <row r="12" spans="1:50" x14ac:dyDescent="0.35">
      <c r="B12" t="s">
        <v>52</v>
      </c>
      <c r="C12" t="s">
        <v>53</v>
      </c>
      <c r="D12" t="s">
        <v>54</v>
      </c>
      <c r="E12" t="s">
        <v>2</v>
      </c>
      <c r="F12" t="s">
        <v>1</v>
      </c>
      <c r="G12" t="s">
        <v>3</v>
      </c>
      <c r="K12" t="s">
        <v>55</v>
      </c>
      <c r="L12" t="s">
        <v>2</v>
      </c>
      <c r="M12" t="s">
        <v>61</v>
      </c>
      <c r="N12" t="s">
        <v>56</v>
      </c>
      <c r="O12" t="s">
        <v>57</v>
      </c>
      <c r="P12" t="s">
        <v>58</v>
      </c>
      <c r="Q12" t="s">
        <v>59</v>
      </c>
      <c r="R12" t="s">
        <v>60</v>
      </c>
    </row>
    <row r="13" spans="1:50" x14ac:dyDescent="0.35">
      <c r="A13">
        <v>1</v>
      </c>
      <c r="B13">
        <f>B10</f>
        <v>-2.06</v>
      </c>
      <c r="C13">
        <f>B13+B9</f>
        <v>-1.46</v>
      </c>
      <c r="D13">
        <f>(B13+C13)/2</f>
        <v>-1.76</v>
      </c>
      <c r="E13">
        <v>2</v>
      </c>
      <c r="F13">
        <f>E13/$B$5</f>
        <v>0.04</v>
      </c>
      <c r="G13">
        <f>E13</f>
        <v>2</v>
      </c>
      <c r="K13">
        <f>D13</f>
        <v>-1.76</v>
      </c>
      <c r="L13">
        <f>E13</f>
        <v>2</v>
      </c>
      <c r="M13">
        <f>(K13-$K$16)/$B$9</f>
        <v>-3</v>
      </c>
      <c r="N13">
        <f>L13*M13</f>
        <v>-6</v>
      </c>
      <c r="O13">
        <f>$L13*$M13^2</f>
        <v>18</v>
      </c>
      <c r="P13">
        <f>$L13*$M13^3</f>
        <v>-54</v>
      </c>
      <c r="Q13">
        <f>$L13*$M13^4</f>
        <v>162</v>
      </c>
      <c r="R13">
        <f>$L13*($M13+1)^4</f>
        <v>32</v>
      </c>
    </row>
    <row r="14" spans="1:50" x14ac:dyDescent="0.35">
      <c r="A14">
        <v>2</v>
      </c>
      <c r="B14">
        <f>C13</f>
        <v>-1.46</v>
      </c>
      <c r="C14">
        <f>B14+$B$9</f>
        <v>-0.86</v>
      </c>
      <c r="D14">
        <f t="shared" ref="D14:D19" si="0">(B14+C14)/2</f>
        <v>-1.1599999999999999</v>
      </c>
      <c r="E14">
        <v>5</v>
      </c>
      <c r="F14">
        <f t="shared" ref="F14:F19" si="1">E14/$B$5</f>
        <v>0.1</v>
      </c>
      <c r="G14">
        <f>G13+E14</f>
        <v>7</v>
      </c>
      <c r="K14">
        <f t="shared" ref="K14:K19" si="2">D14</f>
        <v>-1.1599999999999999</v>
      </c>
      <c r="L14">
        <f t="shared" ref="L14:L19" si="3">E14</f>
        <v>5</v>
      </c>
      <c r="M14">
        <f t="shared" ref="M14:M19" si="4">(K14-$K$16)/$B$9</f>
        <v>-2</v>
      </c>
      <c r="N14">
        <f t="shared" ref="N14:N19" si="5">L14*M14</f>
        <v>-10</v>
      </c>
      <c r="O14">
        <f t="shared" ref="O14:O19" si="6">$L14*$M14^2</f>
        <v>20</v>
      </c>
      <c r="P14">
        <f t="shared" ref="P14:P19" si="7">$L14*$M14^3</f>
        <v>-40</v>
      </c>
      <c r="Q14">
        <f t="shared" ref="Q14:Q19" si="8">$L14*$M14^4</f>
        <v>80</v>
      </c>
      <c r="R14">
        <f t="shared" ref="R14:R19" si="9">$L14*($M14+1)^4</f>
        <v>5</v>
      </c>
    </row>
    <row r="15" spans="1:50" x14ac:dyDescent="0.35">
      <c r="A15">
        <v>3</v>
      </c>
      <c r="B15">
        <f t="shared" ref="B15:B19" si="10">C14</f>
        <v>-0.86</v>
      </c>
      <c r="C15">
        <f t="shared" ref="C15:C19" si="11">B15+$B$9</f>
        <v>-0.26</v>
      </c>
      <c r="D15">
        <f t="shared" si="0"/>
        <v>-0.56000000000000005</v>
      </c>
      <c r="E15">
        <v>9</v>
      </c>
      <c r="F15">
        <f t="shared" si="1"/>
        <v>0.18</v>
      </c>
      <c r="G15">
        <f t="shared" ref="G15:G19" si="12">G14+E15</f>
        <v>16</v>
      </c>
      <c r="K15">
        <f t="shared" si="2"/>
        <v>-0.56000000000000005</v>
      </c>
      <c r="L15">
        <f t="shared" si="3"/>
        <v>9</v>
      </c>
      <c r="M15">
        <f t="shared" si="4"/>
        <v>-1.0000000000000002</v>
      </c>
      <c r="N15">
        <f t="shared" si="5"/>
        <v>-9.0000000000000018</v>
      </c>
      <c r="O15">
        <f t="shared" si="6"/>
        <v>9.0000000000000036</v>
      </c>
      <c r="P15">
        <f t="shared" si="7"/>
        <v>-9.0000000000000053</v>
      </c>
      <c r="Q15">
        <f t="shared" si="8"/>
        <v>9.0000000000000071</v>
      </c>
      <c r="R15">
        <f>ROUND($L15*($M15+1)^4,1)</f>
        <v>0</v>
      </c>
    </row>
    <row r="16" spans="1:50" x14ac:dyDescent="0.35">
      <c r="A16">
        <v>4</v>
      </c>
      <c r="B16">
        <f t="shared" si="10"/>
        <v>-0.26</v>
      </c>
      <c r="C16">
        <f t="shared" si="11"/>
        <v>0.33999999999999997</v>
      </c>
      <c r="D16">
        <f t="shared" si="0"/>
        <v>3.999999999999998E-2</v>
      </c>
      <c r="E16">
        <v>19</v>
      </c>
      <c r="F16">
        <f t="shared" si="1"/>
        <v>0.38</v>
      </c>
      <c r="G16">
        <f t="shared" si="12"/>
        <v>35</v>
      </c>
      <c r="K16">
        <f t="shared" si="2"/>
        <v>3.999999999999998E-2</v>
      </c>
      <c r="L16">
        <f t="shared" si="3"/>
        <v>19</v>
      </c>
      <c r="M16">
        <f t="shared" si="4"/>
        <v>0</v>
      </c>
      <c r="N16">
        <f t="shared" si="5"/>
        <v>0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19</v>
      </c>
    </row>
    <row r="17" spans="1:18" x14ac:dyDescent="0.35">
      <c r="A17">
        <v>5</v>
      </c>
      <c r="B17">
        <f t="shared" si="10"/>
        <v>0.33999999999999997</v>
      </c>
      <c r="C17">
        <f t="shared" si="11"/>
        <v>0.94</v>
      </c>
      <c r="D17">
        <f t="shared" si="0"/>
        <v>0.6399999999999999</v>
      </c>
      <c r="E17">
        <v>10</v>
      </c>
      <c r="F17">
        <f t="shared" si="1"/>
        <v>0.2</v>
      </c>
      <c r="G17">
        <f t="shared" si="12"/>
        <v>45</v>
      </c>
      <c r="K17">
        <f t="shared" si="2"/>
        <v>0.6399999999999999</v>
      </c>
      <c r="L17">
        <f t="shared" si="3"/>
        <v>10</v>
      </c>
      <c r="M17">
        <f t="shared" si="4"/>
        <v>0.99999999999999978</v>
      </c>
      <c r="N17">
        <f t="shared" si="5"/>
        <v>9.9999999999999982</v>
      </c>
      <c r="O17">
        <f t="shared" si="6"/>
        <v>9.9999999999999964</v>
      </c>
      <c r="P17">
        <f t="shared" si="7"/>
        <v>9.9999999999999929</v>
      </c>
      <c r="Q17">
        <f t="shared" si="8"/>
        <v>9.9999999999999911</v>
      </c>
      <c r="R17">
        <f t="shared" si="9"/>
        <v>159.99999999999994</v>
      </c>
    </row>
    <row r="18" spans="1:18" x14ac:dyDescent="0.35">
      <c r="A18">
        <v>6</v>
      </c>
      <c r="B18">
        <f t="shared" si="10"/>
        <v>0.94</v>
      </c>
      <c r="C18">
        <f t="shared" si="11"/>
        <v>1.54</v>
      </c>
      <c r="D18">
        <f t="shared" si="0"/>
        <v>1.24</v>
      </c>
      <c r="E18">
        <v>3</v>
      </c>
      <c r="F18">
        <f t="shared" si="1"/>
        <v>0.06</v>
      </c>
      <c r="G18">
        <f t="shared" si="12"/>
        <v>48</v>
      </c>
      <c r="K18">
        <f t="shared" si="2"/>
        <v>1.24</v>
      </c>
      <c r="L18">
        <f t="shared" si="3"/>
        <v>3</v>
      </c>
      <c r="M18">
        <f t="shared" si="4"/>
        <v>2</v>
      </c>
      <c r="N18">
        <f t="shared" si="5"/>
        <v>6</v>
      </c>
      <c r="O18">
        <f t="shared" si="6"/>
        <v>12</v>
      </c>
      <c r="P18">
        <f t="shared" si="7"/>
        <v>24</v>
      </c>
      <c r="Q18">
        <f t="shared" si="8"/>
        <v>48</v>
      </c>
      <c r="R18">
        <f t="shared" si="9"/>
        <v>243</v>
      </c>
    </row>
    <row r="19" spans="1:18" x14ac:dyDescent="0.35">
      <c r="A19">
        <v>7</v>
      </c>
      <c r="B19">
        <f t="shared" si="10"/>
        <v>1.54</v>
      </c>
      <c r="C19">
        <f t="shared" si="11"/>
        <v>2.14</v>
      </c>
      <c r="D19">
        <f t="shared" si="0"/>
        <v>1.84</v>
      </c>
      <c r="E19">
        <v>2</v>
      </c>
      <c r="F19">
        <f t="shared" si="1"/>
        <v>0.04</v>
      </c>
      <c r="G19">
        <f t="shared" si="12"/>
        <v>50</v>
      </c>
      <c r="K19">
        <f t="shared" si="2"/>
        <v>1.84</v>
      </c>
      <c r="L19">
        <f t="shared" si="3"/>
        <v>2</v>
      </c>
      <c r="M19">
        <f t="shared" si="4"/>
        <v>3</v>
      </c>
      <c r="N19">
        <f t="shared" si="5"/>
        <v>6</v>
      </c>
      <c r="O19">
        <f t="shared" si="6"/>
        <v>18</v>
      </c>
      <c r="P19">
        <f t="shared" si="7"/>
        <v>54</v>
      </c>
      <c r="Q19">
        <f t="shared" si="8"/>
        <v>162</v>
      </c>
      <c r="R19">
        <f t="shared" si="9"/>
        <v>512</v>
      </c>
    </row>
    <row r="20" spans="1:18" x14ac:dyDescent="0.35">
      <c r="K20" t="s">
        <v>62</v>
      </c>
      <c r="L20">
        <f>SUM(L13:L19)</f>
        <v>50</v>
      </c>
      <c r="M20">
        <f>SUM(M13:M19)</f>
        <v>0</v>
      </c>
      <c r="N20">
        <f t="shared" ref="N20:R20" si="13">SUM(N13:N19)</f>
        <v>-3.0000000000000018</v>
      </c>
      <c r="O20">
        <f t="shared" si="13"/>
        <v>87</v>
      </c>
      <c r="P20">
        <f t="shared" si="13"/>
        <v>-15</v>
      </c>
      <c r="Q20">
        <f t="shared" si="13"/>
        <v>471</v>
      </c>
      <c r="R20">
        <f t="shared" si="13"/>
        <v>971</v>
      </c>
    </row>
    <row r="25" spans="1:18" x14ac:dyDescent="0.35">
      <c r="D25" t="s">
        <v>63</v>
      </c>
      <c r="K25" t="s">
        <v>64</v>
      </c>
    </row>
    <row r="26" spans="1:18" x14ac:dyDescent="0.35">
      <c r="K26" t="s">
        <v>65</v>
      </c>
    </row>
    <row r="27" spans="1:18" x14ac:dyDescent="0.35">
      <c r="K27" t="s">
        <v>66</v>
      </c>
    </row>
    <row r="28" spans="1:18" x14ac:dyDescent="0.35">
      <c r="K28" t="s">
        <v>67</v>
      </c>
    </row>
    <row r="29" spans="1:18" x14ac:dyDescent="0.35">
      <c r="K29" t="s">
        <v>68</v>
      </c>
    </row>
    <row r="30" spans="1:18" x14ac:dyDescent="0.35">
      <c r="K30" t="s">
        <v>69</v>
      </c>
    </row>
    <row r="31" spans="1:18" x14ac:dyDescent="0.35">
      <c r="K31" t="s">
        <v>70</v>
      </c>
    </row>
    <row r="32" spans="1:18" x14ac:dyDescent="0.35">
      <c r="K32" t="s">
        <v>71</v>
      </c>
    </row>
  </sheetData>
  <sortState xmlns:xlrd2="http://schemas.microsoft.com/office/spreadsheetml/2017/richdata2" columnSort="1" ref="A1:AX1">
    <sortCondition ref="A1:AX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Практика №4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Горло Евгений Николаевич</cp:lastModifiedBy>
  <dcterms:created xsi:type="dcterms:W3CDTF">2015-06-05T18:17:20Z</dcterms:created>
  <dcterms:modified xsi:type="dcterms:W3CDTF">2024-03-14T00:10:35Z</dcterms:modified>
</cp:coreProperties>
</file>