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30" windowHeight="12900" activeTab="2"/>
  </bookViews>
  <sheets>
    <sheet name="351" sheetId="1" r:id="rId1"/>
    <sheet name="357.1" sheetId="2" r:id="rId2"/>
    <sheet name="357.2" sheetId="3" r:id="rId3"/>
    <sheet name="358" sheetId="4" r:id="rId4"/>
    <sheet name="362" sheetId="5" r:id="rId5"/>
  </sheets>
  <definedNames>
    <definedName name="solver_opt" localSheetId="0" hidden="1">'351'!$H$22</definedName>
    <definedName name="solver_typ" localSheetId="0" hidden="1">2</definedName>
    <definedName name="solver_val" localSheetId="0" hidden="1">0</definedName>
    <definedName name="solver_adj" localSheetId="0" hidden="1">'351'!$C$9:$D$20</definedName>
    <definedName name="solver_neg" localSheetId="0" hidden="1">1</definedName>
    <definedName name="solver_num" localSheetId="0" hidden="1">3</definedName>
    <definedName name="solver_lin" localSheetId="0" hidden="1">1</definedName>
    <definedName name="solver_eng" localSheetId="0" hidden="1">2</definedName>
    <definedName name="solver_ver" localSheetId="0" hidden="1">3</definedName>
    <definedName name="solver_lhs1" localSheetId="0" hidden="1">'351'!$E$9:$E$20</definedName>
    <definedName name="solver_rel1" localSheetId="0" hidden="1">3</definedName>
    <definedName name="solver_rhs1" localSheetId="0" hidden="1">0</definedName>
    <definedName name="solver_lhs2" localSheetId="0" hidden="1">'351'!$D$9:$D$20</definedName>
    <definedName name="solver_rel2" localSheetId="0" hidden="1">5</definedName>
    <definedName name="solver_rhs2" localSheetId="0" hidden="1">0</definedName>
    <definedName name="solver_pre" localSheetId="0" hidden="1">0.000001</definedName>
    <definedName name="solver_itr" localSheetId="0" hidden="1">0</definedName>
    <definedName name="solver_tim" localSheetId="0" hidden="1">0</definedName>
    <definedName name="solver_tol" localSheetId="0" hidden="1">0.01</definedName>
    <definedName name="solver_sho" localSheetId="0" hidden="1">0</definedName>
    <definedName name="solver_rlx" localSheetId="0" hidden="1">0</definedName>
    <definedName name="solver_nod" localSheetId="0" hidden="1">0</definedName>
    <definedName name="solver_mip" localSheetId="0" hidden="1">0</definedName>
    <definedName name="solver_scl" localSheetId="0" hidden="1">1</definedName>
    <definedName name="solver_cvg" localSheetId="0" hidden="1">0.0001</definedName>
    <definedName name="solver_drv" localSheetId="0" hidden="1">1</definedName>
    <definedName name="solver_msl" localSheetId="0" hidden="1">0</definedName>
    <definedName name="solver_ssz" localSheetId="0" hidden="1">100</definedName>
    <definedName name="solver_rsd" localSheetId="0" hidden="1">0</definedName>
    <definedName name="solver_rbv" localSheetId="0" hidden="1">1</definedName>
    <definedName name="solver_lhs3" localSheetId="0" hidden="1">'351'!$I$9:$I$20</definedName>
    <definedName name="solver_rel3" localSheetId="0" hidden="1">1</definedName>
    <definedName name="solver_rhs3" localSheetId="0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<sst xmlns="http://schemas.openxmlformats.org/spreadsheetml/2006/main" count="95" uniqueCount="57">
  <si>
    <t>Спрос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</si>
  <si>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</si>
  <si>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</si>
  <si>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</si>
  <si>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</si>
  <si>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</si>
  <si>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</si>
  <si>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</si>
  <si>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</si>
  <si>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</si>
  <si>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</si>
  <si>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</si>
  <si>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</si>
  <si>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Месяц</t>
  </si>
  <si>
    <t>Dв год =</t>
  </si>
  <si>
    <t>Стоимость =</t>
  </si>
  <si>
    <t>Полные издержки =</t>
  </si>
  <si>
    <t>Себестоимость=</t>
  </si>
  <si>
    <t xml:space="preserve">Издержки заказа = </t>
  </si>
  <si>
    <t>Издержки
хранения =</t>
  </si>
  <si>
    <t>Лот</t>
  </si>
  <si>
    <t>Остатки</t>
  </si>
  <si>
    <t>Издержки хранения</t>
  </si>
  <si>
    <t>Издержки заказа</t>
  </si>
  <si>
    <t>Полные издержки</t>
  </si>
  <si>
    <t>b= издержки 180000</t>
  </si>
  <si>
    <t>h</t>
  </si>
  <si>
    <t>S</t>
  </si>
  <si>
    <t>D</t>
  </si>
  <si>
    <t>Порог скидки</t>
  </si>
  <si>
    <t>мин</t>
  </si>
  <si>
    <t>Цена</t>
  </si>
  <si>
    <t>EOQ</t>
  </si>
  <si>
    <t>Q</t>
  </si>
  <si>
    <t>TH</t>
  </si>
  <si>
    <t>TS</t>
  </si>
  <si>
    <t>T</t>
  </si>
  <si>
    <t>TS+T</t>
  </si>
  <si>
    <t>EQQ</t>
  </si>
  <si>
    <t>Число заказов</t>
  </si>
  <si>
    <t>T+TC</t>
  </si>
  <si>
    <t>ЗП</t>
  </si>
  <si>
    <t>ПР</t>
  </si>
  <si>
    <t>ОР</t>
  </si>
  <si>
    <t>Заказов в месяц</t>
  </si>
  <si>
    <t>Цена зв заказ</t>
  </si>
  <si>
    <t>Стоимость денег компании</t>
  </si>
  <si>
    <t>Страховые</t>
  </si>
  <si>
    <t>Потери</t>
  </si>
  <si>
    <t>Размер заказа</t>
  </si>
  <si>
    <t>Закупочная цена</t>
  </si>
  <si>
    <t>Цена за хранение</t>
  </si>
  <si>
    <t>a.</t>
  </si>
  <si>
    <t>b.</t>
  </si>
  <si>
    <t>с.</t>
  </si>
  <si>
    <t>d.</t>
  </si>
  <si>
    <t>T+TS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</si>
</sst>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1" xfId="0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Fill="1" applyBorder="1" applyAlignment="1"/>
    <xf numFmtId="9" fontId="0" fillId="0" borderId="1" xfId="0" applyNumberFormat="1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NumberFormat="1" applyBorder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133350</xdr:colOff>
      <xdr:row>0</xdr:row>
      <xdr:rowOff>114300</xdr:rowOff>
    </xdr:from>
    <xdr:to>
      <xdr:col>23</xdr:col>
      <xdr:colOff>152400</xdr:colOff>
      <xdr:row>9</xdr:row>
      <xdr:rowOff>120650</xdr:rowOff>
    </xdr:to>
    <xdr:pic>
      <xdr:nvPicPr>
        <xdr:cNvPr id="2" name="Изображение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146030" y="114300"/>
          <a:ext cx="5419725" cy="1720850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6</xdr:col>
      <xdr:colOff>1019175</xdr:colOff>
      <xdr:row>25</xdr:row>
      <xdr:rowOff>0</xdr:rowOff>
    </xdr:from>
    <xdr:ext cx="4391025" cy="273685"/>
    <xdr:sp>
      <xdr:nvSpPr>
        <xdr:cNvPr id="5" name="Текстовое поле 4"/>
        <xdr:cNvSpPr txBox="1"/>
      </xdr:nvSpPr>
      <xdr:spPr>
        <a:xfrm>
          <a:off x="5225415" y="4762500"/>
          <a:ext cx="4391025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ru-RU" altLang="en-US" sz="1100"/>
            <a:t>с. если мы скупим весь годовой заказ, мы получим меньшую прибыль</a:t>
          </a:r>
          <a:endParaRPr lang="ru-RU" altLang="en-US" sz="1100"/>
        </a:p>
      </xdr:txBody>
    </xdr:sp>
    <xdr:clientData/>
  </xdr:oneCellAnchor>
  <xdr:oneCellAnchor>
    <xdr:from>
      <xdr:col>6</xdr:col>
      <xdr:colOff>1057275</xdr:colOff>
      <xdr:row>27</xdr:row>
      <xdr:rowOff>9525</xdr:rowOff>
    </xdr:from>
    <xdr:ext cx="1791335" cy="273685"/>
    <xdr:sp>
      <xdr:nvSpPr>
        <xdr:cNvPr id="6" name="Текстовое поле 5"/>
        <xdr:cNvSpPr txBox="1"/>
      </xdr:nvSpPr>
      <xdr:spPr>
        <a:xfrm>
          <a:off x="5263515" y="5153025"/>
          <a:ext cx="1791335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en-US" altLang="ru-RU" sz="1100"/>
            <a:t>d.</a:t>
          </a:r>
          <a:r>
            <a:rPr lang="ru-RU" altLang="en-US" sz="1100"/>
            <a:t>Изменит, они увеличатся</a:t>
          </a:r>
          <a:endParaRPr lang="ru-RU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466725</xdr:colOff>
      <xdr:row>0</xdr:row>
      <xdr:rowOff>1270</xdr:rowOff>
    </xdr:from>
    <xdr:to>
      <xdr:col>16</xdr:col>
      <xdr:colOff>319405</xdr:colOff>
      <xdr:row>14</xdr:row>
      <xdr:rowOff>102235</xdr:rowOff>
    </xdr:to>
    <xdr:pic>
      <xdr:nvPicPr>
        <xdr:cNvPr id="2" name="Изображение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717415" y="1270"/>
          <a:ext cx="6250940" cy="2767965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0</xdr:col>
      <xdr:colOff>323850</xdr:colOff>
      <xdr:row>15</xdr:row>
      <xdr:rowOff>47625</xdr:rowOff>
    </xdr:from>
    <xdr:ext cx="2893060" cy="273685"/>
    <xdr:sp>
      <xdr:nvSpPr>
        <xdr:cNvPr id="6" name="Текстовое поле 5"/>
        <xdr:cNvSpPr txBox="1"/>
      </xdr:nvSpPr>
      <xdr:spPr>
        <a:xfrm>
          <a:off x="323850" y="2905125"/>
          <a:ext cx="289306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ru-RU" altLang="en-US" sz="1100"/>
            <a:t>Закупаем партии по 500, и продаем по 38110</a:t>
          </a:r>
          <a:endParaRPr lang="ru-RU" alt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575310</xdr:colOff>
      <xdr:row>0</xdr:row>
      <xdr:rowOff>80010</xdr:rowOff>
    </xdr:from>
    <xdr:to>
      <xdr:col>15</xdr:col>
      <xdr:colOff>349250</xdr:colOff>
      <xdr:row>12</xdr:row>
      <xdr:rowOff>92710</xdr:rowOff>
    </xdr:to>
    <xdr:pic>
      <xdr:nvPicPr>
        <xdr:cNvPr id="2" name="Изображение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868545" y="80010"/>
          <a:ext cx="5590540" cy="2298700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0</xdr:col>
      <xdr:colOff>552450</xdr:colOff>
      <xdr:row>15</xdr:row>
      <xdr:rowOff>171450</xdr:rowOff>
    </xdr:from>
    <xdr:ext cx="2895600" cy="273685"/>
    <xdr:sp>
      <xdr:nvSpPr>
        <xdr:cNvPr id="4" name="Текстовое поле 3"/>
        <xdr:cNvSpPr txBox="1"/>
      </xdr:nvSpPr>
      <xdr:spPr>
        <a:xfrm>
          <a:off x="552450" y="3028950"/>
          <a:ext cx="289560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en-US" altLang="ru-RU" sz="1100"/>
            <a:t>a.</a:t>
          </a:r>
          <a:r>
            <a:rPr lang="ru-RU" altLang="en-US" sz="1100"/>
            <a:t>В 1 пять заказов, во 2 четыре, в 3 два заказа</a:t>
          </a:r>
          <a:endParaRPr lang="ru-RU" altLang="en-US" sz="1100"/>
        </a:p>
      </xdr:txBody>
    </xdr:sp>
    <xdr:clientData/>
  </xdr:oneCellAnchor>
  <xdr:oneCellAnchor>
    <xdr:from>
      <xdr:col>0</xdr:col>
      <xdr:colOff>619125</xdr:colOff>
      <xdr:row>18</xdr:row>
      <xdr:rowOff>142875</xdr:rowOff>
    </xdr:from>
    <xdr:ext cx="3434715" cy="273685"/>
    <xdr:sp>
      <xdr:nvSpPr>
        <xdr:cNvPr id="5" name="Текстовое поле 4"/>
        <xdr:cNvSpPr txBox="1"/>
      </xdr:nvSpPr>
      <xdr:spPr>
        <a:xfrm>
          <a:off x="619125" y="3571875"/>
          <a:ext cx="3434715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en-US" altLang="ru-RU" sz="1100"/>
            <a:t>b. </a:t>
          </a:r>
          <a:r>
            <a:rPr lang="ru-RU" altLang="en-US" sz="1100"/>
            <a:t>Последний заказ, Так более выгодно изза издержек</a:t>
          </a:r>
          <a:endParaRPr lang="ru-RU" alt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286385</xdr:colOff>
      <xdr:row>0</xdr:row>
      <xdr:rowOff>106045</xdr:rowOff>
    </xdr:from>
    <xdr:to>
      <xdr:col>15</xdr:col>
      <xdr:colOff>439420</xdr:colOff>
      <xdr:row>26</xdr:row>
      <xdr:rowOff>156845</xdr:rowOff>
    </xdr:to>
    <xdr:pic>
      <xdr:nvPicPr>
        <xdr:cNvPr id="2" name="Изображение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469130" y="106045"/>
          <a:ext cx="5969635" cy="50038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445135</xdr:colOff>
      <xdr:row>11</xdr:row>
      <xdr:rowOff>152400</xdr:rowOff>
    </xdr:from>
    <xdr:to>
      <xdr:col>21</xdr:col>
      <xdr:colOff>95885</xdr:colOff>
      <xdr:row>20</xdr:row>
      <xdr:rowOff>161925</xdr:rowOff>
    </xdr:to>
    <xdr:pic>
      <xdr:nvPicPr>
        <xdr:cNvPr id="4" name="Изображение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467725" y="2247900"/>
          <a:ext cx="5467350" cy="1724025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1</xdr:col>
      <xdr:colOff>419100</xdr:colOff>
      <xdr:row>18</xdr:row>
      <xdr:rowOff>95250</xdr:rowOff>
    </xdr:from>
    <xdr:ext cx="4293235" cy="273685"/>
    <xdr:sp>
      <xdr:nvSpPr>
        <xdr:cNvPr id="5" name="Текстовое поле 4"/>
        <xdr:cNvSpPr txBox="1"/>
      </xdr:nvSpPr>
      <xdr:spPr>
        <a:xfrm>
          <a:off x="1249680" y="3524250"/>
          <a:ext cx="4293235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ru-RU" altLang="en-US" sz="1100"/>
            <a:t>а. Заказ больше 2 вагонов, помогает минимизировать затраты 19092</a:t>
          </a:r>
          <a:endParaRPr lang="en-US" altLang="ru-RU" sz="1100"/>
        </a:p>
      </xdr:txBody>
    </xdr:sp>
    <xdr:clientData/>
  </xdr:oneCellAnchor>
  <xdr:oneCellAnchor>
    <xdr:from>
      <xdr:col>1</xdr:col>
      <xdr:colOff>447675</xdr:colOff>
      <xdr:row>20</xdr:row>
      <xdr:rowOff>104775</xdr:rowOff>
    </xdr:from>
    <xdr:ext cx="3379470" cy="273685"/>
    <xdr:sp>
      <xdr:nvSpPr>
        <xdr:cNvPr id="6" name="Текстовое поле 5"/>
        <xdr:cNvSpPr txBox="1"/>
      </xdr:nvSpPr>
      <xdr:spPr>
        <a:xfrm>
          <a:off x="1278255" y="3914775"/>
          <a:ext cx="337947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en-US" altLang="ru-RU" sz="1100"/>
            <a:t>b.</a:t>
          </a:r>
          <a:r>
            <a:rPr lang="ru-RU" altLang="en-US" sz="1100"/>
            <a:t>Лучше два и больше, тогда мы берем 2 заказа в год</a:t>
          </a:r>
          <a:endParaRPr lang="ru-RU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workbookViewId="0">
      <selection activeCell="I34" sqref="I34"/>
    </sheetView>
  </sheetViews>
  <sheetFormatPr defaultColWidth="9" defaultRowHeight="15"/>
  <cols>
    <col min="2" max="2" width="9.90476190476191" customWidth="1"/>
    <col min="6" max="6" width="17.1809523809524" customWidth="1"/>
    <col min="7" max="7" width="15.9047619047619" customWidth="1"/>
    <col min="8" max="8" width="17.1809523809524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2" t="s">
        <v>13</v>
      </c>
      <c r="B2" s="2">
        <v>100</v>
      </c>
      <c r="C2" s="2">
        <v>500</v>
      </c>
      <c r="D2" s="2">
        <v>800</v>
      </c>
      <c r="E2" s="2">
        <v>1000</v>
      </c>
      <c r="F2" s="2">
        <v>600</v>
      </c>
      <c r="G2" s="2">
        <v>1000</v>
      </c>
      <c r="H2" s="2">
        <v>1000</v>
      </c>
      <c r="I2" s="2">
        <v>800</v>
      </c>
      <c r="J2" s="2">
        <v>700</v>
      </c>
      <c r="K2" s="2">
        <v>500</v>
      </c>
      <c r="L2" s="2">
        <v>400</v>
      </c>
      <c r="M2" s="2">
        <v>400</v>
      </c>
    </row>
    <row r="4" spans="1:11">
      <c r="A4" s="2"/>
      <c r="B4" s="2" t="s">
        <v>14</v>
      </c>
      <c r="C4" s="2">
        <v>7800</v>
      </c>
      <c r="E4" s="7" t="s">
        <v>15</v>
      </c>
      <c r="F4" s="7"/>
      <c r="G4" s="2">
        <f>C5*C4</f>
        <v>1560000</v>
      </c>
      <c r="I4" s="7" t="s">
        <v>16</v>
      </c>
      <c r="J4" s="7"/>
      <c r="K4" s="2">
        <f>G4+H22</f>
        <v>1740000</v>
      </c>
    </row>
    <row r="5" spans="1:7">
      <c r="A5" s="7" t="s">
        <v>17</v>
      </c>
      <c r="B5" s="7"/>
      <c r="C5" s="2">
        <v>200</v>
      </c>
      <c r="E5" s="7" t="s">
        <v>18</v>
      </c>
      <c r="F5" s="7"/>
      <c r="G5" s="2">
        <f>20000</f>
        <v>20000</v>
      </c>
    </row>
    <row r="6" spans="1:3">
      <c r="A6" s="8" t="s">
        <v>19</v>
      </c>
      <c r="B6" s="7"/>
      <c r="C6" s="2">
        <v>15</v>
      </c>
    </row>
    <row r="8" spans="1:9">
      <c r="A8" s="2" t="s">
        <v>13</v>
      </c>
      <c r="B8" s="2" t="s">
        <v>0</v>
      </c>
      <c r="C8" s="2" t="s">
        <v>20</v>
      </c>
      <c r="D8" s="2"/>
      <c r="E8" s="2" t="s">
        <v>21</v>
      </c>
      <c r="F8" s="2" t="s">
        <v>22</v>
      </c>
      <c r="G8" s="2" t="s">
        <v>23</v>
      </c>
      <c r="H8" s="2" t="s">
        <v>24</v>
      </c>
      <c r="I8" s="2"/>
    </row>
    <row r="9" spans="1:9">
      <c r="A9" s="2" t="s">
        <v>1</v>
      </c>
      <c r="B9" s="2">
        <v>100</v>
      </c>
      <c r="C9" s="2">
        <v>599.999999999998</v>
      </c>
      <c r="D9" s="2">
        <v>1</v>
      </c>
      <c r="E9" s="2">
        <f>C9-B9</f>
        <v>499.999999999998</v>
      </c>
      <c r="F9" s="2">
        <f>$C$6*E9</f>
        <v>7499.99999999997</v>
      </c>
      <c r="G9" s="2">
        <f>D9*$G$5</f>
        <v>20000</v>
      </c>
      <c r="H9" s="2">
        <f>F9+G9</f>
        <v>27500</v>
      </c>
      <c r="I9" s="2">
        <f>C9-100000*D9</f>
        <v>-99400</v>
      </c>
    </row>
    <row r="10" spans="1:9">
      <c r="A10" s="2" t="s">
        <v>2</v>
      </c>
      <c r="B10" s="2">
        <v>500</v>
      </c>
      <c r="C10" s="2">
        <v>0</v>
      </c>
      <c r="D10" s="2">
        <v>0</v>
      </c>
      <c r="E10" s="2">
        <f>E9+C10-B10</f>
        <v>-1.93267624126747e-12</v>
      </c>
      <c r="F10" s="2">
        <f t="shared" ref="F10:F20" si="0">$C$6*E10</f>
        <v>-2.89901436190121e-11</v>
      </c>
      <c r="G10" s="2">
        <f t="shared" ref="G10:G20" si="1">D10*$G$5</f>
        <v>0</v>
      </c>
      <c r="H10" s="2">
        <f>H9+F10+G10</f>
        <v>27499.9999999999</v>
      </c>
      <c r="I10" s="2">
        <f t="shared" ref="I10:I20" si="2">C10-100000*D10</f>
        <v>0</v>
      </c>
    </row>
    <row r="11" spans="1:9">
      <c r="A11" s="2" t="s">
        <v>3</v>
      </c>
      <c r="B11" s="2">
        <v>800</v>
      </c>
      <c r="C11" s="2">
        <v>800.000000000001</v>
      </c>
      <c r="D11" s="2">
        <v>1</v>
      </c>
      <c r="E11" s="2">
        <f t="shared" ref="E11:E20" si="3">E10+C11-B11</f>
        <v>-1.36424205265939e-12</v>
      </c>
      <c r="F11" s="2">
        <f t="shared" si="0"/>
        <v>-2.04636307898909e-11</v>
      </c>
      <c r="G11" s="2">
        <f t="shared" si="1"/>
        <v>20000</v>
      </c>
      <c r="H11" s="2">
        <f t="shared" ref="H11:H20" si="4">H10+F11+G11</f>
        <v>47499.9999999999</v>
      </c>
      <c r="I11" s="2">
        <f t="shared" si="2"/>
        <v>-99200</v>
      </c>
    </row>
    <row r="12" spans="1:9">
      <c r="A12" s="2" t="s">
        <v>4</v>
      </c>
      <c r="B12" s="2">
        <v>1000</v>
      </c>
      <c r="C12" s="2">
        <v>1600</v>
      </c>
      <c r="D12" s="2">
        <v>1</v>
      </c>
      <c r="E12" s="2">
        <f t="shared" si="3"/>
        <v>599.999999999999</v>
      </c>
      <c r="F12" s="2">
        <f t="shared" si="0"/>
        <v>8999.99999999998</v>
      </c>
      <c r="G12" s="2">
        <f t="shared" si="1"/>
        <v>20000</v>
      </c>
      <c r="H12" s="2">
        <f t="shared" si="4"/>
        <v>76499.9999999999</v>
      </c>
      <c r="I12" s="2">
        <f t="shared" si="2"/>
        <v>-98400</v>
      </c>
    </row>
    <row r="13" spans="1:9">
      <c r="A13" s="2" t="s">
        <v>5</v>
      </c>
      <c r="B13" s="2">
        <v>600</v>
      </c>
      <c r="C13" s="2">
        <v>0</v>
      </c>
      <c r="D13" s="2">
        <v>0</v>
      </c>
      <c r="E13" s="2">
        <f t="shared" si="3"/>
        <v>-1.13686837721616e-12</v>
      </c>
      <c r="F13" s="2">
        <f t="shared" si="0"/>
        <v>-1.70530256582424e-11</v>
      </c>
      <c r="G13" s="2">
        <f t="shared" si="1"/>
        <v>0</v>
      </c>
      <c r="H13" s="2">
        <f t="shared" si="4"/>
        <v>76499.9999999999</v>
      </c>
      <c r="I13" s="2">
        <f t="shared" si="2"/>
        <v>0</v>
      </c>
    </row>
    <row r="14" spans="1:9">
      <c r="A14" s="2" t="s">
        <v>6</v>
      </c>
      <c r="B14" s="2">
        <v>1000</v>
      </c>
      <c r="C14" s="2">
        <v>2000</v>
      </c>
      <c r="D14" s="2">
        <v>1</v>
      </c>
      <c r="E14" s="2">
        <f t="shared" si="3"/>
        <v>999.999999999999</v>
      </c>
      <c r="F14" s="2">
        <f t="shared" si="0"/>
        <v>15000</v>
      </c>
      <c r="G14" s="2">
        <f t="shared" si="1"/>
        <v>20000</v>
      </c>
      <c r="H14" s="2">
        <f t="shared" si="4"/>
        <v>111500</v>
      </c>
      <c r="I14" s="2">
        <f t="shared" si="2"/>
        <v>-98000</v>
      </c>
    </row>
    <row r="15" spans="1:9">
      <c r="A15" s="2" t="s">
        <v>7</v>
      </c>
      <c r="B15" s="2">
        <v>1000</v>
      </c>
      <c r="C15" s="2">
        <v>0</v>
      </c>
      <c r="D15" s="2">
        <v>0</v>
      </c>
      <c r="E15" s="2">
        <f t="shared" si="3"/>
        <v>-1.13686837721616e-12</v>
      </c>
      <c r="F15" s="2">
        <f t="shared" si="0"/>
        <v>-1.70530256582424e-11</v>
      </c>
      <c r="G15" s="2">
        <f t="shared" si="1"/>
        <v>0</v>
      </c>
      <c r="H15" s="2">
        <f t="shared" si="4"/>
        <v>111500</v>
      </c>
      <c r="I15" s="2">
        <f t="shared" si="2"/>
        <v>0</v>
      </c>
    </row>
    <row r="16" spans="1:9">
      <c r="A16" s="2" t="s">
        <v>8</v>
      </c>
      <c r="B16" s="2">
        <v>800</v>
      </c>
      <c r="C16" s="2">
        <v>1500</v>
      </c>
      <c r="D16" s="2">
        <v>1</v>
      </c>
      <c r="E16" s="2">
        <f t="shared" si="3"/>
        <v>699.999999999999</v>
      </c>
      <c r="F16" s="2">
        <f t="shared" si="0"/>
        <v>10500</v>
      </c>
      <c r="G16" s="2">
        <f t="shared" si="1"/>
        <v>20000</v>
      </c>
      <c r="H16" s="2">
        <f t="shared" si="4"/>
        <v>142000</v>
      </c>
      <c r="I16" s="2">
        <f t="shared" si="2"/>
        <v>-98500</v>
      </c>
    </row>
    <row r="17" spans="1:9">
      <c r="A17" s="2" t="s">
        <v>9</v>
      </c>
      <c r="B17" s="2">
        <v>700</v>
      </c>
      <c r="C17" s="2">
        <v>0</v>
      </c>
      <c r="D17" s="2">
        <v>0</v>
      </c>
      <c r="E17" s="2">
        <f t="shared" si="3"/>
        <v>-1.13686837721616e-12</v>
      </c>
      <c r="F17" s="2">
        <f t="shared" si="0"/>
        <v>-1.70530256582424e-11</v>
      </c>
      <c r="G17" s="2">
        <f t="shared" si="1"/>
        <v>0</v>
      </c>
      <c r="H17" s="2">
        <f t="shared" si="4"/>
        <v>142000</v>
      </c>
      <c r="I17" s="2">
        <f t="shared" si="2"/>
        <v>0</v>
      </c>
    </row>
    <row r="18" spans="1:9">
      <c r="A18" s="2" t="s">
        <v>10</v>
      </c>
      <c r="B18" s="2">
        <v>500</v>
      </c>
      <c r="C18" s="2">
        <v>1300</v>
      </c>
      <c r="D18" s="2">
        <v>1</v>
      </c>
      <c r="E18" s="2">
        <f t="shared" si="3"/>
        <v>799.999999999998</v>
      </c>
      <c r="F18" s="2">
        <f t="shared" si="0"/>
        <v>12000</v>
      </c>
      <c r="G18" s="2">
        <f t="shared" si="1"/>
        <v>20000</v>
      </c>
      <c r="H18" s="2">
        <f t="shared" si="4"/>
        <v>174000</v>
      </c>
      <c r="I18" s="2">
        <f t="shared" si="2"/>
        <v>-98700</v>
      </c>
    </row>
    <row r="19" spans="1:9">
      <c r="A19" s="2" t="s">
        <v>11</v>
      </c>
      <c r="B19" s="2">
        <v>400</v>
      </c>
      <c r="C19" s="2">
        <v>0</v>
      </c>
      <c r="D19" s="2">
        <v>0</v>
      </c>
      <c r="E19" s="2">
        <f t="shared" si="3"/>
        <v>399.999999999998</v>
      </c>
      <c r="F19" s="2">
        <f t="shared" si="0"/>
        <v>5999.99999999998</v>
      </c>
      <c r="G19" s="2">
        <f t="shared" si="1"/>
        <v>0</v>
      </c>
      <c r="H19" s="2">
        <f t="shared" si="4"/>
        <v>180000</v>
      </c>
      <c r="I19" s="2">
        <f t="shared" si="2"/>
        <v>0</v>
      </c>
    </row>
    <row r="20" spans="1:9">
      <c r="A20" s="2" t="s">
        <v>12</v>
      </c>
      <c r="B20" s="2">
        <v>400</v>
      </c>
      <c r="C20" s="2">
        <v>0</v>
      </c>
      <c r="D20" s="2">
        <v>0</v>
      </c>
      <c r="E20" s="2">
        <f t="shared" si="3"/>
        <v>-1.59161572810262e-12</v>
      </c>
      <c r="F20" s="2">
        <f t="shared" si="0"/>
        <v>-2.38742359215394e-11</v>
      </c>
      <c r="G20" s="2">
        <f t="shared" si="1"/>
        <v>0</v>
      </c>
      <c r="H20" s="2">
        <f t="shared" si="4"/>
        <v>180000</v>
      </c>
      <c r="I20" s="2">
        <f t="shared" si="2"/>
        <v>0</v>
      </c>
    </row>
    <row r="21" spans="1:9">
      <c r="A21" s="2"/>
      <c r="B21" s="9">
        <f>SUM(B9:B20)</f>
        <v>7800</v>
      </c>
      <c r="C21" s="9">
        <f>SUM(C9:C20)</f>
        <v>7800</v>
      </c>
      <c r="D21" s="2"/>
      <c r="E21" s="2"/>
      <c r="F21" s="9">
        <f>SUM(F9:F20)</f>
        <v>59999.9999999998</v>
      </c>
      <c r="G21" s="9">
        <f>SUM(G9:G20)</f>
        <v>120000</v>
      </c>
      <c r="H21" s="2"/>
      <c r="I21" s="2"/>
    </row>
    <row r="22" spans="8:8">
      <c r="H22" s="3">
        <f>H20</f>
        <v>180000</v>
      </c>
    </row>
    <row r="24" spans="8:8">
      <c r="H24" t="s">
        <v>25</v>
      </c>
    </row>
  </sheetData>
  <mergeCells count="5">
    <mergeCell ref="E4:F4"/>
    <mergeCell ref="I4:J4"/>
    <mergeCell ref="A5:B5"/>
    <mergeCell ref="E5:F5"/>
    <mergeCell ref="A6:B6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14"/>
  <sheetViews>
    <sheetView workbookViewId="0">
      <selection activeCell="G29" sqref="G29"/>
    </sheetView>
  </sheetViews>
  <sheetFormatPr defaultColWidth="8.72380952380952" defaultRowHeight="15" outlineLevelCol="4"/>
  <cols>
    <col min="1" max="1" width="12.3619047619048" customWidth="1"/>
    <col min="2" max="2" width="12.8190476190476"/>
    <col min="3" max="5" width="12.8571428571429"/>
  </cols>
  <sheetData>
    <row r="3" spans="2:4">
      <c r="B3" s="1" t="s">
        <v>26</v>
      </c>
      <c r="C3" s="1" t="s">
        <v>27</v>
      </c>
      <c r="D3" s="1" t="s">
        <v>28</v>
      </c>
    </row>
    <row r="4" spans="2:4">
      <c r="B4" s="5">
        <v>0.38</v>
      </c>
      <c r="C4" s="1">
        <v>100</v>
      </c>
      <c r="D4" s="1">
        <v>2000</v>
      </c>
    </row>
    <row r="6" spans="2:5">
      <c r="B6" s="6" t="s">
        <v>29</v>
      </c>
      <c r="C6" s="2">
        <v>99</v>
      </c>
      <c r="D6" s="2">
        <v>499</v>
      </c>
      <c r="E6" s="2">
        <v>1000000</v>
      </c>
    </row>
    <row r="7" spans="2:5">
      <c r="B7" s="6" t="s">
        <v>30</v>
      </c>
      <c r="C7" s="2">
        <v>1</v>
      </c>
      <c r="D7" s="2">
        <v>100</v>
      </c>
      <c r="E7" s="2">
        <v>500</v>
      </c>
    </row>
    <row r="8" spans="2:5">
      <c r="B8" s="6" t="s">
        <v>31</v>
      </c>
      <c r="C8" s="2">
        <v>20</v>
      </c>
      <c r="D8" s="2">
        <v>19</v>
      </c>
      <c r="E8" s="2">
        <v>18</v>
      </c>
    </row>
    <row r="9" spans="2:5">
      <c r="B9" s="6" t="s">
        <v>32</v>
      </c>
      <c r="C9" s="2">
        <f>SQRT(2*$D$4*$C$4/(C8*$B$4))</f>
        <v>229.415733870562</v>
      </c>
      <c r="D9" s="2">
        <f>SQRT(2*$D$4*$C$4/(D8*$B$4))</f>
        <v>235.375576578925</v>
      </c>
      <c r="E9" s="3">
        <f>SQRT(2*$D$4*$C$4/(E8*$B$4))</f>
        <v>241.825416703337</v>
      </c>
    </row>
    <row r="10" spans="2:5">
      <c r="B10" s="6" t="s">
        <v>33</v>
      </c>
      <c r="C10" s="2">
        <f>IF(AND(C9&gt;=C7,C9&lt;=C6),C9,IF(C9&lt;C7,C7,C6))</f>
        <v>99</v>
      </c>
      <c r="D10" s="2">
        <f>IF(AND(D9&gt;=D7,D9&lt;=D6),D9,IF(D9&lt;D7,D7,D6))</f>
        <v>235.375576578925</v>
      </c>
      <c r="E10" s="2">
        <f>IF(AND(E9&gt;=E7,E9&lt;=E6),E9,IF(E9&lt;E7,E7,E6))</f>
        <v>500</v>
      </c>
    </row>
    <row r="11" spans="2:5">
      <c r="B11" s="6" t="s">
        <v>34</v>
      </c>
      <c r="C11" s="2">
        <f>C10/2*$B$4*C8</f>
        <v>376.2</v>
      </c>
      <c r="D11" s="2">
        <f>D10/2*$B$4*D8</f>
        <v>849.70583144992</v>
      </c>
      <c r="E11" s="2">
        <f>E10/2*$B$4*E8</f>
        <v>1710</v>
      </c>
    </row>
    <row r="12" spans="2:5">
      <c r="B12" s="6" t="s">
        <v>35</v>
      </c>
      <c r="C12" s="2">
        <f>$D$4/C10*$C$4</f>
        <v>2020.20202020202</v>
      </c>
      <c r="D12" s="2">
        <f>$D$4/D10*$C$4</f>
        <v>849.70583144992</v>
      </c>
      <c r="E12" s="2">
        <f>$D$4/E10*$C$4</f>
        <v>400</v>
      </c>
    </row>
    <row r="13" spans="2:5">
      <c r="B13" s="6" t="s">
        <v>36</v>
      </c>
      <c r="C13" s="2">
        <f>C12+C11</f>
        <v>2396.40202020202</v>
      </c>
      <c r="D13" s="2">
        <f>D12+D11</f>
        <v>1699.41166289984</v>
      </c>
      <c r="E13" s="2">
        <f>E12+E11</f>
        <v>2110</v>
      </c>
    </row>
    <row r="14" spans="2:5">
      <c r="B14" s="6" t="s">
        <v>37</v>
      </c>
      <c r="C14" s="2">
        <f>C13+$D$4*C8</f>
        <v>42396.402020202</v>
      </c>
      <c r="D14" s="2">
        <f>D13+$D$4*D8</f>
        <v>39699.4116628998</v>
      </c>
      <c r="E14" s="3">
        <f>E13+$D$4*E8</f>
        <v>38110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15"/>
  <sheetViews>
    <sheetView tabSelected="1" workbookViewId="0">
      <selection activeCell="E27" sqref="E27"/>
    </sheetView>
  </sheetViews>
  <sheetFormatPr defaultColWidth="8.72380952380952" defaultRowHeight="15" outlineLevelCol="4"/>
  <cols>
    <col min="1" max="1" width="13" customWidth="1"/>
    <col min="2" max="2" width="12.8190476190476"/>
    <col min="3" max="5" width="12.8571428571429"/>
  </cols>
  <sheetData>
    <row r="3" spans="2:4">
      <c r="B3" s="1" t="s">
        <v>26</v>
      </c>
      <c r="C3" s="1" t="s">
        <v>27</v>
      </c>
      <c r="D3" s="1" t="s">
        <v>28</v>
      </c>
    </row>
    <row r="4" spans="2:4">
      <c r="B4" s="5">
        <v>0.3</v>
      </c>
      <c r="C4" s="1">
        <v>150</v>
      </c>
      <c r="D4" s="1">
        <v>12000</v>
      </c>
    </row>
    <row r="6" spans="2:5">
      <c r="B6" s="6" t="s">
        <v>29</v>
      </c>
      <c r="C6" s="2">
        <v>2999</v>
      </c>
      <c r="D6" s="2">
        <v>5999</v>
      </c>
      <c r="E6" s="2">
        <v>100000</v>
      </c>
    </row>
    <row r="7" spans="2:5">
      <c r="B7" s="6" t="s">
        <v>30</v>
      </c>
      <c r="C7" s="2">
        <v>1</v>
      </c>
      <c r="D7" s="2">
        <v>3000</v>
      </c>
      <c r="E7" s="2">
        <v>6000</v>
      </c>
    </row>
    <row r="8" spans="2:5">
      <c r="B8" s="6" t="s">
        <v>31</v>
      </c>
      <c r="C8" s="2">
        <v>1.9</v>
      </c>
      <c r="D8" s="2">
        <v>1.82</v>
      </c>
      <c r="E8" s="2">
        <v>1.74</v>
      </c>
    </row>
    <row r="9" spans="2:5">
      <c r="B9" s="6" t="s">
        <v>38</v>
      </c>
      <c r="C9" s="2">
        <f>SQRT(2*$D$4*$C$4/(C8*$B$4))</f>
        <v>2513.12344975017</v>
      </c>
      <c r="D9" s="2">
        <f>SQRT(2*$D$4*$C$4/(D8*$B$4))</f>
        <v>2567.76295506548</v>
      </c>
      <c r="E9" s="2">
        <f>SQRT(2*$D$4*$C$4/(E8*$B$4))</f>
        <v>2626.12865719445</v>
      </c>
    </row>
    <row r="10" spans="2:5">
      <c r="B10" s="6" t="s">
        <v>33</v>
      </c>
      <c r="C10" s="2">
        <f>ROUND(IF(AND(C9&gt;=C7,C9&lt;=C6),C9,IF(C9&lt;C7,C7,C6)),0)</f>
        <v>2513</v>
      </c>
      <c r="D10" s="2">
        <f>ROUND(IF(AND(D9&gt;=D7,D9&lt;=D6),D9,IF(D9&lt;D7,D7,D6)),0)</f>
        <v>3000</v>
      </c>
      <c r="E10" s="2">
        <f>ROUND(IF(AND(E9&gt;=E7,E9&lt;=E6),E9,IF(E9&lt;E7,E7,E6)),0)</f>
        <v>6000</v>
      </c>
    </row>
    <row r="11" spans="2:5">
      <c r="B11" s="6" t="s">
        <v>39</v>
      </c>
      <c r="C11" s="2">
        <f>$D$4/C10</f>
        <v>4.77516912057302</v>
      </c>
      <c r="D11" s="2">
        <f>$D$4/D10</f>
        <v>4</v>
      </c>
      <c r="E11" s="3">
        <f>$D$4/E10</f>
        <v>2</v>
      </c>
    </row>
    <row r="12" spans="2:5">
      <c r="B12" s="6" t="s">
        <v>34</v>
      </c>
      <c r="C12" s="2">
        <f>C10/2*$B$4*C8</f>
        <v>716.205</v>
      </c>
      <c r="D12" s="2">
        <f>D10/2*$B$4*D8</f>
        <v>819</v>
      </c>
      <c r="E12" s="2">
        <f>E10/2*$B$4*E8</f>
        <v>1566</v>
      </c>
    </row>
    <row r="13" spans="2:5">
      <c r="B13" s="6" t="s">
        <v>35</v>
      </c>
      <c r="C13" s="2">
        <f>$D$4/C10*$C$4</f>
        <v>716.275368085953</v>
      </c>
      <c r="D13" s="2">
        <f>$D$4/D10*$C$4</f>
        <v>600</v>
      </c>
      <c r="E13" s="2">
        <f>$D$4/E10*$C$4</f>
        <v>300</v>
      </c>
    </row>
    <row r="14" spans="2:5">
      <c r="B14" s="6" t="s">
        <v>36</v>
      </c>
      <c r="C14" s="2">
        <f>C12+C11</f>
        <v>720.980169120573</v>
      </c>
      <c r="D14" s="2">
        <f>D12+D11</f>
        <v>823</v>
      </c>
      <c r="E14" s="2">
        <f>E12+E11</f>
        <v>1568</v>
      </c>
    </row>
    <row r="15" spans="2:5">
      <c r="B15" s="6" t="s">
        <v>40</v>
      </c>
      <c r="C15" s="2">
        <f>C13+$D$4*C8</f>
        <v>23516.275368086</v>
      </c>
      <c r="D15" s="2">
        <f>D13+$D$4*D8</f>
        <v>22440</v>
      </c>
      <c r="E15" s="3">
        <f>E13+$D$4*E8</f>
        <v>21180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C20"/>
  <sheetViews>
    <sheetView workbookViewId="0">
      <selection activeCell="D22" sqref="D22"/>
    </sheetView>
  </sheetViews>
  <sheetFormatPr defaultColWidth="8.72380952380952" defaultRowHeight="15" outlineLevelCol="2"/>
  <cols>
    <col min="1" max="1" width="5.57142857142857" customWidth="1"/>
    <col min="2" max="2" width="26.8571428571429" customWidth="1"/>
    <col min="3" max="3" width="12.8571428571429"/>
  </cols>
  <sheetData>
    <row r="4" spans="2:3">
      <c r="B4" s="1" t="s">
        <v>41</v>
      </c>
      <c r="C4" s="4">
        <v>18000</v>
      </c>
    </row>
    <row r="5" spans="2:3">
      <c r="B5" s="1" t="s">
        <v>42</v>
      </c>
      <c r="C5" s="4">
        <v>2000</v>
      </c>
    </row>
    <row r="6" spans="2:3">
      <c r="B6" s="1" t="s">
        <v>43</v>
      </c>
      <c r="C6" s="4">
        <v>5000</v>
      </c>
    </row>
    <row r="7" spans="2:3">
      <c r="B7" s="1" t="s">
        <v>44</v>
      </c>
      <c r="C7" s="4">
        <v>80</v>
      </c>
    </row>
    <row r="8" spans="2:3">
      <c r="B8" s="1" t="s">
        <v>45</v>
      </c>
      <c r="C8" s="4">
        <v>14</v>
      </c>
    </row>
    <row r="9" spans="2:3">
      <c r="B9" s="1" t="s">
        <v>46</v>
      </c>
      <c r="C9" s="4">
        <v>0.14</v>
      </c>
    </row>
    <row r="10" spans="2:3">
      <c r="B10" s="1" t="s">
        <v>47</v>
      </c>
      <c r="C10" s="4">
        <v>0.05</v>
      </c>
    </row>
    <row r="11" spans="2:3">
      <c r="B11" s="1" t="s">
        <v>48</v>
      </c>
      <c r="C11" s="4">
        <v>0.01</v>
      </c>
    </row>
    <row r="12" spans="2:3">
      <c r="B12" s="1" t="s">
        <v>49</v>
      </c>
      <c r="C12" s="4">
        <v>3380</v>
      </c>
    </row>
    <row r="13" spans="2:3">
      <c r="B13" s="1" t="s">
        <v>50</v>
      </c>
      <c r="C13" s="4">
        <v>100</v>
      </c>
    </row>
    <row r="14" spans="2:3">
      <c r="B14" s="1" t="s">
        <v>49</v>
      </c>
      <c r="C14" s="4">
        <v>5200</v>
      </c>
    </row>
    <row r="15" spans="2:3">
      <c r="B15" s="1" t="s">
        <v>50</v>
      </c>
      <c r="C15" s="4">
        <v>30</v>
      </c>
    </row>
    <row r="16" spans="2:3">
      <c r="B16" s="1" t="s">
        <v>51</v>
      </c>
      <c r="C16" s="1">
        <f>C15*C9</f>
        <v>4.2</v>
      </c>
    </row>
    <row r="17" spans="2:3">
      <c r="B17" s="1" t="s">
        <v>52</v>
      </c>
      <c r="C17" s="1">
        <f>C4+C5+C6+(C7*C8*12)</f>
        <v>38440</v>
      </c>
    </row>
    <row r="18" spans="2:3">
      <c r="B18" s="1" t="s">
        <v>53</v>
      </c>
      <c r="C18" s="1">
        <f>FLOOR(SQRT(2*C12*C13/C16),1)</f>
        <v>401</v>
      </c>
    </row>
    <row r="19" spans="2:3">
      <c r="B19" s="1" t="s">
        <v>54</v>
      </c>
      <c r="C19" s="1">
        <f>FLOOR(SQRT(2*C14*C15/C16),1)</f>
        <v>272</v>
      </c>
    </row>
    <row r="20" spans="2:3">
      <c r="B20" s="1" t="s">
        <v>55</v>
      </c>
      <c r="C20" s="1">
        <f>FLOOR(SQRT(2*(C14+C12)*(C13+C15)/C16),1)</f>
        <v>728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F15"/>
  <sheetViews>
    <sheetView workbookViewId="0">
      <selection activeCell="C24" sqref="C24"/>
    </sheetView>
  </sheetViews>
  <sheetFormatPr defaultColWidth="8.72380952380952" defaultRowHeight="15" outlineLevelCol="5"/>
  <cols>
    <col min="1" max="1" width="12.4571428571429" customWidth="1"/>
    <col min="2" max="2" width="12.8190476190476"/>
    <col min="3" max="6" width="12.8571428571429"/>
  </cols>
  <sheetData>
    <row r="3" spans="2:4">
      <c r="B3" s="1" t="s">
        <v>26</v>
      </c>
      <c r="C3" s="1" t="s">
        <v>27</v>
      </c>
      <c r="D3" s="1" t="s">
        <v>28</v>
      </c>
    </row>
    <row r="4" spans="2:4">
      <c r="B4" s="1">
        <v>70</v>
      </c>
      <c r="C4" s="1">
        <v>9000</v>
      </c>
      <c r="D4" s="1">
        <v>200</v>
      </c>
    </row>
    <row r="6" spans="2:6">
      <c r="B6" s="2" t="s">
        <v>29</v>
      </c>
      <c r="C6" s="2">
        <v>9.99</v>
      </c>
      <c r="D6" s="2">
        <v>49.99</v>
      </c>
      <c r="E6" s="2">
        <v>99.99</v>
      </c>
      <c r="F6" s="2">
        <v>1000000</v>
      </c>
    </row>
    <row r="7" spans="2:6">
      <c r="B7" s="2" t="s">
        <v>30</v>
      </c>
      <c r="C7" s="2">
        <v>1</v>
      </c>
      <c r="D7" s="2">
        <v>10</v>
      </c>
      <c r="E7" s="2">
        <v>50</v>
      </c>
      <c r="F7" s="2">
        <v>100</v>
      </c>
    </row>
    <row r="8" spans="2:6">
      <c r="B8" s="2" t="s">
        <v>31</v>
      </c>
      <c r="C8" s="2">
        <v>7</v>
      </c>
      <c r="D8" s="2">
        <v>6.3</v>
      </c>
      <c r="E8" s="2">
        <v>5.87</v>
      </c>
      <c r="F8" s="2">
        <v>5.46</v>
      </c>
    </row>
    <row r="9" spans="2:6">
      <c r="B9" s="2" t="s">
        <v>32</v>
      </c>
      <c r="C9" s="2">
        <f>SQRT(2*$D$4*$C$4/(C8*$B$4))</f>
        <v>85.7142857142857</v>
      </c>
      <c r="D9" s="2">
        <f>SQRT(2*$D$4*$C$4/(D8*$B$4))</f>
        <v>90.3507902905251</v>
      </c>
      <c r="E9" s="2">
        <f>SQRT(2*$D$4*$C$4/(E8*$B$4))</f>
        <v>93.6015800080059</v>
      </c>
      <c r="F9" s="2">
        <f>SQRT(2*$D$4*$C$4/(F8*$B$4))</f>
        <v>97.0523172123939</v>
      </c>
    </row>
    <row r="10" spans="2:6">
      <c r="B10" s="2" t="s">
        <v>33</v>
      </c>
      <c r="C10" s="2">
        <f>ROUND(IF(AND(C9&gt;=C7,C9&lt;=C6),C9,IF(C9&lt;C7,C7,C6)),0)</f>
        <v>10</v>
      </c>
      <c r="D10" s="2">
        <f>ROUND(IF(AND(D9&gt;=D7,D9&lt;=D6),D9,IF(D9&lt;D7,D7,D6)),0)</f>
        <v>50</v>
      </c>
      <c r="E10" s="2">
        <f>ROUND(IF(AND(E9&gt;=E7,E9&lt;=E6),E9,IF(E9&lt;E7,E7,E6)),0)</f>
        <v>94</v>
      </c>
      <c r="F10" s="2">
        <f>ROUND(IF(AND(F9&gt;=F7,F9&lt;=F6),F9,IF(F9&lt;F7,F7,F6)),0)</f>
        <v>100</v>
      </c>
    </row>
    <row r="11" spans="2:6">
      <c r="B11" s="2" t="s">
        <v>39</v>
      </c>
      <c r="C11" s="2">
        <f>$D$4/C10</f>
        <v>20</v>
      </c>
      <c r="D11" s="2">
        <f>$D$4/D10</f>
        <v>4</v>
      </c>
      <c r="E11" s="2">
        <f>$D$4/E10</f>
        <v>2.12765957446808</v>
      </c>
      <c r="F11" s="2">
        <f>$D$4/F10</f>
        <v>2</v>
      </c>
    </row>
    <row r="12" spans="2:6">
      <c r="B12" s="2" t="s">
        <v>34</v>
      </c>
      <c r="C12" s="2">
        <f>C10/2*$B$4*C8</f>
        <v>2450</v>
      </c>
      <c r="D12" s="2">
        <f>D10/2*$B$4*D8</f>
        <v>11025</v>
      </c>
      <c r="E12" s="2">
        <f>E10/2*$B$4*E8</f>
        <v>19312.3</v>
      </c>
      <c r="F12" s="2">
        <f>F10/2*$B$4*F8</f>
        <v>19110</v>
      </c>
    </row>
    <row r="13" spans="2:6">
      <c r="B13" s="2" t="s">
        <v>35</v>
      </c>
      <c r="C13" s="2">
        <f>$D$4/C10*$C$4</f>
        <v>180000</v>
      </c>
      <c r="D13" s="2">
        <f>$D$4/D10*$C$4</f>
        <v>36000</v>
      </c>
      <c r="E13" s="2">
        <f>$D$4/E10*$C$4</f>
        <v>19148.9361702128</v>
      </c>
      <c r="F13" s="2">
        <f>$D$4/F10*$C$4</f>
        <v>18000</v>
      </c>
    </row>
    <row r="14" spans="2:6">
      <c r="B14" s="2" t="s">
        <v>36</v>
      </c>
      <c r="C14" s="2">
        <f>C12+C11</f>
        <v>2470</v>
      </c>
      <c r="D14" s="2">
        <f>D12+D11</f>
        <v>11029</v>
      </c>
      <c r="E14" s="2">
        <f>E12+E11</f>
        <v>19314.4276595745</v>
      </c>
      <c r="F14" s="2">
        <f>F12+F11</f>
        <v>19112</v>
      </c>
    </row>
    <row r="15" spans="2:6">
      <c r="B15" s="2" t="s">
        <v>56</v>
      </c>
      <c r="C15" s="2">
        <f>C13+$D$4*C8</f>
        <v>181400</v>
      </c>
      <c r="D15" s="2">
        <f>D13+$D$4*D8</f>
        <v>37260</v>
      </c>
      <c r="E15" s="2">
        <f>E13+$D$4*E8</f>
        <v>20322.9361702128</v>
      </c>
      <c r="F15" s="3">
        <f>F13+$D$4*F8</f>
        <v>19092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351</vt:lpstr>
      <vt:lpstr>357.1</vt:lpstr>
      <vt:lpstr>357.2</vt:lpstr>
      <vt:lpstr>358</vt:lpstr>
      <vt:lpstr>362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 Перескоков</dc:creator>
  <cp:lastModifiedBy>ВЫХУХОЛЬ</cp:lastModifiedBy>
  <dcterms:created xsi:type="dcterms:W3CDTF">2024-11-07T13:36:00Z</dcterms:created>
  <dcterms:modified xsi:type="dcterms:W3CDTF">2024-11-10T18:23:49Z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1049-12.2.0.18638</vt:lpwstr>
  </property>
  <property fmtid="{D5CDD505-2E9C-101B-9397-08002B2CF9AE}" pid="3" name="ICV">
    <vt:lpwstr>178F55A37F9142BD94599708EBA11936_13</vt:lpwstr>
  </property>
</Properties>
</file>