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.fermelifuric\Desktop\"/>
    </mc:Choice>
  </mc:AlternateContent>
  <xr:revisionPtr revIDLastSave="0" documentId="8_{22087D12-AB98-4197-9038-66DC5CEA8924}" xr6:coauthVersionLast="47" xr6:coauthVersionMax="47" xr10:uidLastSave="{00000000-0000-0000-0000-000000000000}"/>
  <bookViews>
    <workbookView xWindow="-110" yWindow="-110" windowWidth="19420" windowHeight="10420" xr2:uid="{09D6E590-591C-4062-B894-E3E2BA06A70B}"/>
  </bookViews>
  <sheets>
    <sheet name="First study with all 5 tools" sheetId="1" r:id="rId1"/>
    <sheet name="Second study without Nikt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D63" i="2"/>
  <c r="E63" i="2"/>
  <c r="F63" i="2"/>
  <c r="G63" i="2"/>
  <c r="H63" i="2"/>
  <c r="I63" i="2"/>
  <c r="J63" i="2"/>
  <c r="D62" i="2"/>
  <c r="E62" i="2"/>
  <c r="F62" i="2"/>
  <c r="G62" i="2"/>
  <c r="H62" i="2"/>
  <c r="I62" i="2"/>
  <c r="J62" i="2"/>
  <c r="D61" i="2"/>
  <c r="E61" i="2"/>
  <c r="F61" i="2"/>
  <c r="G61" i="2"/>
  <c r="H61" i="2"/>
  <c r="I61" i="2"/>
  <c r="J61" i="2"/>
  <c r="C63" i="2"/>
  <c r="C62" i="2"/>
  <c r="C61" i="2"/>
  <c r="I38" i="2"/>
  <c r="H38" i="2"/>
  <c r="G38" i="2"/>
  <c r="F38" i="2"/>
  <c r="E38" i="2"/>
  <c r="D38" i="2"/>
  <c r="C38" i="2"/>
  <c r="I37" i="2"/>
  <c r="H37" i="2"/>
  <c r="G37" i="2"/>
  <c r="F37" i="2"/>
  <c r="E37" i="2"/>
  <c r="K32" i="2" s="1"/>
  <c r="O32" i="2" s="1"/>
  <c r="D37" i="2"/>
  <c r="C37" i="2"/>
  <c r="I36" i="2"/>
  <c r="H36" i="2"/>
  <c r="G36" i="2"/>
  <c r="F36" i="2"/>
  <c r="E36" i="2"/>
  <c r="D36" i="2"/>
  <c r="J33" i="2" s="1"/>
  <c r="N33" i="2" s="1"/>
  <c r="C36" i="2"/>
  <c r="D19" i="2"/>
  <c r="F19" i="2"/>
  <c r="G19" i="2"/>
  <c r="H19" i="2"/>
  <c r="I19" i="2"/>
  <c r="D18" i="2"/>
  <c r="E18" i="2"/>
  <c r="F18" i="2"/>
  <c r="G18" i="2"/>
  <c r="H18" i="2"/>
  <c r="I18" i="2"/>
  <c r="D17" i="2"/>
  <c r="E17" i="2"/>
  <c r="K16" i="2" s="1"/>
  <c r="O16" i="2" s="1"/>
  <c r="F17" i="2"/>
  <c r="G17" i="2"/>
  <c r="H17" i="2"/>
  <c r="I17" i="2"/>
  <c r="C19" i="2"/>
  <c r="C18" i="2"/>
  <c r="C17" i="2"/>
  <c r="I59" i="2"/>
  <c r="D59" i="2"/>
  <c r="I58" i="2"/>
  <c r="D58" i="2"/>
  <c r="I56" i="2"/>
  <c r="D56" i="2"/>
  <c r="I55" i="2"/>
  <c r="D55" i="2"/>
  <c r="I54" i="2"/>
  <c r="H54" i="2"/>
  <c r="G54" i="2"/>
  <c r="F54" i="2"/>
  <c r="E54" i="2"/>
  <c r="D54" i="2"/>
  <c r="C54" i="2"/>
  <c r="J51" i="2"/>
  <c r="H48" i="2"/>
  <c r="J45" i="2" s="1"/>
  <c r="F48" i="2"/>
  <c r="E48" i="2"/>
  <c r="D48" i="2"/>
  <c r="C48" i="2"/>
  <c r="H47" i="2"/>
  <c r="F47" i="2"/>
  <c r="E47" i="2"/>
  <c r="D47" i="2"/>
  <c r="C47" i="2"/>
  <c r="L46" i="2"/>
  <c r="J46" i="2"/>
  <c r="G46" i="2"/>
  <c r="L45" i="2"/>
  <c r="G45" i="2"/>
  <c r="L44" i="2"/>
  <c r="G44" i="2"/>
  <c r="L43" i="2"/>
  <c r="G43" i="2"/>
  <c r="L42" i="2"/>
  <c r="L48" i="2" s="1"/>
  <c r="J42" i="2"/>
  <c r="G42" i="2"/>
  <c r="G48" i="2" s="1"/>
  <c r="L34" i="2"/>
  <c r="P34" i="2" s="1"/>
  <c r="K35" i="2"/>
  <c r="O35" i="2" s="1"/>
  <c r="L35" i="2"/>
  <c r="P35" i="2" s="1"/>
  <c r="I35" i="2"/>
  <c r="I34" i="2"/>
  <c r="I33" i="2"/>
  <c r="K31" i="2"/>
  <c r="I31" i="2"/>
  <c r="J13" i="2"/>
  <c r="N13" i="2" s="1"/>
  <c r="I16" i="2"/>
  <c r="J15" i="2"/>
  <c r="N15" i="2" s="1"/>
  <c r="I15" i="2"/>
  <c r="J14" i="2"/>
  <c r="N14" i="2" s="1"/>
  <c r="I14" i="2"/>
  <c r="K13" i="2"/>
  <c r="O13" i="2" s="1"/>
  <c r="K12" i="2"/>
  <c r="O12" i="2" s="1"/>
  <c r="I12" i="2"/>
  <c r="O34" i="1"/>
  <c r="N34" i="1"/>
  <c r="Q34" i="1"/>
  <c r="E58" i="1"/>
  <c r="F58" i="1"/>
  <c r="G58" i="1"/>
  <c r="J51" i="1"/>
  <c r="J56" i="1" s="1"/>
  <c r="C56" i="1"/>
  <c r="D56" i="1"/>
  <c r="C57" i="1"/>
  <c r="D57" i="1"/>
  <c r="D62" i="1" s="1"/>
  <c r="C58" i="1"/>
  <c r="D58" i="1"/>
  <c r="C59" i="1"/>
  <c r="D59" i="1"/>
  <c r="D55" i="1"/>
  <c r="C55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C19" i="1"/>
  <c r="G63" i="1"/>
  <c r="I63" i="1"/>
  <c r="H54" i="1"/>
  <c r="I54" i="1"/>
  <c r="I62" i="1"/>
  <c r="I61" i="1"/>
  <c r="I56" i="1"/>
  <c r="I57" i="1"/>
  <c r="I58" i="1"/>
  <c r="I59" i="1"/>
  <c r="I55" i="1"/>
  <c r="H56" i="1"/>
  <c r="H57" i="1"/>
  <c r="H58" i="1"/>
  <c r="H63" i="1" s="1"/>
  <c r="H59" i="1"/>
  <c r="G56" i="1"/>
  <c r="G57" i="1"/>
  <c r="G62" i="1" s="1"/>
  <c r="G59" i="1"/>
  <c r="G55" i="1"/>
  <c r="H55" i="1"/>
  <c r="F54" i="1"/>
  <c r="G54" i="1"/>
  <c r="E54" i="1"/>
  <c r="D54" i="1"/>
  <c r="C54" i="1"/>
  <c r="L43" i="1"/>
  <c r="L44" i="1"/>
  <c r="L45" i="1"/>
  <c r="L46" i="1"/>
  <c r="L42" i="1"/>
  <c r="G43" i="1"/>
  <c r="G44" i="1"/>
  <c r="G48" i="1" s="1"/>
  <c r="G45" i="1"/>
  <c r="G46" i="1"/>
  <c r="G42" i="1"/>
  <c r="F47" i="1"/>
  <c r="H48" i="1"/>
  <c r="J42" i="1" s="1"/>
  <c r="F48" i="1"/>
  <c r="E48" i="1"/>
  <c r="D48" i="1"/>
  <c r="C48" i="1"/>
  <c r="H47" i="1"/>
  <c r="J45" i="1" s="1"/>
  <c r="E47" i="1"/>
  <c r="D47" i="1"/>
  <c r="C47" i="1"/>
  <c r="L16" i="1"/>
  <c r="P16" i="1" s="1"/>
  <c r="H37" i="1"/>
  <c r="G37" i="1"/>
  <c r="F37" i="1"/>
  <c r="E37" i="1"/>
  <c r="K35" i="1" s="1"/>
  <c r="O35" i="1" s="1"/>
  <c r="D37" i="1"/>
  <c r="C37" i="1"/>
  <c r="H36" i="1"/>
  <c r="G36" i="1"/>
  <c r="L33" i="1" s="1"/>
  <c r="P33" i="1" s="1"/>
  <c r="E36" i="1"/>
  <c r="D36" i="1"/>
  <c r="C36" i="1"/>
  <c r="D18" i="1"/>
  <c r="J16" i="1" s="1"/>
  <c r="N16" i="1" s="1"/>
  <c r="E59" i="1" s="1"/>
  <c r="E18" i="1"/>
  <c r="F18" i="1"/>
  <c r="G18" i="1"/>
  <c r="L15" i="1" s="1"/>
  <c r="P15" i="1" s="1"/>
  <c r="H18" i="1"/>
  <c r="C18" i="1"/>
  <c r="C17" i="1"/>
  <c r="E17" i="1"/>
  <c r="G17" i="1"/>
  <c r="H17" i="1"/>
  <c r="D17" i="1"/>
  <c r="I35" i="1"/>
  <c r="I34" i="1"/>
  <c r="I33" i="1"/>
  <c r="I31" i="1"/>
  <c r="I16" i="1"/>
  <c r="I15" i="1"/>
  <c r="I14" i="1"/>
  <c r="I12" i="1"/>
  <c r="J34" i="2" l="1"/>
  <c r="N34" i="2" s="1"/>
  <c r="E58" i="2" s="1"/>
  <c r="J32" i="2"/>
  <c r="N32" i="2" s="1"/>
  <c r="F59" i="2"/>
  <c r="E56" i="2"/>
  <c r="F56" i="2"/>
  <c r="L16" i="2"/>
  <c r="P16" i="2" s="1"/>
  <c r="G59" i="2" s="1"/>
  <c r="L15" i="2"/>
  <c r="P15" i="2" s="1"/>
  <c r="I45" i="2"/>
  <c r="K45" i="2" s="1"/>
  <c r="C58" i="2" s="1"/>
  <c r="M33" i="2"/>
  <c r="Q33" i="2" s="1"/>
  <c r="I46" i="2"/>
  <c r="K46" i="2" s="1"/>
  <c r="C59" i="2" s="1"/>
  <c r="I43" i="2"/>
  <c r="K19" i="2"/>
  <c r="G58" i="2"/>
  <c r="O31" i="2"/>
  <c r="O38" i="2" s="1"/>
  <c r="L32" i="2"/>
  <c r="P32" i="2" s="1"/>
  <c r="J43" i="2"/>
  <c r="L14" i="2"/>
  <c r="P14" i="2" s="1"/>
  <c r="K15" i="2"/>
  <c r="O15" i="2" s="1"/>
  <c r="J16" i="2"/>
  <c r="N16" i="2" s="1"/>
  <c r="M13" i="2"/>
  <c r="Q13" i="2" s="1"/>
  <c r="L33" i="2"/>
  <c r="P33" i="2" s="1"/>
  <c r="K34" i="2"/>
  <c r="O34" i="2" s="1"/>
  <c r="J35" i="2"/>
  <c r="N35" i="2" s="1"/>
  <c r="M32" i="2"/>
  <c r="Q32" i="2" s="1"/>
  <c r="J44" i="2"/>
  <c r="L47" i="2"/>
  <c r="L12" i="2"/>
  <c r="L13" i="2"/>
  <c r="P13" i="2" s="1"/>
  <c r="G56" i="2" s="1"/>
  <c r="K14" i="2"/>
  <c r="O14" i="2" s="1"/>
  <c r="O19" i="2" s="1"/>
  <c r="L31" i="2"/>
  <c r="K33" i="2"/>
  <c r="O33" i="2" s="1"/>
  <c r="J12" i="2"/>
  <c r="J31" i="2"/>
  <c r="G47" i="2"/>
  <c r="I42" i="2" s="1"/>
  <c r="K42" i="2" s="1"/>
  <c r="H61" i="1"/>
  <c r="J59" i="1"/>
  <c r="J58" i="1"/>
  <c r="J55" i="1"/>
  <c r="J57" i="1"/>
  <c r="D61" i="1"/>
  <c r="D63" i="1"/>
  <c r="C61" i="1"/>
  <c r="C62" i="1"/>
  <c r="H62" i="1"/>
  <c r="G61" i="1"/>
  <c r="L47" i="1"/>
  <c r="L48" i="1"/>
  <c r="J44" i="1"/>
  <c r="G47" i="1"/>
  <c r="I46" i="1" s="1"/>
  <c r="K46" i="1" s="1"/>
  <c r="J43" i="1"/>
  <c r="J46" i="1"/>
  <c r="L12" i="1"/>
  <c r="P12" i="1" s="1"/>
  <c r="I36" i="1"/>
  <c r="L34" i="1"/>
  <c r="P34" i="1" s="1"/>
  <c r="L13" i="1"/>
  <c r="P13" i="1" s="1"/>
  <c r="I18" i="1"/>
  <c r="K16" i="1"/>
  <c r="O16" i="1" s="1"/>
  <c r="F59" i="1" s="1"/>
  <c r="J32" i="1"/>
  <c r="N32" i="1" s="1"/>
  <c r="L14" i="1"/>
  <c r="P14" i="1" s="1"/>
  <c r="K32" i="1"/>
  <c r="O32" i="1" s="1"/>
  <c r="J33" i="1"/>
  <c r="N33" i="1" s="1"/>
  <c r="L31" i="1"/>
  <c r="P31" i="1" s="1"/>
  <c r="L35" i="1"/>
  <c r="P35" i="1" s="1"/>
  <c r="I17" i="1"/>
  <c r="M15" i="1" s="1"/>
  <c r="Q15" i="1" s="1"/>
  <c r="I37" i="1"/>
  <c r="M33" i="1" s="1"/>
  <c r="Q33" i="1" s="1"/>
  <c r="J34" i="1"/>
  <c r="K33" i="1"/>
  <c r="O33" i="1" s="1"/>
  <c r="L32" i="1"/>
  <c r="P32" i="1" s="1"/>
  <c r="M31" i="1"/>
  <c r="Q31" i="1" s="1"/>
  <c r="J31" i="1"/>
  <c r="N31" i="1" s="1"/>
  <c r="J35" i="1"/>
  <c r="N35" i="1" s="1"/>
  <c r="K34" i="1"/>
  <c r="J12" i="1"/>
  <c r="N12" i="1" s="1"/>
  <c r="E55" i="1" s="1"/>
  <c r="E63" i="1" s="1"/>
  <c r="J13" i="1"/>
  <c r="N13" i="1" s="1"/>
  <c r="E56" i="1" s="1"/>
  <c r="J14" i="1"/>
  <c r="N14" i="1" s="1"/>
  <c r="E57" i="1" s="1"/>
  <c r="J15" i="1"/>
  <c r="N15" i="1" s="1"/>
  <c r="K31" i="1"/>
  <c r="O31" i="1" s="1"/>
  <c r="K12" i="1"/>
  <c r="O12" i="1" s="1"/>
  <c r="F55" i="1" s="1"/>
  <c r="K13" i="1"/>
  <c r="O13" i="1" s="1"/>
  <c r="F56" i="1" s="1"/>
  <c r="D71" i="1" s="1"/>
  <c r="K14" i="1"/>
  <c r="O14" i="1" s="1"/>
  <c r="F57" i="1" s="1"/>
  <c r="K15" i="1"/>
  <c r="O15" i="1" s="1"/>
  <c r="H56" i="2" l="1"/>
  <c r="J38" i="2"/>
  <c r="K38" i="2"/>
  <c r="L38" i="2"/>
  <c r="C55" i="2"/>
  <c r="N31" i="2"/>
  <c r="N38" i="2" s="1"/>
  <c r="N12" i="2"/>
  <c r="J19" i="2"/>
  <c r="E59" i="2"/>
  <c r="F58" i="2"/>
  <c r="I44" i="2"/>
  <c r="K44" i="2" s="1"/>
  <c r="M34" i="2"/>
  <c r="Q34" i="2" s="1"/>
  <c r="P12" i="2"/>
  <c r="L19" i="2"/>
  <c r="M12" i="2"/>
  <c r="P31" i="2"/>
  <c r="P38" i="2" s="1"/>
  <c r="K43" i="2"/>
  <c r="C56" i="2" s="1"/>
  <c r="M31" i="2"/>
  <c r="M38" i="2" s="1"/>
  <c r="M15" i="2"/>
  <c r="Q15" i="2" s="1"/>
  <c r="H58" i="2" s="1"/>
  <c r="M14" i="2"/>
  <c r="Q14" i="2" s="1"/>
  <c r="F55" i="2"/>
  <c r="M35" i="2"/>
  <c r="Q35" i="2" s="1"/>
  <c r="M16" i="2"/>
  <c r="Q16" i="2" s="1"/>
  <c r="H59" i="2" s="1"/>
  <c r="F71" i="1"/>
  <c r="G71" i="1"/>
  <c r="F63" i="1"/>
  <c r="F61" i="1"/>
  <c r="F62" i="1"/>
  <c r="E62" i="1"/>
  <c r="E71" i="1"/>
  <c r="E61" i="1"/>
  <c r="C71" i="1"/>
  <c r="I44" i="1"/>
  <c r="K44" i="1" s="1"/>
  <c r="I45" i="1"/>
  <c r="K45" i="1" s="1"/>
  <c r="I42" i="1"/>
  <c r="K42" i="1" s="1"/>
  <c r="I43" i="1"/>
  <c r="K43" i="1" s="1"/>
  <c r="M16" i="1"/>
  <c r="Q16" i="1" s="1"/>
  <c r="M14" i="1"/>
  <c r="Q14" i="1" s="1"/>
  <c r="M12" i="1"/>
  <c r="Q12" i="1" s="1"/>
  <c r="M13" i="1"/>
  <c r="Q13" i="1" s="1"/>
  <c r="M32" i="1"/>
  <c r="Q32" i="1" s="1"/>
  <c r="M35" i="1"/>
  <c r="Q35" i="1" s="1"/>
  <c r="M34" i="1"/>
  <c r="J56" i="2" l="1"/>
  <c r="D71" i="2" s="1"/>
  <c r="J59" i="2"/>
  <c r="F71" i="2" s="1"/>
  <c r="J58" i="2"/>
  <c r="E71" i="2" s="1"/>
  <c r="M19" i="2"/>
  <c r="Q12" i="2"/>
  <c r="N19" i="2"/>
  <c r="E55" i="2"/>
  <c r="K48" i="2"/>
  <c r="G55" i="2"/>
  <c r="P19" i="2"/>
  <c r="Q31" i="2"/>
  <c r="Q38" i="2" s="1"/>
  <c r="K47" i="2"/>
  <c r="J62" i="1"/>
  <c r="J61" i="1"/>
  <c r="J63" i="1"/>
  <c r="K47" i="1"/>
  <c r="K48" i="1"/>
  <c r="H55" i="2" l="1"/>
  <c r="Q19" i="2"/>
  <c r="J55" i="2" l="1"/>
  <c r="C71" i="2" l="1"/>
</calcChain>
</file>

<file path=xl/sharedStrings.xml><?xml version="1.0" encoding="utf-8"?>
<sst xmlns="http://schemas.openxmlformats.org/spreadsheetml/2006/main" count="251" uniqueCount="83">
  <si>
    <t>Sites</t>
  </si>
  <si>
    <t>Number of vulnerabilities</t>
  </si>
  <si>
    <t>Juice shop</t>
  </si>
  <si>
    <t>Google gruyere</t>
  </si>
  <si>
    <t>NB Alerts</t>
  </si>
  <si>
    <t>True positives</t>
  </si>
  <si>
    <t>False Positives</t>
  </si>
  <si>
    <t>Vulnerabilities found</t>
  </si>
  <si>
    <t>Number of vulnerabilities found</t>
  </si>
  <si>
    <t>Duration</t>
  </si>
  <si>
    <t>Duration in seconds</t>
  </si>
  <si>
    <t>True positives min-max normalisation</t>
  </si>
  <si>
    <t>False Positives min-max normalisation</t>
  </si>
  <si>
    <t>Number of vulnerabilities found min-max normalisation</t>
  </si>
  <si>
    <t>Duration min-max normalisation</t>
  </si>
  <si>
    <t>True positives score</t>
  </si>
  <si>
    <t>False Positives score</t>
  </si>
  <si>
    <t>Number of vulnerabilities found score</t>
  </si>
  <si>
    <t>Performance score</t>
  </si>
  <si>
    <t>Tools</t>
  </si>
  <si>
    <t>Zap</t>
  </si>
  <si>
    <t>API-only XSS, Bonus Payload, Client-side XSS Protection, CSP Bypass, DOM XSS, HTTP-Header XSS, Reflected XSS, Server-side XSS Protection, Video XSS, CSRF, Cross site imaging, Email leak, Confidential document, Score board, Error handling, Deprecated Interface</t>
  </si>
  <si>
    <t>6m40s</t>
  </si>
  <si>
    <t>wapiti</t>
  </si>
  <si>
    <t>API-only XSS, Bonus Payload, Client-side XSS Protection, CSP Bypass, DOM XSS, HTTP-Header XSS, Reflected XSS, Server-side XSS Protection, Video XSS</t>
  </si>
  <si>
    <t>5s</t>
  </si>
  <si>
    <t>nikto</t>
  </si>
  <si>
    <t>Confidential document, Access log, Easter egg, Forgotten Developer Backup, Forgotten Sales Backup, Misplaced Signature File, CSRF, Cross site imaging, Email leak, Deprecated Interface</t>
  </si>
  <si>
    <t>7m6s</t>
  </si>
  <si>
    <t>golismero</t>
  </si>
  <si>
    <t>API-only XSS, Bonus Payload, Client-side XSS Protection, CSP Bypass, DOM XSS, HTTP-Header XSS, Reflected XSS, Server-side XSS Protection, Video XSS, Confidential document, Access log, Easter egg, Forgotten Developer Backup, Forgotten Sales Backup, Misplaced Signature File</t>
  </si>
  <si>
    <t>2m16s</t>
  </si>
  <si>
    <t>skipfish</t>
  </si>
  <si>
    <t xml:space="preserve">Outdated Allowlist challenge, Error handling, Missing encoding, Confidential document, Scoreboard </t>
  </si>
  <si>
    <t>13m34s</t>
  </si>
  <si>
    <t>Max</t>
  </si>
  <si>
    <t>Min</t>
  </si>
  <si>
    <t>Average</t>
  </si>
  <si>
    <t>File Upload XSS, Reflected XSS, Stored XSS, Stored XSS via HTML Attribute, Stored XSS via AJAX, Reflected XSS via AJAX, XSRF,Cookie manipulation, Elevation of privilege</t>
  </si>
  <si>
    <t>15m41s</t>
  </si>
  <si>
    <t xml:space="preserve"> File Upload XSS, Reflected XSS, Stored XSS, Stored XSS via HTML Attribute, Stored XSS via AJAX, Reflected XSS via AJAX</t>
  </si>
  <si>
    <t>8s</t>
  </si>
  <si>
    <t>File Upload XSS, Reflected XSS, Stored XSS, Stored XSS via HTML Attribute, Stored XSS via AJAX, Reflected XSS via AJAX</t>
  </si>
  <si>
    <t>56m20s</t>
  </si>
  <si>
    <t>8m1s</t>
  </si>
  <si>
    <t>File Upload XSS, Reflected XSS, Stored XSS, Stored XSS via HTML Attribute, Stored XSS via AJAX, Reflected XSS via AJAX, Elevation of privilege, XSRF,  DoS - Quit the Server, DoS - Overloading the Server, Information disclosure #1</t>
  </si>
  <si>
    <t>1h31m1s</t>
  </si>
  <si>
    <t>Ease of use score</t>
  </si>
  <si>
    <t>Remediation guidance score</t>
  </si>
  <si>
    <t>Clear Reporting of findings score</t>
  </si>
  <si>
    <t>Year of the last commit</t>
  </si>
  <si>
    <t>Years since the last commit</t>
  </si>
  <si>
    <t>Number of commits in 2023 January to July included</t>
  </si>
  <si>
    <t>Years since the last commit min-max normalisation</t>
  </si>
  <si>
    <t xml:space="preserve"> Number of commits in 2023 January to July included min-max normalisation</t>
  </si>
  <si>
    <t>Maintanability of the project score</t>
  </si>
  <si>
    <t>Report quality score</t>
  </si>
  <si>
    <t>Criteria</t>
  </si>
  <si>
    <t>Maintainability of the project</t>
  </si>
  <si>
    <t>Report quality</t>
  </si>
  <si>
    <t>False positives</t>
  </si>
  <si>
    <t>Performance</t>
  </si>
  <si>
    <t>Ease of use</t>
  </si>
  <si>
    <t>Total</t>
  </si>
  <si>
    <t>Weights</t>
  </si>
  <si>
    <t>Tools/scores</t>
  </si>
  <si>
    <t>Final score</t>
  </si>
  <si>
    <t>OWASP Zap</t>
  </si>
  <si>
    <t>Wapiti</t>
  </si>
  <si>
    <t>Golismero</t>
  </si>
  <si>
    <t>Skipfish</t>
  </si>
  <si>
    <t>Nikto</t>
  </si>
  <si>
    <t>Rank</t>
  </si>
  <si>
    <t>XSS</t>
  </si>
  <si>
    <t>Client state manipulation</t>
  </si>
  <si>
    <t>XSRF</t>
  </si>
  <si>
    <t>Cross site script inclusion XSSI</t>
  </si>
  <si>
    <t>Path traversal</t>
  </si>
  <si>
    <t>Denial of service</t>
  </si>
  <si>
    <t>Code execution</t>
  </si>
  <si>
    <t>Configuration vulnerabilities</t>
  </si>
  <si>
    <t>Ajax vulnerabilities</t>
  </si>
  <si>
    <t>google gruyere vulnerabilities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</si>
</sst>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study with all 5 tools'!$C$70:$G$70</c:f>
              <c:strCache>
                <c:ptCount val="5"/>
                <c:pt idx="0">
                  <c:v>OWASP Zap</c:v>
                </c:pt>
                <c:pt idx="1">
                  <c:v>Wapiti</c:v>
                </c:pt>
                <c:pt idx="2">
                  <c:v>Golismero</c:v>
                </c:pt>
                <c:pt idx="3">
                  <c:v>Skipfish</c:v>
                </c:pt>
                <c:pt idx="4">
                  <c:v>Nikto</c:v>
                </c:pt>
              </c:strCache>
            </c:strRef>
          </c:cat>
          <c:val>
            <c:numRef>
              <c:f>'First study with all 5 tools'!$C$71:$G$71</c:f>
              <c:numCache>
                <c:formatCode>0.00</c:formatCode>
                <c:ptCount val="5"/>
                <c:pt idx="0">
                  <c:v>4.5402878048301867</c:v>
                </c:pt>
                <c:pt idx="1">
                  <c:v>3.2205891506644675</c:v>
                </c:pt>
                <c:pt idx="2">
                  <c:v>3.0788029907708712</c:v>
                </c:pt>
                <c:pt idx="3">
                  <c:v>2.4037260341183573</c:v>
                </c:pt>
                <c:pt idx="4">
                  <c:v>2.1296139366140916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5-47C7-8542-28E8232310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7481151"/>
        <c:axId val="566419839"/>
        <c:axId val="0"/>
      </c:bar3DChart>
      <c:catAx>
        <c:axId val="5174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419839"/>
        <c:crosses val="autoZero"/>
        <c:auto val="1"/>
        <c:lblAlgn val="ctr"/>
        <c:lblOffset val="100"/>
        <c:noMultiLvlLbl val="0"/>
      </c:catAx>
      <c:valAx>
        <c:axId val="5664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4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F4-446D-9496-0B184B7B41C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F4-446D-9496-0B184B7B41C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F4-446D-9496-0B184B7B41C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F4-446D-9496-0B184B7B41C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F4-446D-9496-0B184B7B41C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4F4-446D-9496-0B184B7B41C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4F4-446D-9496-0B184B7B41C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4F4-446D-9496-0B184B7B41C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4F4-446D-9496-0B184B7B41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'First study with all 5 tools'!$C$75:$K$75</c:f>
              <c:strCache>
                <c:ptCount val="9"/>
                <c:pt idx="0">
                  <c:v>XSS</c:v>
                </c:pt>
                <c:pt idx="1">
                  <c:v>Client state manipulation</c:v>
                </c:pt>
                <c:pt idx="2">
                  <c:v>XSRF</c:v>
                </c:pt>
                <c:pt idx="3">
                  <c:v>Cross site script inclusion XSSI</c:v>
                </c:pt>
                <c:pt idx="4">
                  <c:v>Path traversal</c:v>
                </c:pt>
                <c:pt idx="5">
                  <c:v>Denial of service</c:v>
                </c:pt>
                <c:pt idx="6">
                  <c:v>Code execution</c:v>
                </c:pt>
                <c:pt idx="7">
                  <c:v>Configuration vulnerabilities</c:v>
                </c:pt>
                <c:pt idx="8">
                  <c:v>Ajax vulnerabilities</c:v>
                </c:pt>
              </c:strCache>
            </c:strRef>
          </c:cat>
          <c:val>
            <c:numRef>
              <c:f>'First study with all 5 tools'!$C$76:$K$76</c:f>
              <c:numCache>
                <c:formatCode>General</c:formatCode>
                <c:ptCount val="9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9-49EC-9DC8-DB5152BAE7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'First study with all 5 tools'!$C$70:$G$70</c:f>
              <c:strCache>
                <c:ptCount val="5"/>
                <c:pt idx="0">
                  <c:v>OWASP Zap</c:v>
                </c:pt>
                <c:pt idx="1">
                  <c:v>Wapiti</c:v>
                </c:pt>
                <c:pt idx="2">
                  <c:v>Golismero</c:v>
                </c:pt>
                <c:pt idx="3">
                  <c:v>Skipfish</c:v>
                </c:pt>
                <c:pt idx="4">
                  <c:v>Nikto</c:v>
                </c:pt>
              </c:strCache>
            </c:strRef>
          </c:cat>
          <c:val>
            <c:numRef>
              <c:f>'First study with all 5 tools'!$C$71:$G$71</c:f>
              <c:numCache>
                <c:formatCode>0.00</c:formatCode>
                <c:ptCount val="5"/>
                <c:pt idx="0">
                  <c:v>4.5402878048301867</c:v>
                </c:pt>
                <c:pt idx="1">
                  <c:v>3.2205891506644675</c:v>
                </c:pt>
                <c:pt idx="2">
                  <c:v>3.0788029907708712</c:v>
                </c:pt>
                <c:pt idx="3">
                  <c:v>2.4037260341183573</c:v>
                </c:pt>
                <c:pt idx="4">
                  <c:v>2.1296139366140916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6-4106-B5CD-24A0EFE9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0031"/>
        <c:axId val="1014824351"/>
      </c:radarChart>
      <c:catAx>
        <c:axId val="6028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824351"/>
        <c:crosses val="autoZero"/>
        <c:auto val="1"/>
        <c:lblAlgn val="ctr"/>
        <c:lblOffset val="100"/>
        <c:noMultiLvlLbl val="0"/>
      </c:catAx>
      <c:valAx>
        <c:axId val="10148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82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'Second study without Nikto'!$C$70:$F$70</c:f>
              <c:strCache>
                <c:ptCount val="4"/>
                <c:pt idx="0">
                  <c:v>OWASP Zap</c:v>
                </c:pt>
                <c:pt idx="1">
                  <c:v>Wapiti</c:v>
                </c:pt>
                <c:pt idx="2">
                  <c:v>Golismero</c:v>
                </c:pt>
                <c:pt idx="3">
                  <c:v>Skipfish</c:v>
                </c:pt>
              </c:strCache>
            </c:strRef>
          </c:cat>
          <c:val>
            <c:numRef>
              <c:f>'Second study without Nikto'!$C$71:$F$71</c:f>
              <c:numCache>
                <c:formatCode>0.00</c:formatCode>
                <c:ptCount val="4"/>
                <c:pt idx="0">
                  <c:v>4.6124488542967734</c:v>
                </c:pt>
                <c:pt idx="1">
                  <c:v>3.299846397041279</c:v>
                </c:pt>
                <c:pt idx="2">
                  <c:v>2.1879157656551311</c:v>
                </c:pt>
                <c:pt idx="3">
                  <c:v>1.5251736111111109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4-4047-9DA9-2AB6B10A41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71586607"/>
        <c:axId val="143463135"/>
        <c:axId val="0"/>
      </c:bar3DChart>
      <c:catAx>
        <c:axId val="57158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463135"/>
        <c:crosses val="autoZero"/>
        <c:auto val="1"/>
        <c:lblAlgn val="ctr"/>
        <c:lblOffset val="100"/>
        <c:noMultiLvlLbl val="0"/>
      </c:catAx>
      <c:valAx>
        <c:axId val="1434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58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OWASP ZAP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'Second study without Nikto'!$C$93:$I$93</c:f>
              <c:strCache>
                <c:ptCount val="7"/>
                <c:pt idx="0">
                  <c:v>Maintainability of the project</c:v>
                </c:pt>
                <c:pt idx="1">
                  <c:v>Report quality</c:v>
                </c:pt>
                <c:pt idx="2">
                  <c:v>True positives</c:v>
                </c:pt>
                <c:pt idx="3">
                  <c:v>False positives</c:v>
                </c:pt>
                <c:pt idx="4">
                  <c:v>Number of vulnerabilities found</c:v>
                </c:pt>
                <c:pt idx="5">
                  <c:v>Performance</c:v>
                </c:pt>
                <c:pt idx="6">
                  <c:v>Ease of use</c:v>
                </c:pt>
              </c:strCache>
            </c:strRef>
          </c:cat>
          <c:val>
            <c:numRef>
              <c:f>'Second study without Nikto'!$C$94:$I$94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4.5833333333333339</c:v>
                </c:pt>
                <c:pt idx="4">
                  <c:v>4.545454545454545</c:v>
                </c:pt>
                <c:pt idx="5">
                  <c:v>3.3516110363943872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6-496F-9BD3-003AFC2F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03583"/>
        <c:axId val="878668223"/>
      </c:radarChart>
      <c:catAx>
        <c:axId val="60830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8668223"/>
        <c:crosses val="autoZero"/>
        <c:auto val="1"/>
        <c:lblAlgn val="ctr"/>
        <c:lblOffset val="100"/>
        <c:noMultiLvlLbl val="0"/>
      </c:catAx>
      <c:valAx>
        <c:axId val="8786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830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Wapiti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'Second study without Nikto'!$C$93:$H$93</c:f>
              <c:strCache>
                <c:ptCount val="6"/>
                <c:pt idx="0">
                  <c:v>Maintainability of the project</c:v>
                </c:pt>
                <c:pt idx="1">
                  <c:v>Report quality</c:v>
                </c:pt>
                <c:pt idx="2">
                  <c:v>True positives</c:v>
                </c:pt>
                <c:pt idx="3">
                  <c:v>False positives</c:v>
                </c:pt>
                <c:pt idx="4">
                  <c:v>Number of vulnerabilities found</c:v>
                </c:pt>
                <c:pt idx="5">
                  <c:v>Performance</c:v>
                </c:pt>
              </c:strCache>
            </c:strRef>
          </c:cat>
          <c:val>
            <c:numRef>
              <c:f>'Second study without Nikto'!$C$95:$H$95</c:f>
              <c:numCache>
                <c:formatCode>General</c:formatCode>
                <c:ptCount val="6"/>
                <c:pt idx="0">
                  <c:v>4.2913385826771657</c:v>
                </c:pt>
                <c:pt idx="1">
                  <c:v>3</c:v>
                </c:pt>
                <c:pt idx="2">
                  <c:v>1.25</c:v>
                </c:pt>
                <c:pt idx="3">
                  <c:v>5</c:v>
                </c:pt>
                <c:pt idx="4">
                  <c:v>2.2727272727272725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C-49DC-9ED7-05EEF8AF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80031"/>
        <c:axId val="799771439"/>
      </c:radarChart>
      <c:catAx>
        <c:axId val="36988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9771439"/>
        <c:crosses val="autoZero"/>
        <c:auto val="1"/>
        <c:lblAlgn val="ctr"/>
        <c:lblOffset val="100"/>
        <c:noMultiLvlLbl val="0"/>
      </c:catAx>
      <c:valAx>
        <c:axId val="7997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988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Golismero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'Second study without Nikto'!$C$93:$I$93</c:f>
              <c:strCache>
                <c:ptCount val="7"/>
                <c:pt idx="0">
                  <c:v>Maintainability of the project</c:v>
                </c:pt>
                <c:pt idx="1">
                  <c:v>Report quality</c:v>
                </c:pt>
                <c:pt idx="2">
                  <c:v>True positives</c:v>
                </c:pt>
                <c:pt idx="3">
                  <c:v>False positives</c:v>
                </c:pt>
                <c:pt idx="4">
                  <c:v>Number of vulnerabilities found</c:v>
                </c:pt>
                <c:pt idx="5">
                  <c:v>Performance</c:v>
                </c:pt>
                <c:pt idx="6">
                  <c:v>Ease of use</c:v>
                </c:pt>
              </c:strCache>
            </c:strRef>
          </c:cat>
          <c:val>
            <c:numRef>
              <c:f>'Second study without Nikto'!$C$96:$I$96</c:f>
              <c:numCache>
                <c:formatCode>General</c:formatCode>
                <c:ptCount val="7"/>
                <c:pt idx="0">
                  <c:v>1.8181818181818183</c:v>
                </c:pt>
                <c:pt idx="1">
                  <c:v>4.333333333333333</c:v>
                </c:pt>
                <c:pt idx="2">
                  <c:v>1.25</c:v>
                </c:pt>
                <c:pt idx="3">
                  <c:v>0.625</c:v>
                </c:pt>
                <c:pt idx="4">
                  <c:v>2.2727272727272725</c:v>
                </c:pt>
                <c:pt idx="5">
                  <c:v>4.3783261252410473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7-474C-ACE7-498E1542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00879"/>
        <c:axId val="877209135"/>
      </c:radarChart>
      <c:catAx>
        <c:axId val="88640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7209135"/>
        <c:crosses val="autoZero"/>
        <c:auto val="1"/>
        <c:lblAlgn val="ctr"/>
        <c:lblOffset val="100"/>
        <c:noMultiLvlLbl val="0"/>
      </c:catAx>
      <c:valAx>
        <c:axId val="8772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64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Skipfish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'Second study without Nikto'!$C$93:$I$93</c:f>
              <c:strCache>
                <c:ptCount val="7"/>
                <c:pt idx="0">
                  <c:v>Maintainability of the project</c:v>
                </c:pt>
                <c:pt idx="1">
                  <c:v>Report quality</c:v>
                </c:pt>
                <c:pt idx="2">
                  <c:v>True positives</c:v>
                </c:pt>
                <c:pt idx="3">
                  <c:v>False positives</c:v>
                </c:pt>
                <c:pt idx="4">
                  <c:v>Number of vulnerabilities found</c:v>
                </c:pt>
                <c:pt idx="5">
                  <c:v>Performance</c:v>
                </c:pt>
                <c:pt idx="6">
                  <c:v>Ease of use</c:v>
                </c:pt>
              </c:strCache>
            </c:strRef>
          </c:cat>
          <c:val>
            <c:numRef>
              <c:f>'Second study without Nikto'!$C$97:$I$97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3.020833333333333</c:v>
                </c:pt>
                <c:pt idx="3">
                  <c:v>0</c:v>
                </c:pt>
                <c:pt idx="4">
                  <c:v>2.5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F-49D7-8EF6-44B2D5FC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8527"/>
        <c:axId val="884503375"/>
      </c:radarChart>
      <c:catAx>
        <c:axId val="100430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4503375"/>
        <c:crosses val="autoZero"/>
        <c:auto val="1"/>
        <c:lblAlgn val="ctr"/>
        <c:lblOffset val="100"/>
        <c:noMultiLvlLbl val="0"/>
      </c:catAx>
      <c:valAx>
        <c:axId val="8845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30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Nikto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'Second study without Nikto'!$C$93:$I$93</c:f>
              <c:strCache>
                <c:ptCount val="7"/>
                <c:pt idx="0">
                  <c:v>Maintainability of the project</c:v>
                </c:pt>
                <c:pt idx="1">
                  <c:v>Report quality</c:v>
                </c:pt>
                <c:pt idx="2">
                  <c:v>True positives</c:v>
                </c:pt>
                <c:pt idx="3">
                  <c:v>False positives</c:v>
                </c:pt>
                <c:pt idx="4">
                  <c:v>Number of vulnerabilities found</c:v>
                </c:pt>
                <c:pt idx="5">
                  <c:v>Performance</c:v>
                </c:pt>
                <c:pt idx="6">
                  <c:v>Ease of use</c:v>
                </c:pt>
              </c:strCache>
            </c:strRef>
          </c:cat>
          <c:val>
            <c:numRef>
              <c:f>'Second study without Nikto'!$C$98:$I$98</c:f>
              <c:numCache>
                <c:formatCode>General</c:formatCode>
                <c:ptCount val="7"/>
                <c:pt idx="0">
                  <c:v>1.5909090909090908</c:v>
                </c:pt>
                <c:pt idx="1">
                  <c:v>1</c:v>
                </c:pt>
                <c:pt idx="2">
                  <c:v>4.1666666666666661</c:v>
                </c:pt>
                <c:pt idx="3">
                  <c:v>0</c:v>
                </c:pt>
                <c:pt idx="4">
                  <c:v>2.7272727272727271</c:v>
                </c:pt>
                <c:pt idx="5">
                  <c:v>2.1530731090743531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8-40A8-B2CB-4DCA2DEA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92719"/>
        <c:axId val="1002318527"/>
      </c:radarChart>
      <c:catAx>
        <c:axId val="11431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318527"/>
        <c:crosses val="autoZero"/>
        <c:auto val="1"/>
        <c:lblAlgn val="ctr"/>
        <c:lblOffset val="100"/>
        <c:noMultiLvlLbl val="0"/>
      </c:catAx>
      <c:valAx>
        <c:axId val="10023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31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674493</xdr:colOff>
      <xdr:row>79</xdr:row>
      <xdr:rowOff>65072</xdr:rowOff>
    </xdr:from>
    <xdr:to>
      <xdr:col>3</xdr:col>
      <xdr:colOff>496101</xdr:colOff>
      <xdr:row>94</xdr:row>
      <xdr:rowOff>63781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515E949-53B6-3E1C-88C0-0F81D978F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1947333</xdr:colOff>
      <xdr:row>82</xdr:row>
      <xdr:rowOff>32455</xdr:rowOff>
    </xdr:from>
    <xdr:to>
      <xdr:col>8</xdr:col>
      <xdr:colOff>1834444</xdr:colOff>
      <xdr:row>97</xdr:row>
      <xdr:rowOff>23988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C3AE97D-5FDF-9E31-EF89-C47F95444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1487359</xdr:colOff>
      <xdr:row>79</xdr:row>
      <xdr:rowOff>175691</xdr:rowOff>
    </xdr:from>
    <xdr:to>
      <xdr:col>6</xdr:col>
      <xdr:colOff>226873</xdr:colOff>
      <xdr:row>95</xdr:row>
      <xdr:rowOff>35444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A53DFEE-80AB-AE2F-82DD-7528FF1C7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90798</xdr:colOff>
      <xdr:row>75</xdr:row>
      <xdr:rowOff>131515</xdr:rowOff>
    </xdr:from>
    <xdr:to>
      <xdr:col>6</xdr:col>
      <xdr:colOff>534406</xdr:colOff>
      <xdr:row>90</xdr:row>
      <xdr:rowOff>123197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544F25-902B-FE79-5771-77D35B2AE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1798407</xdr:colOff>
      <xdr:row>98</xdr:row>
      <xdr:rowOff>172248</xdr:rowOff>
    </xdr:from>
    <xdr:to>
      <xdr:col>3</xdr:col>
      <xdr:colOff>247514</xdr:colOff>
      <xdr:row>113</xdr:row>
      <xdr:rowOff>107917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D13F0E-46F8-7F4B-3E58-186454E88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645124</xdr:colOff>
      <xdr:row>99</xdr:row>
      <xdr:rowOff>36443</xdr:rowOff>
    </xdr:from>
    <xdr:to>
      <xdr:col>5</xdr:col>
      <xdr:colOff>1167848</xdr:colOff>
      <xdr:row>114</xdr:row>
      <xdr:rowOff>18774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AF29B4D-BC42-659D-828B-5B68AA03D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35947</xdr:colOff>
      <xdr:row>99</xdr:row>
      <xdr:rowOff>127861</xdr:rowOff>
    </xdr:from>
    <xdr:to>
      <xdr:col>8</xdr:col>
      <xdr:colOff>409628</xdr:colOff>
      <xdr:row>114</xdr:row>
      <xdr:rowOff>126570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A8CB446-8E38-A083-194E-AD75D90E4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2184400</xdr:colOff>
      <xdr:row>115</xdr:row>
      <xdr:rowOff>127000</xdr:rowOff>
    </xdr:from>
    <xdr:to>
      <xdr:col>3</xdr:col>
      <xdr:colOff>609600</xdr:colOff>
      <xdr:row>130</xdr:row>
      <xdr:rowOff>12700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A7A1720-D799-C74F-809D-6B58FA827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1835509</xdr:colOff>
      <xdr:row>115</xdr:row>
      <xdr:rowOff>150004</xdr:rowOff>
    </xdr:from>
    <xdr:to>
      <xdr:col>6</xdr:col>
      <xdr:colOff>321094</xdr:colOff>
      <xdr:row>131</xdr:row>
      <xdr:rowOff>17732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677692-8600-3E40-19EA-237AD7FCF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5FFD-E137-4350-B406-DBE8BD422F18}">
  <dimension ref="A1:AK98"/>
  <sheetViews>
    <sheetView tabSelected="1" topLeftCell="A35" zoomScale="50" zoomScaleNormal="53" workbookViewId="0">
      <selection activeCell="D46" sqref="D46"/>
    </sheetView>
  </sheetViews>
  <sheetFormatPr baseColWidth="10" defaultColWidth="11.453125" defaultRowHeight="14.5" x14ac:dyDescent="0.35"/>
  <cols>
    <col min="1" max="1" width="15.81640625" style="1" customWidth="1"/>
    <col min="2" max="2" width="34.1796875" style="1" customWidth="1"/>
    <col min="3" max="3" width="34" style="1" customWidth="1"/>
    <col min="4" max="4" width="25.54296875" style="1" customWidth="1"/>
    <col min="5" max="5" width="29.1796875" style="1" customWidth="1"/>
    <col min="6" max="6" width="28.7265625" style="1" customWidth="1"/>
    <col min="7" max="7" width="34.453125" style="1" customWidth="1"/>
    <col min="8" max="8" width="32.54296875" style="1" customWidth="1"/>
    <col min="9" max="9" width="33.1796875" style="1" customWidth="1"/>
    <col min="10" max="10" width="39.1796875" style="1" customWidth="1"/>
    <col min="11" max="11" width="58.81640625" style="1" customWidth="1"/>
    <col min="12" max="12" width="48.453125" customWidth="1"/>
    <col min="13" max="13" width="33.54296875" customWidth="1"/>
    <col min="14" max="14" width="41.1796875" customWidth="1"/>
    <col min="15" max="15" width="28.81640625" customWidth="1"/>
    <col min="16" max="16" width="42.1796875" customWidth="1"/>
    <col min="17" max="17" width="17.81640625" customWidth="1"/>
    <col min="18" max="18" width="37.54296875" customWidth="1"/>
    <col min="19" max="19" width="27" customWidth="1"/>
  </cols>
  <sheetData>
    <row r="1" spans="1:37" x14ac:dyDescent="0.35">
      <c r="A1" s="1" t="s">
        <v>0</v>
      </c>
      <c r="B1" s="1" t="s">
        <v>1</v>
      </c>
    </row>
    <row r="2" spans="1:37" x14ac:dyDescent="0.35">
      <c r="A2" s="1" t="s">
        <v>2</v>
      </c>
      <c r="B2" s="1">
        <v>102</v>
      </c>
    </row>
    <row r="3" spans="1:37" x14ac:dyDescent="0.35">
      <c r="A3" s="1" t="s">
        <v>3</v>
      </c>
      <c r="B3" s="1">
        <v>20</v>
      </c>
    </row>
    <row r="10" spans="1:37" x14ac:dyDescent="0.35">
      <c r="A10" s="1" t="s">
        <v>2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M10" s="1" t="s">
        <v>14</v>
      </c>
      <c r="N10" s="1" t="s">
        <v>15</v>
      </c>
      <c r="O10" s="1" t="s">
        <v>16</v>
      </c>
      <c r="P10" s="1" t="s">
        <v>17</v>
      </c>
      <c r="Q10" s="1" t="s">
        <v>18</v>
      </c>
      <c r="R10" s="1"/>
      <c r="S10" s="1"/>
    </row>
    <row r="11" spans="1:37" x14ac:dyDescent="0.35">
      <c r="B11" s="1" t="s">
        <v>19</v>
      </c>
    </row>
    <row r="12" spans="1:37" ht="130.5" x14ac:dyDescent="0.35">
      <c r="B12" s="1" t="s">
        <v>20</v>
      </c>
      <c r="C12" s="1">
        <v>9</v>
      </c>
      <c r="D12" s="1">
        <v>9</v>
      </c>
      <c r="E12" s="1">
        <v>0</v>
      </c>
      <c r="F12" s="1" t="s">
        <v>21</v>
      </c>
      <c r="G12" s="1">
        <v>16</v>
      </c>
      <c r="H12" s="1" t="s">
        <v>22</v>
      </c>
      <c r="I12" s="1">
        <f>6*60+40</f>
        <v>400</v>
      </c>
      <c r="J12" s="1">
        <f>(D12-D18)/(D17-D18)</f>
        <v>1</v>
      </c>
      <c r="K12" s="1">
        <f>(E12-E18)/(E17-E18)</f>
        <v>0</v>
      </c>
      <c r="L12">
        <f>(G12-G18)/(G17-G18)</f>
        <v>1</v>
      </c>
      <c r="M12">
        <f>(I12-I18)/(I17-I18)</f>
        <v>0.48825710754017304</v>
      </c>
      <c r="N12">
        <f>J12*5</f>
        <v>5</v>
      </c>
      <c r="O12">
        <f>5*(1-K12)</f>
        <v>5</v>
      </c>
      <c r="P12">
        <f>5*L12</f>
        <v>5</v>
      </c>
      <c r="Q12">
        <f>5*(1-M12)</f>
        <v>2.5587144622991347</v>
      </c>
      <c r="AF12" s="1"/>
      <c r="AG12" s="1"/>
      <c r="AH12" s="1"/>
      <c r="AI12" s="1"/>
      <c r="AJ12" s="1"/>
      <c r="AK12" s="1"/>
    </row>
    <row r="13" spans="1:37" ht="72.5" x14ac:dyDescent="0.35">
      <c r="B13" s="1" t="s">
        <v>23</v>
      </c>
      <c r="C13" s="1">
        <v>3</v>
      </c>
      <c r="D13" s="1">
        <v>3</v>
      </c>
      <c r="E13" s="1">
        <v>0</v>
      </c>
      <c r="F13" s="1" t="s">
        <v>24</v>
      </c>
      <c r="G13" s="1">
        <v>9</v>
      </c>
      <c r="H13" s="1" t="s">
        <v>25</v>
      </c>
      <c r="I13" s="1">
        <v>5</v>
      </c>
      <c r="J13" s="1">
        <f>(D13-D18)/(D17-D18)</f>
        <v>0</v>
      </c>
      <c r="K13" s="1">
        <f>(E13-E18)/(E17-E18)</f>
        <v>0</v>
      </c>
      <c r="L13">
        <f>(G13-G18)/(G17-G18)</f>
        <v>0.36363636363636365</v>
      </c>
      <c r="M13">
        <f>(I13-I18)/(I17-I18)</f>
        <v>0</v>
      </c>
      <c r="N13">
        <f t="shared" ref="N13:N16" si="0">J13*5</f>
        <v>0</v>
      </c>
      <c r="O13">
        <f t="shared" ref="O13:O16" si="1">5*(1-K13)</f>
        <v>5</v>
      </c>
      <c r="P13">
        <f t="shared" ref="P13:P16" si="2">5*L13</f>
        <v>1.8181818181818183</v>
      </c>
      <c r="Q13">
        <f t="shared" ref="Q13:Q16" si="3">5*(1-M13)</f>
        <v>5</v>
      </c>
    </row>
    <row r="14" spans="1:37" ht="101.5" x14ac:dyDescent="0.35">
      <c r="B14" s="1" t="s">
        <v>26</v>
      </c>
      <c r="C14" s="1">
        <v>151</v>
      </c>
      <c r="D14" s="1">
        <v>7</v>
      </c>
      <c r="E14" s="1">
        <v>144</v>
      </c>
      <c r="F14" s="1" t="s">
        <v>27</v>
      </c>
      <c r="G14" s="1">
        <v>11</v>
      </c>
      <c r="H14" s="1" t="s">
        <v>28</v>
      </c>
      <c r="I14" s="1">
        <f>7*60+6</f>
        <v>426</v>
      </c>
      <c r="J14" s="1">
        <f>(D14-D18)/(D17-D18)</f>
        <v>0.66666666666666663</v>
      </c>
      <c r="K14" s="1">
        <f>(E14-E18)/(E17-E18)</f>
        <v>1</v>
      </c>
      <c r="L14">
        <f>(G14-G18)/(G17-G18)</f>
        <v>0.54545454545454541</v>
      </c>
      <c r="M14">
        <f>(I14-I18)/(I17-I18)</f>
        <v>0.52039555006180471</v>
      </c>
      <c r="N14">
        <f t="shared" si="0"/>
        <v>3.333333333333333</v>
      </c>
      <c r="O14">
        <f t="shared" si="1"/>
        <v>0</v>
      </c>
      <c r="P14">
        <f t="shared" si="2"/>
        <v>2.7272727272727271</v>
      </c>
      <c r="Q14">
        <f t="shared" si="3"/>
        <v>2.3980222496909764</v>
      </c>
    </row>
    <row r="15" spans="1:37" ht="145" x14ac:dyDescent="0.35">
      <c r="B15" s="1" t="s">
        <v>29</v>
      </c>
      <c r="C15" s="1">
        <v>11</v>
      </c>
      <c r="D15" s="1">
        <v>6</v>
      </c>
      <c r="E15" s="1">
        <v>5</v>
      </c>
      <c r="F15" s="1" t="s">
        <v>30</v>
      </c>
      <c r="G15" s="1">
        <v>15</v>
      </c>
      <c r="H15" s="1" t="s">
        <v>31</v>
      </c>
      <c r="I15" s="1">
        <f>2*60+16</f>
        <v>136</v>
      </c>
      <c r="J15" s="1">
        <f>(D15-D18)/(D17-D18)</f>
        <v>0.5</v>
      </c>
      <c r="K15" s="1">
        <f>(E15-E18)/(E17-E18)</f>
        <v>3.4722222222222224E-2</v>
      </c>
      <c r="L15">
        <f>(G15-G18)/(G17-G18)</f>
        <v>0.90909090909090906</v>
      </c>
      <c r="M15">
        <f>(I15-I18)/(I17-I18)</f>
        <v>0.16192830655129789</v>
      </c>
      <c r="N15">
        <f t="shared" si="0"/>
        <v>2.5</v>
      </c>
      <c r="O15">
        <f t="shared" si="1"/>
        <v>4.8263888888888893</v>
      </c>
      <c r="P15">
        <f t="shared" si="2"/>
        <v>4.545454545454545</v>
      </c>
      <c r="Q15">
        <f t="shared" si="3"/>
        <v>4.1903584672435104</v>
      </c>
    </row>
    <row r="16" spans="1:37" ht="58" x14ac:dyDescent="0.35">
      <c r="B16" s="1" t="s">
        <v>32</v>
      </c>
      <c r="C16" s="1">
        <v>11</v>
      </c>
      <c r="D16" s="1">
        <v>5</v>
      </c>
      <c r="E16" s="1">
        <v>6</v>
      </c>
      <c r="F16" s="1" t="s">
        <v>33</v>
      </c>
      <c r="G16" s="1">
        <v>5</v>
      </c>
      <c r="H16" s="1" t="s">
        <v>34</v>
      </c>
      <c r="I16" s="1">
        <f>13*60+34</f>
        <v>814</v>
      </c>
      <c r="J16" s="1">
        <f>(D16-D18)/(D17-D18)</f>
        <v>0.33333333333333331</v>
      </c>
      <c r="K16" s="1">
        <f>(E16-E18)/(E17-E18)</f>
        <v>4.1666666666666664E-2</v>
      </c>
      <c r="L16">
        <f>(G16-G18)/(G17-G18)</f>
        <v>0</v>
      </c>
      <c r="M16">
        <f>(I16-I18)/(I17-I18)</f>
        <v>1</v>
      </c>
      <c r="N16">
        <f t="shared" si="0"/>
        <v>1.6666666666666665</v>
      </c>
      <c r="O16">
        <f t="shared" si="1"/>
        <v>4.791666666666667</v>
      </c>
      <c r="P16">
        <f t="shared" si="2"/>
        <v>0</v>
      </c>
      <c r="Q16">
        <f t="shared" si="3"/>
        <v>0</v>
      </c>
    </row>
    <row r="17" spans="1:18" x14ac:dyDescent="0.35">
      <c r="B17" s="1" t="s">
        <v>35</v>
      </c>
      <c r="C17" s="1">
        <f>MAX(C12:C16)</f>
        <v>151</v>
      </c>
      <c r="D17" s="1">
        <f>MAX(D12:D16)</f>
        <v>9</v>
      </c>
      <c r="E17" s="1">
        <f t="shared" ref="E17:I17" si="4">MAX(E12:E16)</f>
        <v>144</v>
      </c>
      <c r="G17" s="1">
        <f t="shared" si="4"/>
        <v>16</v>
      </c>
      <c r="H17" s="1">
        <f t="shared" si="4"/>
        <v>0</v>
      </c>
      <c r="I17" s="1">
        <f t="shared" si="4"/>
        <v>814</v>
      </c>
      <c r="L17" s="1"/>
      <c r="M17" s="1"/>
    </row>
    <row r="18" spans="1:18" x14ac:dyDescent="0.35">
      <c r="B18" s="1" t="s">
        <v>36</v>
      </c>
      <c r="C18" s="1">
        <f>MIN(C12:C16)</f>
        <v>3</v>
      </c>
      <c r="D18" s="1">
        <f t="shared" ref="D18:I18" si="5">MIN(D12:D16)</f>
        <v>3</v>
      </c>
      <c r="E18" s="1">
        <f t="shared" si="5"/>
        <v>0</v>
      </c>
      <c r="F18" s="1">
        <f t="shared" si="5"/>
        <v>0</v>
      </c>
      <c r="G18" s="1">
        <f t="shared" si="5"/>
        <v>5</v>
      </c>
      <c r="H18" s="1">
        <f t="shared" si="5"/>
        <v>0</v>
      </c>
      <c r="I18" s="1">
        <f t="shared" si="5"/>
        <v>5</v>
      </c>
      <c r="L18" s="1"/>
      <c r="M18" s="1"/>
    </row>
    <row r="19" spans="1:18" x14ac:dyDescent="0.35">
      <c r="B19" s="1" t="s">
        <v>37</v>
      </c>
      <c r="C19" s="1">
        <f>AVERAGEA(C12:C16)</f>
        <v>37</v>
      </c>
      <c r="D19" s="1">
        <f t="shared" ref="D19:Q19" si="6">AVERAGEA(D12:D16)</f>
        <v>6</v>
      </c>
      <c r="E19" s="1">
        <f t="shared" si="6"/>
        <v>31</v>
      </c>
      <c r="F19" s="1">
        <f t="shared" si="6"/>
        <v>0</v>
      </c>
      <c r="G19" s="1">
        <f t="shared" si="6"/>
        <v>11.2</v>
      </c>
      <c r="H19" s="1">
        <f t="shared" si="6"/>
        <v>0</v>
      </c>
      <c r="I19" s="1">
        <f t="shared" si="6"/>
        <v>356.2</v>
      </c>
      <c r="J19" s="1">
        <f t="shared" si="6"/>
        <v>0.5</v>
      </c>
      <c r="K19" s="1">
        <f t="shared" si="6"/>
        <v>0.21527777777777782</v>
      </c>
      <c r="L19" s="1">
        <f t="shared" si="6"/>
        <v>0.56363636363636371</v>
      </c>
      <c r="M19" s="1">
        <f t="shared" si="6"/>
        <v>0.43411619283065511</v>
      </c>
      <c r="N19" s="1">
        <f t="shared" si="6"/>
        <v>2.4999999999999996</v>
      </c>
      <c r="O19" s="1">
        <f t="shared" si="6"/>
        <v>3.9236111111111116</v>
      </c>
      <c r="P19" s="1">
        <f t="shared" si="6"/>
        <v>2.8181818181818179</v>
      </c>
      <c r="Q19" s="1">
        <f t="shared" si="6"/>
        <v>2.8294190358467239</v>
      </c>
    </row>
    <row r="22" spans="1:18" x14ac:dyDescent="0.35">
      <c r="L22" s="1"/>
      <c r="M22" s="1"/>
      <c r="N22" s="1"/>
      <c r="O22" s="1"/>
      <c r="P22" s="1"/>
      <c r="Q22" s="1"/>
      <c r="R22" s="1"/>
    </row>
    <row r="29" spans="1:18" x14ac:dyDescent="0.35">
      <c r="A29" s="1" t="s">
        <v>3</v>
      </c>
      <c r="C29" s="1" t="s">
        <v>4</v>
      </c>
      <c r="D29" s="1" t="s">
        <v>5</v>
      </c>
      <c r="E29" s="1" t="s">
        <v>6</v>
      </c>
      <c r="F29" s="1" t="s">
        <v>7</v>
      </c>
      <c r="G29" s="1" t="s">
        <v>8</v>
      </c>
      <c r="H29" s="1" t="s">
        <v>9</v>
      </c>
      <c r="I29" s="1" t="s">
        <v>10</v>
      </c>
      <c r="J29" s="1" t="s">
        <v>11</v>
      </c>
      <c r="K29" s="1" t="s">
        <v>12</v>
      </c>
      <c r="L29" s="1" t="s">
        <v>13</v>
      </c>
      <c r="M29" s="1" t="s">
        <v>14</v>
      </c>
      <c r="N29" s="1" t="s">
        <v>15</v>
      </c>
      <c r="O29" s="1" t="s">
        <v>16</v>
      </c>
      <c r="P29" s="1" t="s">
        <v>17</v>
      </c>
      <c r="Q29" s="1" t="s">
        <v>18</v>
      </c>
      <c r="R29" s="1"/>
    </row>
    <row r="30" spans="1:18" x14ac:dyDescent="0.35">
      <c r="B30" s="1" t="s">
        <v>19</v>
      </c>
    </row>
    <row r="31" spans="1:18" ht="87" x14ac:dyDescent="0.35">
      <c r="B31" s="1" t="s">
        <v>20</v>
      </c>
      <c r="C31" s="1">
        <v>18</v>
      </c>
      <c r="D31" s="1">
        <v>16</v>
      </c>
      <c r="E31" s="1">
        <v>2</v>
      </c>
      <c r="F31" s="1" t="s">
        <v>38</v>
      </c>
      <c r="G31" s="1">
        <v>9</v>
      </c>
      <c r="H31" s="1" t="s">
        <v>39</v>
      </c>
      <c r="I31" s="1">
        <f>15*60+41</f>
        <v>941</v>
      </c>
      <c r="J31" s="1">
        <f>(D31-D37)/(D36-D37)</f>
        <v>0.69565217391304346</v>
      </c>
      <c r="K31" s="1">
        <f>(E31-E37)/(E36-E37)</f>
        <v>8.6805555555555551E-4</v>
      </c>
      <c r="L31">
        <f>(G31-G37)/(G36-G37)</f>
        <v>0.81818181818181823</v>
      </c>
      <c r="M31">
        <f>(I31-I37)/(I36-I37)</f>
        <v>0.17109847790207225</v>
      </c>
      <c r="N31">
        <f>J31*5</f>
        <v>3.4782608695652173</v>
      </c>
      <c r="O31">
        <f>5*(1-K31)</f>
        <v>4.9956597222222223</v>
      </c>
      <c r="P31">
        <f>5*L31</f>
        <v>4.0909090909090908</v>
      </c>
      <c r="Q31">
        <f>5*(1-M31)</f>
        <v>4.1445076104896392</v>
      </c>
    </row>
    <row r="32" spans="1:18" ht="58" x14ac:dyDescent="0.35">
      <c r="B32" s="1" t="s">
        <v>23</v>
      </c>
      <c r="C32" s="1">
        <v>8</v>
      </c>
      <c r="D32" s="1">
        <v>8</v>
      </c>
      <c r="E32" s="1">
        <v>0</v>
      </c>
      <c r="F32" s="1" t="s">
        <v>40</v>
      </c>
      <c r="G32" s="1">
        <v>6</v>
      </c>
      <c r="H32" s="1" t="s">
        <v>41</v>
      </c>
      <c r="I32" s="1">
        <v>8</v>
      </c>
      <c r="J32" s="1">
        <f>(D32-D37)/(D36-D37)</f>
        <v>0.34782608695652173</v>
      </c>
      <c r="K32" s="1">
        <f>(E32-E37)/(E36-E37)</f>
        <v>0</v>
      </c>
      <c r="L32">
        <f>(G32-G37)/(G36-G37)</f>
        <v>0.54545454545454541</v>
      </c>
      <c r="M32">
        <f>(I32-I37)/(I36-I37)</f>
        <v>0</v>
      </c>
      <c r="N32">
        <f t="shared" ref="N32:N35" si="7">J32*5</f>
        <v>1.7391304347826086</v>
      </c>
      <c r="O32">
        <f t="shared" ref="O32:O35" si="8">5*(1-K32)</f>
        <v>5</v>
      </c>
      <c r="P32">
        <f t="shared" ref="P32:P35" si="9">5*L32</f>
        <v>2.7272727272727271</v>
      </c>
      <c r="Q32">
        <f t="shared" ref="Q32:Q35" si="10">5*(1-M32)</f>
        <v>5</v>
      </c>
    </row>
    <row r="33" spans="2:17" ht="58" x14ac:dyDescent="0.35">
      <c r="B33" s="1" t="s">
        <v>26</v>
      </c>
      <c r="C33" s="1">
        <v>2327</v>
      </c>
      <c r="D33" s="1">
        <v>23</v>
      </c>
      <c r="E33" s="1">
        <v>2304</v>
      </c>
      <c r="F33" s="1" t="s">
        <v>42</v>
      </c>
      <c r="G33" s="1">
        <v>6</v>
      </c>
      <c r="H33" s="1" t="s">
        <v>43</v>
      </c>
      <c r="I33" s="1">
        <f>56*60+20</f>
        <v>3380</v>
      </c>
      <c r="J33" s="1">
        <f>(D33-D37)/(D36-D37)</f>
        <v>1</v>
      </c>
      <c r="K33" s="1">
        <f>(E33-E37)/(E36-E37)</f>
        <v>1</v>
      </c>
      <c r="L33">
        <f>(G33-G37)/(G36-G37)</f>
        <v>0.54545454545454541</v>
      </c>
      <c r="M33">
        <f>(I33-I37)/(I36-I37)</f>
        <v>0.61837520630845411</v>
      </c>
      <c r="N33">
        <f t="shared" si="7"/>
        <v>5</v>
      </c>
      <c r="O33">
        <f t="shared" si="8"/>
        <v>0</v>
      </c>
      <c r="P33">
        <f t="shared" si="9"/>
        <v>2.7272727272727271</v>
      </c>
      <c r="Q33">
        <f t="shared" si="10"/>
        <v>1.9081239684577294</v>
      </c>
    </row>
    <row r="34" spans="2:17" x14ac:dyDescent="0.35">
      <c r="B34" s="1" t="s">
        <v>29</v>
      </c>
      <c r="C34" s="1">
        <v>11</v>
      </c>
      <c r="D34" s="1">
        <v>0</v>
      </c>
      <c r="E34" s="1">
        <v>11</v>
      </c>
      <c r="G34" s="1">
        <v>0</v>
      </c>
      <c r="H34" s="1" t="s">
        <v>44</v>
      </c>
      <c r="I34" s="1">
        <f>8*60+1</f>
        <v>481</v>
      </c>
      <c r="J34" s="1">
        <f>(D34-D37)/(D36-D37)</f>
        <v>0</v>
      </c>
      <c r="K34" s="1">
        <f>(E34-E37)/(E36-E37)</f>
        <v>4.7743055555555559E-3</v>
      </c>
      <c r="L34">
        <f>(G34-G37)/(G36-G37)</f>
        <v>0</v>
      </c>
      <c r="M34">
        <f>(I34-I37)/(I36-I37)</f>
        <v>8.6741243352283143E-2</v>
      </c>
      <c r="N34">
        <f t="shared" si="7"/>
        <v>0</v>
      </c>
      <c r="O34">
        <f t="shared" si="8"/>
        <v>4.9761284722222223</v>
      </c>
      <c r="P34">
        <f t="shared" si="9"/>
        <v>0</v>
      </c>
      <c r="Q34">
        <f t="shared" si="10"/>
        <v>4.5662937832385841</v>
      </c>
    </row>
    <row r="35" spans="2:17" ht="101.5" x14ac:dyDescent="0.35">
      <c r="B35" s="1" t="s">
        <v>32</v>
      </c>
      <c r="C35" s="1">
        <v>26</v>
      </c>
      <c r="D35" s="1">
        <v>14</v>
      </c>
      <c r="E35" s="1">
        <v>12</v>
      </c>
      <c r="F35" s="1" t="s">
        <v>45</v>
      </c>
      <c r="G35" s="1">
        <v>11</v>
      </c>
      <c r="H35" s="1" t="s">
        <v>46</v>
      </c>
      <c r="I35" s="1">
        <f>(60+31)*60 +1</f>
        <v>5461</v>
      </c>
      <c r="J35" s="1">
        <f>(D35-D37)/(D36-D37)</f>
        <v>0.60869565217391308</v>
      </c>
      <c r="K35" s="1">
        <f>(E35-E37)/(E36-E37)</f>
        <v>5.208333333333333E-3</v>
      </c>
      <c r="L35">
        <f>(G35-G37)/(G36-G37)</f>
        <v>1</v>
      </c>
      <c r="M35">
        <f>(I35-I37)/(I36-I37)</f>
        <v>1</v>
      </c>
      <c r="N35">
        <f t="shared" si="7"/>
        <v>3.0434782608695654</v>
      </c>
      <c r="O35">
        <f t="shared" si="8"/>
        <v>4.973958333333333</v>
      </c>
      <c r="P35">
        <f t="shared" si="9"/>
        <v>5</v>
      </c>
      <c r="Q35">
        <f t="shared" si="10"/>
        <v>0</v>
      </c>
    </row>
    <row r="36" spans="2:17" x14ac:dyDescent="0.35">
      <c r="B36" s="1" t="s">
        <v>35</v>
      </c>
      <c r="C36" s="1">
        <f>MAX(C31:C35)</f>
        <v>2327</v>
      </c>
      <c r="D36" s="1">
        <f>MAX(D31:D35)</f>
        <v>23</v>
      </c>
      <c r="E36" s="1">
        <f t="shared" ref="E36" si="11">MAX(E31:E35)</f>
        <v>2304</v>
      </c>
      <c r="G36" s="1">
        <f t="shared" ref="G36" si="12">MAX(G31:G35)</f>
        <v>11</v>
      </c>
      <c r="H36" s="1">
        <f t="shared" ref="H36" si="13">MAX(H31:H35)</f>
        <v>0</v>
      </c>
      <c r="I36" s="1">
        <f t="shared" ref="I36" si="14">MAX(I31:I35)</f>
        <v>5461</v>
      </c>
      <c r="L36" s="1"/>
      <c r="M36" s="1"/>
    </row>
    <row r="37" spans="2:17" x14ac:dyDescent="0.35">
      <c r="B37" s="1" t="s">
        <v>36</v>
      </c>
      <c r="C37" s="1">
        <f>MIN(C31:C35)</f>
        <v>8</v>
      </c>
      <c r="D37" s="1">
        <f t="shared" ref="D37:I37" si="15">MIN(D31:D35)</f>
        <v>0</v>
      </c>
      <c r="E37" s="1">
        <f t="shared" si="15"/>
        <v>0</v>
      </c>
      <c r="F37" s="1">
        <f t="shared" si="15"/>
        <v>0</v>
      </c>
      <c r="G37" s="1">
        <f t="shared" si="15"/>
        <v>0</v>
      </c>
      <c r="H37" s="1">
        <f t="shared" si="15"/>
        <v>0</v>
      </c>
      <c r="I37" s="1">
        <f t="shared" si="15"/>
        <v>8</v>
      </c>
      <c r="L37" s="1"/>
      <c r="M37" s="1"/>
    </row>
    <row r="38" spans="2:17" x14ac:dyDescent="0.35">
      <c r="B38" s="1" t="s">
        <v>37</v>
      </c>
      <c r="C38" s="1">
        <f>AVERAGEA(C31:C35)</f>
        <v>478</v>
      </c>
      <c r="D38" s="1">
        <f t="shared" ref="D38:Q38" si="16">AVERAGEA(D31:D35)</f>
        <v>12.2</v>
      </c>
      <c r="E38" s="1">
        <f t="shared" si="16"/>
        <v>465.8</v>
      </c>
      <c r="F38" s="1">
        <f t="shared" si="16"/>
        <v>0</v>
      </c>
      <c r="G38" s="1">
        <f t="shared" si="16"/>
        <v>6.4</v>
      </c>
      <c r="H38" s="1">
        <f t="shared" si="16"/>
        <v>0</v>
      </c>
      <c r="I38" s="1">
        <f t="shared" si="16"/>
        <v>2054.1999999999998</v>
      </c>
      <c r="J38" s="1">
        <f t="shared" si="16"/>
        <v>0.5304347826086957</v>
      </c>
      <c r="K38" s="1">
        <f t="shared" si="16"/>
        <v>0.20217013888888888</v>
      </c>
      <c r="L38" s="1">
        <f t="shared" si="16"/>
        <v>0.58181818181818179</v>
      </c>
      <c r="M38" s="1">
        <f t="shared" si="16"/>
        <v>0.37524298551256191</v>
      </c>
      <c r="N38" s="1">
        <f t="shared" si="16"/>
        <v>2.652173913043478</v>
      </c>
      <c r="O38" s="1">
        <f t="shared" si="16"/>
        <v>3.9891493055555549</v>
      </c>
      <c r="P38" s="1">
        <f t="shared" si="16"/>
        <v>2.9090909090909092</v>
      </c>
      <c r="Q38" s="1">
        <f t="shared" si="16"/>
        <v>3.1237850724371912</v>
      </c>
    </row>
    <row r="40" spans="2:17" ht="29" x14ac:dyDescent="0.35">
      <c r="C40" s="1" t="s">
        <v>47</v>
      </c>
      <c r="D40" s="1" t="s">
        <v>48</v>
      </c>
      <c r="E40" s="1" t="s">
        <v>49</v>
      </c>
      <c r="F40" s="1" t="s">
        <v>50</v>
      </c>
      <c r="G40" s="1" t="s">
        <v>51</v>
      </c>
      <c r="H40" s="1" t="s">
        <v>52</v>
      </c>
      <c r="I40" s="1" t="s">
        <v>53</v>
      </c>
      <c r="J40" s="1" t="s">
        <v>54</v>
      </c>
      <c r="K40" s="1" t="s">
        <v>55</v>
      </c>
      <c r="L40" s="1" t="s">
        <v>56</v>
      </c>
    </row>
    <row r="41" spans="2:17" x14ac:dyDescent="0.35">
      <c r="B41" s="1" t="s">
        <v>19</v>
      </c>
      <c r="L41" s="1"/>
    </row>
    <row r="42" spans="2:17" x14ac:dyDescent="0.35">
      <c r="B42" s="1" t="s">
        <v>20</v>
      </c>
      <c r="C42" s="1">
        <v>5</v>
      </c>
      <c r="D42" s="1">
        <v>5</v>
      </c>
      <c r="E42" s="1">
        <v>5</v>
      </c>
      <c r="F42" s="1">
        <v>2023</v>
      </c>
      <c r="G42" s="1">
        <f>2023-F42</f>
        <v>0</v>
      </c>
      <c r="H42" s="1">
        <v>127</v>
      </c>
      <c r="I42" s="1">
        <f>(G42-G48)/(G47-G48)</f>
        <v>0</v>
      </c>
      <c r="J42" s="1">
        <f>(H42-H48)/(H47-H48)</f>
        <v>1</v>
      </c>
      <c r="K42" s="1">
        <f>0.5*5*((1-I42) + (J42))</f>
        <v>5</v>
      </c>
      <c r="L42" s="1">
        <f>(D42+2*E42)/3</f>
        <v>5</v>
      </c>
      <c r="M42" s="1"/>
      <c r="N42" s="1"/>
      <c r="O42" s="1"/>
      <c r="P42" s="1"/>
    </row>
    <row r="43" spans="2:17" x14ac:dyDescent="0.35">
      <c r="B43" s="1" t="s">
        <v>23</v>
      </c>
      <c r="C43" s="1">
        <v>4</v>
      </c>
      <c r="D43" s="1">
        <v>3</v>
      </c>
      <c r="E43" s="1">
        <v>3</v>
      </c>
      <c r="F43" s="1">
        <v>2023</v>
      </c>
      <c r="G43" s="1">
        <f>2023-F43</f>
        <v>0</v>
      </c>
      <c r="H43" s="1">
        <v>91</v>
      </c>
      <c r="I43" s="1">
        <f>(G43-G48)/(G47-G48)</f>
        <v>0</v>
      </c>
      <c r="J43" s="1">
        <f>(H43-H48)/(H47-H48)</f>
        <v>0.71653543307086609</v>
      </c>
      <c r="K43" s="1">
        <f>0.5*5*((1-I43) + (J43))</f>
        <v>4.2913385826771657</v>
      </c>
      <c r="L43" s="1">
        <f t="shared" ref="L43:L46" si="17">(D43+2*E43)/3</f>
        <v>3</v>
      </c>
      <c r="M43" s="1"/>
      <c r="N43" s="1"/>
      <c r="O43" s="1"/>
      <c r="P43" s="1"/>
    </row>
    <row r="44" spans="2:17" x14ac:dyDescent="0.35">
      <c r="B44" s="1" t="s">
        <v>26</v>
      </c>
      <c r="C44" s="1">
        <v>4</v>
      </c>
      <c r="D44" s="1">
        <v>1</v>
      </c>
      <c r="E44" s="1">
        <v>1</v>
      </c>
      <c r="F44" s="1">
        <v>2019</v>
      </c>
      <c r="G44" s="1">
        <f>2023-F44</f>
        <v>4</v>
      </c>
      <c r="H44" s="1">
        <v>0</v>
      </c>
      <c r="I44" s="1">
        <f>(G44-G48)/(G47-G48)</f>
        <v>0.36363636363636365</v>
      </c>
      <c r="J44" s="1">
        <f>(H44-H48)/(H47-H48)</f>
        <v>0</v>
      </c>
      <c r="K44" s="1">
        <f>0.5*5*((1-I44) + (J44))</f>
        <v>1.5909090909090908</v>
      </c>
      <c r="L44" s="1">
        <f t="shared" si="17"/>
        <v>1</v>
      </c>
    </row>
    <row r="45" spans="2:17" x14ac:dyDescent="0.35">
      <c r="B45" s="1" t="s">
        <v>29</v>
      </c>
      <c r="C45" s="1">
        <v>2</v>
      </c>
      <c r="D45" s="1">
        <v>3</v>
      </c>
      <c r="E45" s="1">
        <v>5</v>
      </c>
      <c r="F45" s="1">
        <v>2020</v>
      </c>
      <c r="G45" s="1">
        <f>2023-F45</f>
        <v>3</v>
      </c>
      <c r="H45" s="1">
        <v>0</v>
      </c>
      <c r="I45" s="1">
        <f>(G45-G48)/(G47-G48)</f>
        <v>0.27272727272727271</v>
      </c>
      <c r="J45" s="1">
        <f>(H45-H48)/(H47-H48)</f>
        <v>0</v>
      </c>
      <c r="K45" s="1">
        <f>0.5*5*((1-I45) + (J45))</f>
        <v>1.8181818181818183</v>
      </c>
      <c r="L45" s="1">
        <f t="shared" si="17"/>
        <v>4.333333333333333</v>
      </c>
    </row>
    <row r="46" spans="2:17" x14ac:dyDescent="0.35">
      <c r="B46" s="1" t="s">
        <v>32</v>
      </c>
      <c r="C46" s="1">
        <v>3</v>
      </c>
      <c r="D46" s="1">
        <v>0</v>
      </c>
      <c r="E46" s="1">
        <v>3</v>
      </c>
      <c r="F46" s="1">
        <v>2012</v>
      </c>
      <c r="G46" s="1">
        <f>2023-F46</f>
        <v>11</v>
      </c>
      <c r="H46" s="1">
        <v>0</v>
      </c>
      <c r="I46" s="1">
        <f>(G46-G48)/(G47-G48)</f>
        <v>1</v>
      </c>
      <c r="J46" s="1">
        <f>(H46-H48)/(H47-H48)</f>
        <v>0</v>
      </c>
      <c r="K46" s="1">
        <f>0.5*5*((1-I46) + (J46))</f>
        <v>0</v>
      </c>
      <c r="L46" s="1">
        <f t="shared" si="17"/>
        <v>2</v>
      </c>
    </row>
    <row r="47" spans="2:17" x14ac:dyDescent="0.35">
      <c r="B47" s="1" t="s">
        <v>35</v>
      </c>
      <c r="C47" s="1">
        <f>MAX(C42:C46)</f>
        <v>5</v>
      </c>
      <c r="D47" s="1">
        <f>MAX(D42:D46)</f>
        <v>5</v>
      </c>
      <c r="E47" s="1">
        <f t="shared" ref="E47:F47" si="18">MAX(E42:E46)</f>
        <v>5</v>
      </c>
      <c r="F47" s="1">
        <f t="shared" si="18"/>
        <v>2023</v>
      </c>
      <c r="G47" s="1">
        <f>MAX(G42:G46)</f>
        <v>11</v>
      </c>
      <c r="H47" s="1">
        <f t="shared" ref="H47" si="19">MAX(H42:H46)</f>
        <v>127</v>
      </c>
      <c r="K47" s="1">
        <f>MAX(K42:K46)</f>
        <v>5</v>
      </c>
      <c r="L47" s="1">
        <f>MAX(L42:L46)</f>
        <v>5</v>
      </c>
    </row>
    <row r="48" spans="2:17" x14ac:dyDescent="0.35">
      <c r="B48" s="1" t="s">
        <v>36</v>
      </c>
      <c r="C48" s="1">
        <f>MIN(C42:C46)</f>
        <v>2</v>
      </c>
      <c r="D48" s="1">
        <f t="shared" ref="D48:F48" si="20">MIN(D42:D46)</f>
        <v>0</v>
      </c>
      <c r="E48" s="1">
        <f t="shared" si="20"/>
        <v>1</v>
      </c>
      <c r="F48" s="1">
        <f t="shared" si="20"/>
        <v>2012</v>
      </c>
      <c r="G48" s="1">
        <f>MIN(G42:G46)</f>
        <v>0</v>
      </c>
      <c r="H48" s="1">
        <f>MIN(H42:H46)</f>
        <v>0</v>
      </c>
      <c r="K48" s="1">
        <f>MIN(K42:K46)</f>
        <v>0</v>
      </c>
      <c r="L48" s="1">
        <f>MIN(L42:L46)</f>
        <v>1</v>
      </c>
    </row>
    <row r="49" spans="2:10" x14ac:dyDescent="0.35">
      <c r="H49"/>
      <c r="I49"/>
    </row>
    <row r="50" spans="2:10" x14ac:dyDescent="0.35">
      <c r="B50" s="1" t="s">
        <v>57</v>
      </c>
      <c r="C50" s="1" t="s">
        <v>58</v>
      </c>
      <c r="D50" s="1" t="s">
        <v>59</v>
      </c>
      <c r="E50" s="1" t="s">
        <v>5</v>
      </c>
      <c r="F50" s="1" t="s">
        <v>60</v>
      </c>
      <c r="G50" s="1" t="s">
        <v>8</v>
      </c>
      <c r="H50" s="1" t="s">
        <v>61</v>
      </c>
      <c r="I50" s="1" t="s">
        <v>62</v>
      </c>
      <c r="J50" s="1" t="s">
        <v>63</v>
      </c>
    </row>
    <row r="51" spans="2:10" x14ac:dyDescent="0.35">
      <c r="B51" s="1" t="s">
        <v>64</v>
      </c>
      <c r="C51" s="1">
        <v>2</v>
      </c>
      <c r="D51" s="1">
        <v>3</v>
      </c>
      <c r="E51" s="1">
        <v>5</v>
      </c>
      <c r="F51" s="1">
        <v>5</v>
      </c>
      <c r="G51" s="1">
        <v>5</v>
      </c>
      <c r="H51" s="1">
        <v>3</v>
      </c>
      <c r="I51" s="1">
        <v>1</v>
      </c>
      <c r="J51" s="1">
        <f>SUM(C51:I51)</f>
        <v>24</v>
      </c>
    </row>
    <row r="54" spans="2:10" x14ac:dyDescent="0.35">
      <c r="B54" s="1" t="s">
        <v>65</v>
      </c>
      <c r="C54" s="1" t="str">
        <f>K40</f>
        <v>Maintanability of the project score</v>
      </c>
      <c r="D54" s="1" t="str">
        <f>L40</f>
        <v>Report quality score</v>
      </c>
      <c r="E54" s="1" t="str">
        <f>N10</f>
        <v>True positives score</v>
      </c>
      <c r="F54" s="1" t="str">
        <f t="shared" ref="F54:G54" si="21">O10</f>
        <v>False Positives score</v>
      </c>
      <c r="G54" s="1" t="str">
        <f t="shared" si="21"/>
        <v>Number of vulnerabilities found score</v>
      </c>
      <c r="H54" s="1" t="str">
        <f>Q10</f>
        <v>Performance score</v>
      </c>
      <c r="I54" s="1" t="str">
        <f>C40</f>
        <v>Ease of use score</v>
      </c>
      <c r="J54" s="1" t="s">
        <v>66</v>
      </c>
    </row>
    <row r="55" spans="2:10" x14ac:dyDescent="0.35">
      <c r="B55" s="1" t="s">
        <v>20</v>
      </c>
      <c r="C55" s="2">
        <f>K42</f>
        <v>5</v>
      </c>
      <c r="D55" s="2">
        <f>L42</f>
        <v>5</v>
      </c>
      <c r="E55" s="2">
        <f>(N12+N31)/2</f>
        <v>4.2391304347826084</v>
      </c>
      <c r="F55" s="2">
        <f t="shared" ref="F55:H59" si="22">(O12+O31)/2</f>
        <v>4.9978298611111107</v>
      </c>
      <c r="G55" s="2">
        <f t="shared" si="22"/>
        <v>4.545454545454545</v>
      </c>
      <c r="H55" s="2">
        <f t="shared" si="22"/>
        <v>3.3516110363943872</v>
      </c>
      <c r="I55" s="2">
        <f>C42</f>
        <v>5</v>
      </c>
      <c r="J55" s="2">
        <f>(C55*C51+D55*D51+E55*E51+F55*F51+G55*G51+H55*H51+I55*I51)/J51</f>
        <v>4.5402878048301867</v>
      </c>
    </row>
    <row r="56" spans="2:10" x14ac:dyDescent="0.35">
      <c r="B56" s="1" t="s">
        <v>23</v>
      </c>
      <c r="C56" s="2">
        <f t="shared" ref="C56:D56" si="23">K43</f>
        <v>4.2913385826771657</v>
      </c>
      <c r="D56" s="2">
        <f t="shared" si="23"/>
        <v>3</v>
      </c>
      <c r="E56" s="2">
        <f t="shared" ref="E56:E59" si="24">(N13+N32)/2</f>
        <v>0.86956521739130432</v>
      </c>
      <c r="F56" s="2">
        <f t="shared" si="22"/>
        <v>5</v>
      </c>
      <c r="G56" s="2">
        <f t="shared" si="22"/>
        <v>2.2727272727272725</v>
      </c>
      <c r="H56" s="2">
        <f t="shared" si="22"/>
        <v>5</v>
      </c>
      <c r="I56" s="2">
        <f t="shared" ref="I56:I59" si="25">C43</f>
        <v>4</v>
      </c>
      <c r="J56" s="2">
        <f>(C56*C51+D56*D51+E56*E51+F56*F51+G56*G51+H56*H51+I56*I51)/J51</f>
        <v>3.2205891506644675</v>
      </c>
    </row>
    <row r="57" spans="2:10" x14ac:dyDescent="0.35">
      <c r="B57" s="1" t="s">
        <v>26</v>
      </c>
      <c r="C57" s="2">
        <f t="shared" ref="C57:D57" si="26">K44</f>
        <v>1.5909090909090908</v>
      </c>
      <c r="D57" s="2">
        <f t="shared" si="26"/>
        <v>1</v>
      </c>
      <c r="E57" s="2">
        <f t="shared" si="24"/>
        <v>4.1666666666666661</v>
      </c>
      <c r="F57" s="2">
        <f t="shared" si="22"/>
        <v>0</v>
      </c>
      <c r="G57" s="2">
        <f t="shared" si="22"/>
        <v>2.7272727272727271</v>
      </c>
      <c r="H57" s="2">
        <f t="shared" si="22"/>
        <v>2.1530731090743531</v>
      </c>
      <c r="I57" s="2">
        <f t="shared" si="25"/>
        <v>4</v>
      </c>
      <c r="J57" s="2">
        <f>(C57*C51+D57*D51+E57*E51+F57*F51+G57*G51+H57*H51+I57*I51)/J51</f>
        <v>2.1296139366140916</v>
      </c>
    </row>
    <row r="58" spans="2:10" x14ac:dyDescent="0.35">
      <c r="B58" s="1" t="s">
        <v>29</v>
      </c>
      <c r="C58" s="2">
        <f t="shared" ref="C58:D58" si="27">K45</f>
        <v>1.8181818181818183</v>
      </c>
      <c r="D58" s="2">
        <f t="shared" si="27"/>
        <v>4.333333333333333</v>
      </c>
      <c r="E58" s="2">
        <f>(N15+N34)/2</f>
        <v>1.25</v>
      </c>
      <c r="F58" s="2">
        <f t="shared" si="22"/>
        <v>4.9012586805555554</v>
      </c>
      <c r="G58" s="2">
        <f t="shared" si="22"/>
        <v>2.2727272727272725</v>
      </c>
      <c r="H58" s="2">
        <f t="shared" si="22"/>
        <v>4.3783261252410473</v>
      </c>
      <c r="I58" s="2">
        <f t="shared" si="25"/>
        <v>2</v>
      </c>
      <c r="J58" s="2">
        <f>(C58*C51+D58*D51+E58*E51+F58*F51+G58*G51+H58*H51+I58*I51)/J51</f>
        <v>3.0788029907708712</v>
      </c>
    </row>
    <row r="59" spans="2:10" x14ac:dyDescent="0.35">
      <c r="B59" s="1" t="s">
        <v>32</v>
      </c>
      <c r="C59" s="2">
        <f t="shared" ref="C59:D59" si="28">K46</f>
        <v>0</v>
      </c>
      <c r="D59" s="2">
        <f t="shared" si="28"/>
        <v>2</v>
      </c>
      <c r="E59" s="2">
        <f t="shared" si="24"/>
        <v>2.3550724637681162</v>
      </c>
      <c r="F59" s="2">
        <f t="shared" si="22"/>
        <v>4.8828125</v>
      </c>
      <c r="G59" s="2">
        <f t="shared" si="22"/>
        <v>2.5</v>
      </c>
      <c r="H59" s="2">
        <f t="shared" si="22"/>
        <v>0</v>
      </c>
      <c r="I59" s="2">
        <f t="shared" si="25"/>
        <v>3</v>
      </c>
      <c r="J59" s="2">
        <f>(C59*C51+D59*D51+E59*E51+F59*F51+G59*G51+H59*H51+I59*I51)/J51</f>
        <v>2.4037260341183573</v>
      </c>
    </row>
    <row r="60" spans="2:10" x14ac:dyDescent="0.35">
      <c r="C60" s="2"/>
      <c r="D60" s="2"/>
      <c r="E60" s="2"/>
      <c r="F60" s="2"/>
      <c r="G60" s="2"/>
      <c r="H60" s="2"/>
      <c r="I60" s="2"/>
      <c r="J60" s="2"/>
    </row>
    <row r="61" spans="2:10" x14ac:dyDescent="0.35">
      <c r="B61" s="1" t="s">
        <v>35</v>
      </c>
      <c r="C61" s="2">
        <f t="shared" ref="C61:J61" si="29">MAX(C55:C59)</f>
        <v>5</v>
      </c>
      <c r="D61" s="2">
        <f t="shared" si="29"/>
        <v>5</v>
      </c>
      <c r="E61" s="2">
        <f t="shared" si="29"/>
        <v>4.2391304347826084</v>
      </c>
      <c r="F61" s="2">
        <f t="shared" si="29"/>
        <v>5</v>
      </c>
      <c r="G61" s="2">
        <f t="shared" si="29"/>
        <v>4.545454545454545</v>
      </c>
      <c r="H61" s="2">
        <f t="shared" si="29"/>
        <v>5</v>
      </c>
      <c r="I61" s="2">
        <f t="shared" si="29"/>
        <v>5</v>
      </c>
      <c r="J61" s="2">
        <f t="shared" si="29"/>
        <v>4.5402878048301867</v>
      </c>
    </row>
    <row r="62" spans="2:10" x14ac:dyDescent="0.35">
      <c r="B62" s="1" t="s">
        <v>36</v>
      </c>
      <c r="C62" s="2">
        <f t="shared" ref="C62:J62" si="30">MIN(C55:C59)</f>
        <v>0</v>
      </c>
      <c r="D62" s="2">
        <f t="shared" si="30"/>
        <v>1</v>
      </c>
      <c r="E62" s="2">
        <f t="shared" si="30"/>
        <v>0.86956521739130432</v>
      </c>
      <c r="F62" s="2">
        <f t="shared" si="30"/>
        <v>0</v>
      </c>
      <c r="G62" s="2">
        <f t="shared" si="30"/>
        <v>2.2727272727272725</v>
      </c>
      <c r="H62" s="2">
        <f t="shared" si="30"/>
        <v>0</v>
      </c>
      <c r="I62" s="2">
        <f t="shared" si="30"/>
        <v>2</v>
      </c>
      <c r="J62" s="2">
        <f t="shared" si="30"/>
        <v>2.1296139366140916</v>
      </c>
    </row>
    <row r="63" spans="2:10" x14ac:dyDescent="0.35">
      <c r="B63" s="1" t="s">
        <v>37</v>
      </c>
      <c r="C63" s="2">
        <f>AVERAGEA(C55:C59)</f>
        <v>2.540085898353615</v>
      </c>
      <c r="D63" s="2">
        <f t="shared" ref="D63:J63" si="31">AVERAGEA(D55:D59)</f>
        <v>3.0666666666666664</v>
      </c>
      <c r="E63" s="2">
        <f t="shared" si="31"/>
        <v>2.5760869565217392</v>
      </c>
      <c r="F63" s="2">
        <f t="shared" si="31"/>
        <v>3.956380208333333</v>
      </c>
      <c r="G63" s="2">
        <f t="shared" si="31"/>
        <v>2.8636363636363633</v>
      </c>
      <c r="H63" s="2">
        <f t="shared" si="31"/>
        <v>2.9766020541419573</v>
      </c>
      <c r="I63" s="2">
        <f t="shared" si="31"/>
        <v>3.6</v>
      </c>
      <c r="J63" s="2">
        <f t="shared" si="31"/>
        <v>3.0746039833995948</v>
      </c>
    </row>
    <row r="70" spans="2:11" x14ac:dyDescent="0.35">
      <c r="C70" s="1" t="s">
        <v>67</v>
      </c>
      <c r="D70" s="1" t="s">
        <v>68</v>
      </c>
      <c r="E70" s="1" t="s">
        <v>69</v>
      </c>
      <c r="F70" s="1" t="s">
        <v>70</v>
      </c>
      <c r="G70" s="1" t="s">
        <v>71</v>
      </c>
    </row>
    <row r="71" spans="2:11" x14ac:dyDescent="0.35">
      <c r="B71" s="1" t="s">
        <v>66</v>
      </c>
      <c r="C71" s="2">
        <f>J55</f>
        <v>4.5402878048301867</v>
      </c>
      <c r="D71" s="2">
        <f>J56</f>
        <v>3.2205891506644675</v>
      </c>
      <c r="E71" s="2">
        <f>J58</f>
        <v>3.0788029907708712</v>
      </c>
      <c r="F71" s="2">
        <f>J59</f>
        <v>2.4037260341183573</v>
      </c>
      <c r="G71" s="2">
        <f>J57</f>
        <v>2.1296139366140916</v>
      </c>
    </row>
    <row r="72" spans="2:11" x14ac:dyDescent="0.35">
      <c r="B72" s="1" t="s">
        <v>72</v>
      </c>
      <c r="C72" s="1">
        <v>1</v>
      </c>
      <c r="D72" s="1">
        <v>2</v>
      </c>
      <c r="E72" s="1">
        <v>3</v>
      </c>
      <c r="F72" s="1">
        <v>4</v>
      </c>
      <c r="G72" s="1">
        <v>5</v>
      </c>
    </row>
    <row r="75" spans="2:11" x14ac:dyDescent="0.35">
      <c r="C75" s="1" t="s">
        <v>73</v>
      </c>
      <c r="D75" s="3" t="s">
        <v>74</v>
      </c>
      <c r="E75" s="1" t="s">
        <v>75</v>
      </c>
      <c r="F75" s="1" t="s">
        <v>76</v>
      </c>
      <c r="G75" s="3" t="s">
        <v>77</v>
      </c>
      <c r="H75" s="3" t="s">
        <v>78</v>
      </c>
      <c r="I75" s="3" t="s">
        <v>79</v>
      </c>
      <c r="J75" s="3" t="s">
        <v>80</v>
      </c>
      <c r="K75" s="1" t="s">
        <v>81</v>
      </c>
    </row>
    <row r="76" spans="2:11" x14ac:dyDescent="0.35">
      <c r="B76" s="1" t="s">
        <v>82</v>
      </c>
      <c r="C76" s="1">
        <v>6</v>
      </c>
      <c r="D76" s="1">
        <v>2</v>
      </c>
      <c r="E76" s="1">
        <v>1</v>
      </c>
      <c r="F76" s="1">
        <v>1</v>
      </c>
      <c r="G76" s="1">
        <v>2</v>
      </c>
      <c r="H76" s="1">
        <v>2</v>
      </c>
      <c r="I76" s="1">
        <v>1</v>
      </c>
      <c r="J76" s="1">
        <v>3</v>
      </c>
      <c r="K76" s="1">
        <v>2</v>
      </c>
    </row>
    <row r="89" spans="12:15" x14ac:dyDescent="0.35">
      <c r="L89" s="1"/>
      <c r="M89" s="1"/>
      <c r="N89" s="1"/>
      <c r="O89" s="1"/>
    </row>
    <row r="90" spans="12:15" x14ac:dyDescent="0.35">
      <c r="L90" s="1"/>
      <c r="M90" s="1"/>
      <c r="N90" s="1"/>
      <c r="O90" s="1"/>
    </row>
    <row r="91" spans="12:15" x14ac:dyDescent="0.35">
      <c r="L91" s="1"/>
      <c r="M91" s="1"/>
      <c r="N91" s="1"/>
      <c r="O91" s="1"/>
    </row>
    <row r="92" spans="12:15" x14ac:dyDescent="0.35">
      <c r="L92" s="1"/>
      <c r="M92" s="1"/>
      <c r="N92" s="1"/>
      <c r="O92" s="1"/>
    </row>
    <row r="93" spans="12:15" x14ac:dyDescent="0.35">
      <c r="L93" s="1"/>
      <c r="M93" s="1"/>
      <c r="N93" s="1"/>
      <c r="O93" s="1"/>
    </row>
    <row r="94" spans="12:15" x14ac:dyDescent="0.35">
      <c r="L94" s="1"/>
      <c r="M94" s="1"/>
      <c r="N94" s="1"/>
      <c r="O94" s="1"/>
    </row>
    <row r="95" spans="12:15" x14ac:dyDescent="0.35">
      <c r="L95" s="1"/>
      <c r="M95" s="1"/>
      <c r="N95" s="1"/>
      <c r="O95" s="1"/>
    </row>
    <row r="96" spans="12:15" x14ac:dyDescent="0.35">
      <c r="L96" s="1"/>
      <c r="M96" s="1"/>
      <c r="N96" s="1"/>
      <c r="O96" s="1"/>
    </row>
    <row r="97" spans="12:15" x14ac:dyDescent="0.35">
      <c r="L97" s="1"/>
      <c r="M97" s="1"/>
      <c r="N97" s="1"/>
      <c r="O97" s="1"/>
    </row>
    <row r="98" spans="12:15" x14ac:dyDescent="0.35">
      <c r="L98" s="1"/>
      <c r="M98" s="1"/>
      <c r="N98" s="1"/>
      <c r="O9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0FD0-08D1-40F5-BD3F-CB1E9A56653F}">
  <dimension ref="A1:Q98"/>
  <sheetViews>
    <sheetView topLeftCell="A76" zoomScale="42" zoomScaleNormal="87" workbookViewId="0">
      <selection activeCell="D121" sqref="D121"/>
    </sheetView>
  </sheetViews>
  <sheetFormatPr baseColWidth="10" defaultColWidth="11.453125" defaultRowHeight="14.5" x14ac:dyDescent="0.35"/>
  <cols>
    <col min="1" max="1" width="31.7265625" style="1" customWidth="1"/>
    <col min="2" max="2" width="27.453125" style="1" customWidth="1"/>
    <col min="3" max="3" width="28.7265625" style="1" customWidth="1"/>
    <col min="4" max="4" width="28.1796875" style="1" customWidth="1"/>
    <col min="5" max="5" width="29.7265625" style="1" customWidth="1"/>
    <col min="6" max="6" width="29.26953125" style="1" customWidth="1"/>
    <col min="7" max="7" width="30.26953125" style="1" customWidth="1"/>
    <col min="8" max="8" width="29.81640625" style="1" customWidth="1"/>
    <col min="9" max="9" width="26.1796875" style="1" customWidth="1"/>
    <col min="10" max="10" width="28.1796875" style="1" customWidth="1"/>
    <col min="11" max="11" width="34.7265625" style="1" customWidth="1"/>
    <col min="12" max="12" width="33.453125" style="1" customWidth="1"/>
    <col min="13" max="13" width="34.54296875" style="1" customWidth="1"/>
    <col min="14" max="14" width="34.81640625" style="1" customWidth="1"/>
    <col min="15" max="15" width="30.54296875" style="1" customWidth="1"/>
    <col min="16" max="16" width="34.1796875" style="1" customWidth="1"/>
    <col min="17" max="17" width="27.1796875" style="1" customWidth="1"/>
  </cols>
  <sheetData>
    <row r="1" spans="1:17" x14ac:dyDescent="0.35">
      <c r="A1" s="1" t="s">
        <v>0</v>
      </c>
      <c r="B1" s="1" t="s">
        <v>1</v>
      </c>
    </row>
    <row r="2" spans="1:17" x14ac:dyDescent="0.35">
      <c r="A2" s="1" t="s">
        <v>2</v>
      </c>
      <c r="B2" s="1">
        <v>102</v>
      </c>
    </row>
    <row r="3" spans="1:17" x14ac:dyDescent="0.35">
      <c r="A3" s="1" t="s">
        <v>3</v>
      </c>
      <c r="B3" s="1">
        <v>20</v>
      </c>
    </row>
    <row r="10" spans="1:17" ht="29" x14ac:dyDescent="0.35">
      <c r="A10" s="1" t="s">
        <v>2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M10" s="1" t="s">
        <v>14</v>
      </c>
      <c r="N10" s="1" t="s">
        <v>15</v>
      </c>
      <c r="O10" s="1" t="s">
        <v>16</v>
      </c>
      <c r="P10" s="1" t="s">
        <v>17</v>
      </c>
      <c r="Q10" s="1" t="s">
        <v>18</v>
      </c>
    </row>
    <row r="11" spans="1:17" x14ac:dyDescent="0.35">
      <c r="B11" s="1" t="s">
        <v>19</v>
      </c>
    </row>
    <row r="12" spans="1:17" ht="130.5" x14ac:dyDescent="0.35">
      <c r="B12" s="1" t="s">
        <v>20</v>
      </c>
      <c r="C12" s="1">
        <v>9</v>
      </c>
      <c r="D12" s="1">
        <v>9</v>
      </c>
      <c r="E12" s="1">
        <v>0</v>
      </c>
      <c r="F12" s="1" t="s">
        <v>21</v>
      </c>
      <c r="G12" s="1">
        <v>16</v>
      </c>
      <c r="H12" s="1" t="s">
        <v>22</v>
      </c>
      <c r="I12" s="1">
        <f>6*60+40</f>
        <v>400</v>
      </c>
      <c r="J12" s="1">
        <f>(D12-D18)/(D17-D18)</f>
        <v>1</v>
      </c>
      <c r="K12" s="1">
        <f>(E12-E18)/(E17-E18)</f>
        <v>0</v>
      </c>
      <c r="L12" s="1">
        <f>(G12-G18)/(G17-G18)</f>
        <v>1</v>
      </c>
      <c r="M12" s="1">
        <f>(I12-I18)/(I17-I18)</f>
        <v>0.48825710754017304</v>
      </c>
      <c r="N12" s="1">
        <f>J12*5</f>
        <v>5</v>
      </c>
      <c r="O12" s="1">
        <f>5*(1-K12)</f>
        <v>5</v>
      </c>
      <c r="P12" s="1">
        <f>5*L12</f>
        <v>5</v>
      </c>
      <c r="Q12" s="1">
        <f>5*(1-M12)</f>
        <v>2.5587144622991347</v>
      </c>
    </row>
    <row r="13" spans="1:17" ht="72.5" x14ac:dyDescent="0.35">
      <c r="B13" s="1" t="s">
        <v>23</v>
      </c>
      <c r="C13" s="1">
        <v>3</v>
      </c>
      <c r="D13" s="1">
        <v>3</v>
      </c>
      <c r="E13" s="1">
        <v>0</v>
      </c>
      <c r="F13" s="1" t="s">
        <v>24</v>
      </c>
      <c r="G13" s="1">
        <v>9</v>
      </c>
      <c r="H13" s="1" t="s">
        <v>25</v>
      </c>
      <c r="I13" s="1">
        <v>5</v>
      </c>
      <c r="J13" s="1">
        <f>(D13-D18)/(D17-D18)</f>
        <v>0</v>
      </c>
      <c r="K13" s="1">
        <f>(E13-E18)/(E17-E18)</f>
        <v>0</v>
      </c>
      <c r="L13" s="1">
        <f>(G13-G18)/(G17-G18)</f>
        <v>0.36363636363636365</v>
      </c>
      <c r="M13" s="1">
        <f>(I13-I18)/(I17-I18)</f>
        <v>0</v>
      </c>
      <c r="N13" s="1">
        <f t="shared" ref="N13:N16" si="0">J13*5</f>
        <v>0</v>
      </c>
      <c r="O13" s="1">
        <f t="shared" ref="O13:O16" si="1">5*(1-K13)</f>
        <v>5</v>
      </c>
      <c r="P13" s="1">
        <f t="shared" ref="P13:P16" si="2">5*L13</f>
        <v>1.8181818181818183</v>
      </c>
      <c r="Q13" s="1">
        <f t="shared" ref="Q13:Q16" si="3">5*(1-M13)</f>
        <v>5</v>
      </c>
    </row>
    <row r="14" spans="1:17" ht="101.5" x14ac:dyDescent="0.35">
      <c r="B14" s="1" t="s">
        <v>26</v>
      </c>
      <c r="C14" s="1">
        <v>151</v>
      </c>
      <c r="D14" s="1">
        <v>7</v>
      </c>
      <c r="E14" s="1">
        <v>144</v>
      </c>
      <c r="F14" s="1" t="s">
        <v>27</v>
      </c>
      <c r="G14" s="1">
        <v>11</v>
      </c>
      <c r="H14" s="1" t="s">
        <v>28</v>
      </c>
      <c r="I14" s="1">
        <f>7*60+6</f>
        <v>426</v>
      </c>
      <c r="J14" s="1">
        <f>(D14-D18)/(D17-D18)</f>
        <v>0.66666666666666663</v>
      </c>
      <c r="K14" s="1">
        <f>(E14-E18)/(E17-E18)</f>
        <v>24</v>
      </c>
      <c r="L14" s="1">
        <f>(G14-G18)/(G17-G18)</f>
        <v>0.54545454545454541</v>
      </c>
      <c r="M14" s="1">
        <f>(I14-I18)/(I17-I18)</f>
        <v>0.52039555006180471</v>
      </c>
      <c r="N14" s="1">
        <f t="shared" si="0"/>
        <v>3.333333333333333</v>
      </c>
      <c r="O14" s="1">
        <f t="shared" si="1"/>
        <v>-115</v>
      </c>
      <c r="P14" s="1">
        <f t="shared" si="2"/>
        <v>2.7272727272727271</v>
      </c>
      <c r="Q14" s="1">
        <f t="shared" si="3"/>
        <v>2.3980222496909764</v>
      </c>
    </row>
    <row r="15" spans="1:17" ht="145" x14ac:dyDescent="0.35">
      <c r="B15" s="1" t="s">
        <v>29</v>
      </c>
      <c r="C15" s="1">
        <v>11</v>
      </c>
      <c r="D15" s="1">
        <v>6</v>
      </c>
      <c r="E15" s="1">
        <v>5</v>
      </c>
      <c r="F15" s="1" t="s">
        <v>30</v>
      </c>
      <c r="G15" s="1">
        <v>15</v>
      </c>
      <c r="H15" s="1" t="s">
        <v>31</v>
      </c>
      <c r="I15" s="1">
        <f>2*60+16</f>
        <v>136</v>
      </c>
      <c r="J15" s="1">
        <f>(D15-D18)/(D17-D18)</f>
        <v>0.5</v>
      </c>
      <c r="K15" s="1">
        <f>(E15-E18)/(E17-E18)</f>
        <v>0.83333333333333337</v>
      </c>
      <c r="L15" s="1">
        <f>(G15-G18)/(G17-G18)</f>
        <v>0.90909090909090906</v>
      </c>
      <c r="M15" s="1">
        <f>(I15-I18)/(I17-I18)</f>
        <v>0.16192830655129789</v>
      </c>
      <c r="N15" s="1">
        <f t="shared" si="0"/>
        <v>2.5</v>
      </c>
      <c r="O15" s="1">
        <f t="shared" si="1"/>
        <v>0.83333333333333315</v>
      </c>
      <c r="P15" s="1">
        <f t="shared" si="2"/>
        <v>4.545454545454545</v>
      </c>
      <c r="Q15" s="1">
        <f t="shared" si="3"/>
        <v>4.1903584672435104</v>
      </c>
    </row>
    <row r="16" spans="1:17" ht="58" x14ac:dyDescent="0.35">
      <c r="B16" s="1" t="s">
        <v>32</v>
      </c>
      <c r="C16" s="1">
        <v>11</v>
      </c>
      <c r="D16" s="1">
        <v>5</v>
      </c>
      <c r="E16" s="1">
        <v>6</v>
      </c>
      <c r="F16" s="1" t="s">
        <v>33</v>
      </c>
      <c r="G16" s="1">
        <v>5</v>
      </c>
      <c r="H16" s="1" t="s">
        <v>34</v>
      </c>
      <c r="I16" s="1">
        <f>13*60+34</f>
        <v>814</v>
      </c>
      <c r="J16" s="1">
        <f>(D16-D18)/(D17-D18)</f>
        <v>0.33333333333333331</v>
      </c>
      <c r="K16" s="1">
        <f>(E16-E18)/(E17-E18)</f>
        <v>1</v>
      </c>
      <c r="L16" s="1">
        <f>(G16-G18)/(G17-G18)</f>
        <v>0</v>
      </c>
      <c r="M16" s="1">
        <f>(I16-I18)/(I17-I18)</f>
        <v>1</v>
      </c>
      <c r="N16" s="1">
        <f t="shared" si="0"/>
        <v>1.6666666666666665</v>
      </c>
      <c r="O16" s="1">
        <f t="shared" si="1"/>
        <v>0</v>
      </c>
      <c r="P16" s="1">
        <f t="shared" si="2"/>
        <v>0</v>
      </c>
      <c r="Q16" s="1">
        <f t="shared" si="3"/>
        <v>0</v>
      </c>
    </row>
    <row r="17" spans="1:17" x14ac:dyDescent="0.35">
      <c r="B17" s="1" t="s">
        <v>35</v>
      </c>
      <c r="C17" s="1">
        <f>MAX(MAX(C12:C13),MAX(C15:C16))</f>
        <v>11</v>
      </c>
      <c r="D17" s="1">
        <f t="shared" ref="D17:I17" si="4">MAX(MAX(D12:D13),MAX(D15:D16))</f>
        <v>9</v>
      </c>
      <c r="E17" s="1">
        <f t="shared" si="4"/>
        <v>6</v>
      </c>
      <c r="F17" s="1">
        <f t="shared" si="4"/>
        <v>0</v>
      </c>
      <c r="G17" s="1">
        <f t="shared" si="4"/>
        <v>16</v>
      </c>
      <c r="H17" s="1">
        <f t="shared" si="4"/>
        <v>0</v>
      </c>
      <c r="I17" s="1">
        <f t="shared" si="4"/>
        <v>814</v>
      </c>
    </row>
    <row r="18" spans="1:17" x14ac:dyDescent="0.35">
      <c r="B18" s="1" t="s">
        <v>36</v>
      </c>
      <c r="C18" s="1">
        <f>MIN(MIN(C12:C13),MIN(C15:C16))</f>
        <v>3</v>
      </c>
      <c r="D18" s="1">
        <f t="shared" ref="D18:I18" si="5">MIN(MIN(D12:D13),MIN(D15:D16))</f>
        <v>3</v>
      </c>
      <c r="E18" s="1">
        <f t="shared" si="5"/>
        <v>0</v>
      </c>
      <c r="F18" s="1">
        <f t="shared" si="5"/>
        <v>0</v>
      </c>
      <c r="G18" s="1">
        <f t="shared" si="5"/>
        <v>5</v>
      </c>
      <c r="H18" s="1">
        <f t="shared" si="5"/>
        <v>0</v>
      </c>
      <c r="I18" s="1">
        <f t="shared" si="5"/>
        <v>5</v>
      </c>
    </row>
    <row r="19" spans="1:17" x14ac:dyDescent="0.35">
      <c r="B19" s="1" t="s">
        <v>37</v>
      </c>
      <c r="C19" s="1">
        <f>0.5*(AVERAGEA(C12:C13) + AVERAGEA(C15:C16))</f>
        <v>8.5</v>
      </c>
      <c r="D19" s="1">
        <f t="shared" ref="D19:I19" si="6">0.5*(AVERAGEA(D12:D13) + AVERAGEA(D15:D16))</f>
        <v>5.75</v>
      </c>
      <c r="F19" s="1">
        <f t="shared" si="6"/>
        <v>0</v>
      </c>
      <c r="G19" s="1">
        <f t="shared" si="6"/>
        <v>11.25</v>
      </c>
      <c r="H19" s="1">
        <f t="shared" si="6"/>
        <v>0</v>
      </c>
      <c r="I19" s="1">
        <f t="shared" si="6"/>
        <v>338.75</v>
      </c>
      <c r="J19" s="1">
        <f t="shared" ref="J19:Q19" si="7">AVERAGEA(J12:J16)</f>
        <v>0.5</v>
      </c>
      <c r="K19" s="1">
        <f t="shared" si="7"/>
        <v>5.1666666666666661</v>
      </c>
      <c r="L19" s="1">
        <f t="shared" si="7"/>
        <v>0.56363636363636371</v>
      </c>
      <c r="M19" s="1">
        <f t="shared" si="7"/>
        <v>0.43411619283065511</v>
      </c>
      <c r="N19" s="1">
        <f t="shared" si="7"/>
        <v>2.4999999999999996</v>
      </c>
      <c r="O19" s="1">
        <f t="shared" si="7"/>
        <v>-20.833333333333336</v>
      </c>
      <c r="P19" s="1">
        <f t="shared" si="7"/>
        <v>2.8181818181818179</v>
      </c>
      <c r="Q19" s="1">
        <f t="shared" si="7"/>
        <v>2.8294190358467239</v>
      </c>
    </row>
    <row r="21" spans="1:17" x14ac:dyDescent="0.35">
      <c r="C21" s="1">
        <v>3</v>
      </c>
    </row>
    <row r="22" spans="1:17" x14ac:dyDescent="0.35">
      <c r="C22" s="1">
        <v>37</v>
      </c>
    </row>
    <row r="29" spans="1:17" ht="29" x14ac:dyDescent="0.35">
      <c r="A29" s="1" t="s">
        <v>3</v>
      </c>
      <c r="C29" s="1" t="s">
        <v>4</v>
      </c>
      <c r="D29" s="1" t="s">
        <v>5</v>
      </c>
      <c r="E29" s="1" t="s">
        <v>6</v>
      </c>
      <c r="F29" s="1" t="s">
        <v>7</v>
      </c>
      <c r="G29" s="1" t="s">
        <v>8</v>
      </c>
      <c r="H29" s="1" t="s">
        <v>9</v>
      </c>
      <c r="I29" s="1" t="s">
        <v>10</v>
      </c>
      <c r="J29" s="1" t="s">
        <v>11</v>
      </c>
      <c r="K29" s="1" t="s">
        <v>12</v>
      </c>
      <c r="L29" s="1" t="s">
        <v>13</v>
      </c>
      <c r="M29" s="1" t="s">
        <v>14</v>
      </c>
      <c r="N29" s="1" t="s">
        <v>15</v>
      </c>
      <c r="O29" s="1" t="s">
        <v>16</v>
      </c>
      <c r="P29" s="1" t="s">
        <v>17</v>
      </c>
      <c r="Q29" s="1" t="s">
        <v>18</v>
      </c>
    </row>
    <row r="30" spans="1:17" x14ac:dyDescent="0.35">
      <c r="B30" s="1" t="s">
        <v>19</v>
      </c>
    </row>
    <row r="31" spans="1:17" ht="87" x14ac:dyDescent="0.35">
      <c r="B31" s="1" t="s">
        <v>20</v>
      </c>
      <c r="C31" s="1">
        <v>18</v>
      </c>
      <c r="D31" s="1">
        <v>16</v>
      </c>
      <c r="E31" s="1">
        <v>2</v>
      </c>
      <c r="F31" s="1" t="s">
        <v>38</v>
      </c>
      <c r="G31" s="1">
        <v>9</v>
      </c>
      <c r="H31" s="1" t="s">
        <v>39</v>
      </c>
      <c r="I31" s="1">
        <f>15*60+41</f>
        <v>941</v>
      </c>
      <c r="J31" s="1">
        <f>(D31-D37)/(D36-D37)</f>
        <v>1</v>
      </c>
      <c r="K31" s="1">
        <f>(E31-E37)/(E36-E37)</f>
        <v>0.16666666666666666</v>
      </c>
      <c r="L31" s="1">
        <f>(G31-G37)/(G36-G37)</f>
        <v>0.81818181818181823</v>
      </c>
      <c r="M31" s="1">
        <f>(I31-I37)/(I36-I37)</f>
        <v>0.17109847790207225</v>
      </c>
      <c r="N31" s="1">
        <f>J31*5</f>
        <v>5</v>
      </c>
      <c r="O31" s="1">
        <f>5*(1-K31)</f>
        <v>4.166666666666667</v>
      </c>
      <c r="P31" s="1">
        <f>5*L31</f>
        <v>4.0909090909090908</v>
      </c>
      <c r="Q31" s="1">
        <f>5*(1-M31)</f>
        <v>4.1445076104896392</v>
      </c>
    </row>
    <row r="32" spans="1:17" ht="58" x14ac:dyDescent="0.35">
      <c r="B32" s="1" t="s">
        <v>23</v>
      </c>
      <c r="C32" s="1">
        <v>8</v>
      </c>
      <c r="D32" s="1">
        <v>8</v>
      </c>
      <c r="E32" s="1">
        <v>0</v>
      </c>
      <c r="F32" s="1" t="s">
        <v>40</v>
      </c>
      <c r="G32" s="1">
        <v>6</v>
      </c>
      <c r="H32" s="1" t="s">
        <v>41</v>
      </c>
      <c r="I32" s="1">
        <v>8</v>
      </c>
      <c r="J32" s="1">
        <f>(D32-D37)/(D36-D37)</f>
        <v>0.5</v>
      </c>
      <c r="K32" s="1">
        <f>(E32-E37)/(E36-E37)</f>
        <v>0</v>
      </c>
      <c r="L32" s="1">
        <f>(G32-G37)/(G36-G37)</f>
        <v>0.54545454545454541</v>
      </c>
      <c r="M32" s="1">
        <f>(I32-I37)/(I36-I37)</f>
        <v>0</v>
      </c>
      <c r="N32" s="1">
        <f t="shared" ref="N32:N35" si="8">J32*5</f>
        <v>2.5</v>
      </c>
      <c r="O32" s="1">
        <f t="shared" ref="O32:O35" si="9">5*(1-K32)</f>
        <v>5</v>
      </c>
      <c r="P32" s="1">
        <f t="shared" ref="P32:P35" si="10">5*L32</f>
        <v>2.7272727272727271</v>
      </c>
      <c r="Q32" s="1">
        <f t="shared" ref="Q32:Q35" si="11">5*(1-M32)</f>
        <v>5</v>
      </c>
    </row>
    <row r="33" spans="2:17" ht="58" x14ac:dyDescent="0.35">
      <c r="B33" s="1" t="s">
        <v>26</v>
      </c>
      <c r="C33" s="1">
        <v>2327</v>
      </c>
      <c r="D33" s="1">
        <v>23</v>
      </c>
      <c r="E33" s="1">
        <v>2304</v>
      </c>
      <c r="F33" s="1" t="s">
        <v>42</v>
      </c>
      <c r="G33" s="1">
        <v>6</v>
      </c>
      <c r="H33" s="1" t="s">
        <v>43</v>
      </c>
      <c r="I33" s="1">
        <f>56*60+20</f>
        <v>3380</v>
      </c>
      <c r="J33" s="1">
        <f>(D33-D37)/(D36-D37)</f>
        <v>1.4375</v>
      </c>
      <c r="K33" s="1">
        <f>(E33-E37)/(E36-E37)</f>
        <v>192</v>
      </c>
      <c r="L33" s="1">
        <f>(G33-G37)/(G36-G37)</f>
        <v>0.54545454545454541</v>
      </c>
      <c r="M33" s="1">
        <f>(I33-I37)/(I36-I37)</f>
        <v>0.61837520630845411</v>
      </c>
      <c r="N33" s="1">
        <f t="shared" si="8"/>
        <v>7.1875</v>
      </c>
      <c r="O33" s="1">
        <f t="shared" si="9"/>
        <v>-955</v>
      </c>
      <c r="P33" s="1">
        <f t="shared" si="10"/>
        <v>2.7272727272727271</v>
      </c>
      <c r="Q33" s="1">
        <f t="shared" si="11"/>
        <v>1.9081239684577294</v>
      </c>
    </row>
    <row r="34" spans="2:17" x14ac:dyDescent="0.35">
      <c r="B34" s="1" t="s">
        <v>29</v>
      </c>
      <c r="C34" s="1">
        <v>11</v>
      </c>
      <c r="D34" s="1">
        <v>0</v>
      </c>
      <c r="E34" s="1">
        <v>11</v>
      </c>
      <c r="G34" s="1">
        <v>0</v>
      </c>
      <c r="H34" s="1" t="s">
        <v>44</v>
      </c>
      <c r="I34" s="1">
        <f>8*60+1</f>
        <v>481</v>
      </c>
      <c r="J34" s="1">
        <f>(D34-D37)/(D36-D37)</f>
        <v>0</v>
      </c>
      <c r="K34" s="1">
        <f>(E34-E37)/(E36-E37)</f>
        <v>0.91666666666666663</v>
      </c>
      <c r="L34" s="1">
        <f>(G34-G37)/(G36-G37)</f>
        <v>0</v>
      </c>
      <c r="M34" s="1">
        <f>(I34-I37)/(I36-I37)</f>
        <v>8.6741243352283143E-2</v>
      </c>
      <c r="N34" s="1">
        <f t="shared" si="8"/>
        <v>0</v>
      </c>
      <c r="O34" s="1">
        <f t="shared" si="9"/>
        <v>0.41666666666666685</v>
      </c>
      <c r="P34" s="1">
        <f t="shared" si="10"/>
        <v>0</v>
      </c>
      <c r="Q34" s="1">
        <f t="shared" si="11"/>
        <v>4.5662937832385841</v>
      </c>
    </row>
    <row r="35" spans="2:17" ht="101.5" x14ac:dyDescent="0.35">
      <c r="B35" s="1" t="s">
        <v>32</v>
      </c>
      <c r="C35" s="1">
        <v>26</v>
      </c>
      <c r="D35" s="1">
        <v>14</v>
      </c>
      <c r="E35" s="1">
        <v>12</v>
      </c>
      <c r="F35" s="1" t="s">
        <v>45</v>
      </c>
      <c r="G35" s="1">
        <v>11</v>
      </c>
      <c r="H35" s="1" t="s">
        <v>46</v>
      </c>
      <c r="I35" s="1">
        <f>(60+31)*60 +1</f>
        <v>5461</v>
      </c>
      <c r="J35" s="1">
        <f>(D35-D37)/(D36-D37)</f>
        <v>0.875</v>
      </c>
      <c r="K35" s="1">
        <f>(E35-E37)/(E36-E37)</f>
        <v>1</v>
      </c>
      <c r="L35" s="1">
        <f>(G35-G37)/(G36-G37)</f>
        <v>1</v>
      </c>
      <c r="M35" s="1">
        <f>(I35-I37)/(I36-I37)</f>
        <v>1</v>
      </c>
      <c r="N35" s="1">
        <f t="shared" si="8"/>
        <v>4.375</v>
      </c>
      <c r="O35" s="1">
        <f t="shared" si="9"/>
        <v>0</v>
      </c>
      <c r="P35" s="1">
        <f t="shared" si="10"/>
        <v>5</v>
      </c>
      <c r="Q35" s="1">
        <f t="shared" si="11"/>
        <v>0</v>
      </c>
    </row>
    <row r="36" spans="2:17" x14ac:dyDescent="0.35">
      <c r="B36" s="1" t="s">
        <v>35</v>
      </c>
      <c r="C36" s="1">
        <f>MAX(MAX(C31:C32),MAX(C34:C35))</f>
        <v>26</v>
      </c>
      <c r="D36" s="1">
        <f t="shared" ref="D36" si="12">MAX(MAX(D31:D32),MAX(D34:D35))</f>
        <v>16</v>
      </c>
      <c r="E36" s="1">
        <f t="shared" ref="E36" si="13">MAX(MAX(E31:E32),MAX(E34:E35))</f>
        <v>12</v>
      </c>
      <c r="F36" s="1">
        <f t="shared" ref="F36" si="14">MAX(MAX(F31:F32),MAX(F34:F35))</f>
        <v>0</v>
      </c>
      <c r="G36" s="1">
        <f t="shared" ref="G36" si="15">MAX(MAX(G31:G32),MAX(G34:G35))</f>
        <v>11</v>
      </c>
      <c r="H36" s="1">
        <f t="shared" ref="H36" si="16">MAX(MAX(H31:H32),MAX(H34:H35))</f>
        <v>0</v>
      </c>
      <c r="I36" s="1">
        <f t="shared" ref="I36" si="17">MAX(MAX(I31:I32),MAX(I34:I35))</f>
        <v>5461</v>
      </c>
    </row>
    <row r="37" spans="2:17" x14ac:dyDescent="0.35">
      <c r="B37" s="1" t="s">
        <v>36</v>
      </c>
      <c r="C37" s="1">
        <f>MIN(MIN(C31:C32),MIN(C34:C35))</f>
        <v>8</v>
      </c>
      <c r="D37" s="1">
        <f t="shared" ref="D37:I37" si="18">MIN(MIN(D31:D32),MIN(D34:D35))</f>
        <v>0</v>
      </c>
      <c r="E37" s="1">
        <f t="shared" si="18"/>
        <v>0</v>
      </c>
      <c r="F37" s="1">
        <f t="shared" si="18"/>
        <v>0</v>
      </c>
      <c r="G37" s="1">
        <f t="shared" si="18"/>
        <v>0</v>
      </c>
      <c r="H37" s="1">
        <f t="shared" si="18"/>
        <v>0</v>
      </c>
      <c r="I37" s="1">
        <f t="shared" si="18"/>
        <v>8</v>
      </c>
    </row>
    <row r="38" spans="2:17" x14ac:dyDescent="0.35">
      <c r="B38" s="1" t="s">
        <v>37</v>
      </c>
      <c r="C38" s="1">
        <f>0.5*(AVERAGEA(C31:C32) + AVERAGEA(C34:C35))</f>
        <v>15.75</v>
      </c>
      <c r="D38" s="1">
        <f t="shared" ref="D38:I38" si="19">0.5*(AVERAGEA(D31:D32) + AVERAGEA(D34:D35))</f>
        <v>9.5</v>
      </c>
      <c r="E38" s="1">
        <f t="shared" si="19"/>
        <v>6.25</v>
      </c>
      <c r="F38" s="1">
        <f t="shared" si="19"/>
        <v>0</v>
      </c>
      <c r="G38" s="1">
        <f t="shared" si="19"/>
        <v>6.5</v>
      </c>
      <c r="H38" s="1">
        <f t="shared" si="19"/>
        <v>0</v>
      </c>
      <c r="I38" s="1">
        <f t="shared" si="19"/>
        <v>1722.75</v>
      </c>
      <c r="J38" s="1">
        <f t="shared" ref="J38:Q38" si="20">AVERAGEA(J31:J35)</f>
        <v>0.76249999999999996</v>
      </c>
      <c r="K38" s="1">
        <f t="shared" si="20"/>
        <v>38.816666666666663</v>
      </c>
      <c r="L38" s="1">
        <f t="shared" si="20"/>
        <v>0.58181818181818179</v>
      </c>
      <c r="M38" s="1">
        <f t="shared" si="20"/>
        <v>0.37524298551256191</v>
      </c>
      <c r="N38" s="1">
        <f t="shared" si="20"/>
        <v>3.8125</v>
      </c>
      <c r="O38" s="1">
        <f t="shared" si="20"/>
        <v>-189.08333333333334</v>
      </c>
      <c r="P38" s="1">
        <f t="shared" si="20"/>
        <v>2.9090909090909092</v>
      </c>
      <c r="Q38" s="1">
        <f t="shared" si="20"/>
        <v>3.1237850724371912</v>
      </c>
    </row>
    <row r="40" spans="2:17" ht="43.5" x14ac:dyDescent="0.35">
      <c r="C40" s="1" t="s">
        <v>47</v>
      </c>
      <c r="D40" s="1" t="s">
        <v>48</v>
      </c>
      <c r="E40" s="1" t="s">
        <v>49</v>
      </c>
      <c r="F40" s="1" t="s">
        <v>50</v>
      </c>
      <c r="G40" s="1" t="s">
        <v>51</v>
      </c>
      <c r="H40" s="1" t="s">
        <v>52</v>
      </c>
      <c r="I40" s="1" t="s">
        <v>53</v>
      </c>
      <c r="J40" s="1" t="s">
        <v>54</v>
      </c>
      <c r="K40" s="1" t="s">
        <v>55</v>
      </c>
      <c r="L40" s="1" t="s">
        <v>56</v>
      </c>
    </row>
    <row r="41" spans="2:17" x14ac:dyDescent="0.35">
      <c r="B41" s="1" t="s">
        <v>19</v>
      </c>
    </row>
    <row r="42" spans="2:17" x14ac:dyDescent="0.35">
      <c r="B42" s="1" t="s">
        <v>20</v>
      </c>
      <c r="C42" s="1">
        <v>5</v>
      </c>
      <c r="D42" s="1">
        <v>5</v>
      </c>
      <c r="E42" s="1">
        <v>5</v>
      </c>
      <c r="F42" s="1">
        <v>2023</v>
      </c>
      <c r="G42" s="1">
        <f>2023-F42</f>
        <v>0</v>
      </c>
      <c r="H42" s="1">
        <v>127</v>
      </c>
      <c r="I42" s="1">
        <f>(G42-G48)/(G47-G48)</f>
        <v>0</v>
      </c>
      <c r="J42" s="1">
        <f>(H42-H48)/(H47-H48)</f>
        <v>1</v>
      </c>
      <c r="K42" s="1">
        <f>0.5*5*((1-I42) + (J42))</f>
        <v>5</v>
      </c>
      <c r="L42" s="1">
        <f>(D42+2*E42)/3</f>
        <v>5</v>
      </c>
    </row>
    <row r="43" spans="2:17" x14ac:dyDescent="0.35">
      <c r="B43" s="1" t="s">
        <v>23</v>
      </c>
      <c r="C43" s="1">
        <v>4</v>
      </c>
      <c r="D43" s="1">
        <v>3</v>
      </c>
      <c r="E43" s="1">
        <v>3</v>
      </c>
      <c r="F43" s="1">
        <v>2023</v>
      </c>
      <c r="G43" s="1">
        <f>2023-F43</f>
        <v>0</v>
      </c>
      <c r="H43" s="1">
        <v>91</v>
      </c>
      <c r="I43" s="1">
        <f>(G43-G48)/(G47-G48)</f>
        <v>0</v>
      </c>
      <c r="J43" s="1">
        <f>(H43-H48)/(H47-H48)</f>
        <v>0.71653543307086609</v>
      </c>
      <c r="K43" s="1">
        <f>0.5*5*((1-I43) + (J43))</f>
        <v>4.2913385826771657</v>
      </c>
      <c r="L43" s="1">
        <f t="shared" ref="L43:L46" si="21">(D43+2*E43)/3</f>
        <v>3</v>
      </c>
    </row>
    <row r="44" spans="2:17" x14ac:dyDescent="0.35">
      <c r="B44" s="1" t="s">
        <v>26</v>
      </c>
      <c r="C44" s="1">
        <v>4</v>
      </c>
      <c r="D44" s="1">
        <v>1</v>
      </c>
      <c r="E44" s="1">
        <v>1</v>
      </c>
      <c r="F44" s="1">
        <v>2019</v>
      </c>
      <c r="G44" s="1">
        <f>2023-F44</f>
        <v>4</v>
      </c>
      <c r="H44" s="1">
        <v>0</v>
      </c>
      <c r="I44" s="1">
        <f>(G44-G48)/(G47-G48)</f>
        <v>0.36363636363636365</v>
      </c>
      <c r="J44" s="1">
        <f>(H44-H48)/(H47-H48)</f>
        <v>0</v>
      </c>
      <c r="K44" s="1">
        <f>0.5*5*((1-I44) + (J44))</f>
        <v>1.5909090909090908</v>
      </c>
      <c r="L44" s="1">
        <f t="shared" si="21"/>
        <v>1</v>
      </c>
    </row>
    <row r="45" spans="2:17" x14ac:dyDescent="0.35">
      <c r="B45" s="1" t="s">
        <v>29</v>
      </c>
      <c r="C45" s="1">
        <v>2</v>
      </c>
      <c r="D45" s="1">
        <v>3</v>
      </c>
      <c r="E45" s="1">
        <v>5</v>
      </c>
      <c r="F45" s="1">
        <v>2020</v>
      </c>
      <c r="G45" s="1">
        <f>2023-F45</f>
        <v>3</v>
      </c>
      <c r="H45" s="1">
        <v>0</v>
      </c>
      <c r="I45" s="1">
        <f>(G45-G48)/(G47-G48)</f>
        <v>0.27272727272727271</v>
      </c>
      <c r="J45" s="1">
        <f>(H45-H48)/(H47-H48)</f>
        <v>0</v>
      </c>
      <c r="K45" s="1">
        <f>0.5*5*((1-I45) + (J45))</f>
        <v>1.8181818181818183</v>
      </c>
      <c r="L45" s="1">
        <f t="shared" si="21"/>
        <v>4.333333333333333</v>
      </c>
    </row>
    <row r="46" spans="2:17" x14ac:dyDescent="0.35">
      <c r="B46" s="1" t="s">
        <v>32</v>
      </c>
      <c r="C46" s="1">
        <v>3</v>
      </c>
      <c r="D46" s="1">
        <v>0</v>
      </c>
      <c r="E46" s="1">
        <v>3</v>
      </c>
      <c r="F46" s="1">
        <v>2012</v>
      </c>
      <c r="G46" s="1">
        <f>2023-F46</f>
        <v>11</v>
      </c>
      <c r="H46" s="1">
        <v>0</v>
      </c>
      <c r="I46" s="1">
        <f>(G46-G48)/(G47-G48)</f>
        <v>1</v>
      </c>
      <c r="J46" s="1">
        <f>(H46-H48)/(H47-H48)</f>
        <v>0</v>
      </c>
      <c r="K46" s="1">
        <f>0.5*5*((1-I46) + (J46))</f>
        <v>0</v>
      </c>
      <c r="L46" s="1">
        <f t="shared" si="21"/>
        <v>2</v>
      </c>
    </row>
    <row r="47" spans="2:17" x14ac:dyDescent="0.35">
      <c r="B47" s="1" t="s">
        <v>35</v>
      </c>
      <c r="C47" s="1">
        <f>MAX(C42:C46)</f>
        <v>5</v>
      </c>
      <c r="D47" s="1">
        <f>MAX(D42:D46)</f>
        <v>5</v>
      </c>
      <c r="E47" s="1">
        <f t="shared" ref="E47:F47" si="22">MAX(E42:E46)</f>
        <v>5</v>
      </c>
      <c r="F47" s="1">
        <f t="shared" si="22"/>
        <v>2023</v>
      </c>
      <c r="G47" s="1">
        <f>MAX(G42:G46)</f>
        <v>11</v>
      </c>
      <c r="H47" s="1">
        <f t="shared" ref="H47" si="23">MAX(H42:H46)</f>
        <v>127</v>
      </c>
      <c r="K47" s="1">
        <f>MAX(K42:K46)</f>
        <v>5</v>
      </c>
      <c r="L47" s="1">
        <f>MAX(L42:L46)</f>
        <v>5</v>
      </c>
    </row>
    <row r="48" spans="2:17" x14ac:dyDescent="0.35">
      <c r="B48" s="1" t="s">
        <v>36</v>
      </c>
      <c r="C48" s="1">
        <f>MIN(C42:C46)</f>
        <v>2</v>
      </c>
      <c r="D48" s="1">
        <f t="shared" ref="D48:F48" si="24">MIN(D42:D46)</f>
        <v>0</v>
      </c>
      <c r="E48" s="1">
        <f t="shared" si="24"/>
        <v>1</v>
      </c>
      <c r="F48" s="1">
        <f t="shared" si="24"/>
        <v>2012</v>
      </c>
      <c r="G48" s="1">
        <f>MIN(G42:G46)</f>
        <v>0</v>
      </c>
      <c r="H48" s="1">
        <f>MIN(H42:H46)</f>
        <v>0</v>
      </c>
      <c r="K48" s="1">
        <f>MIN(K42:K46)</f>
        <v>0</v>
      </c>
      <c r="L48" s="1">
        <f>MIN(L42:L46)</f>
        <v>1</v>
      </c>
    </row>
    <row r="50" spans="2:10" x14ac:dyDescent="0.35">
      <c r="B50" s="1" t="s">
        <v>57</v>
      </c>
      <c r="C50" s="1" t="s">
        <v>58</v>
      </c>
      <c r="D50" s="1" t="s">
        <v>59</v>
      </c>
      <c r="E50" s="1" t="s">
        <v>5</v>
      </c>
      <c r="F50" s="1" t="s">
        <v>60</v>
      </c>
      <c r="G50" s="1" t="s">
        <v>8</v>
      </c>
      <c r="H50" s="1" t="s">
        <v>61</v>
      </c>
      <c r="I50" s="1" t="s">
        <v>62</v>
      </c>
      <c r="J50" s="1" t="s">
        <v>63</v>
      </c>
    </row>
    <row r="51" spans="2:10" x14ac:dyDescent="0.35">
      <c r="B51" s="1" t="s">
        <v>64</v>
      </c>
      <c r="C51" s="1">
        <v>2</v>
      </c>
      <c r="D51" s="1">
        <v>3</v>
      </c>
      <c r="E51" s="1">
        <v>5</v>
      </c>
      <c r="F51" s="1">
        <v>5</v>
      </c>
      <c r="G51" s="1">
        <v>5</v>
      </c>
      <c r="H51" s="1">
        <v>3</v>
      </c>
      <c r="I51" s="1">
        <v>1</v>
      </c>
      <c r="J51" s="1">
        <f>SUM(C51:I51)</f>
        <v>24</v>
      </c>
    </row>
    <row r="54" spans="2:10" ht="29" x14ac:dyDescent="0.35">
      <c r="B54" s="1" t="s">
        <v>65</v>
      </c>
      <c r="C54" s="1" t="str">
        <f>K40</f>
        <v>Maintanability of the project score</v>
      </c>
      <c r="D54" s="1" t="str">
        <f>L40</f>
        <v>Report quality score</v>
      </c>
      <c r="E54" s="1" t="str">
        <f>N10</f>
        <v>True positives score</v>
      </c>
      <c r="F54" s="1" t="str">
        <f t="shared" ref="F54:G54" si="25">O10</f>
        <v>False Positives score</v>
      </c>
      <c r="G54" s="1" t="str">
        <f t="shared" si="25"/>
        <v>Number of vulnerabilities found score</v>
      </c>
      <c r="H54" s="1" t="str">
        <f>Q10</f>
        <v>Performance score</v>
      </c>
      <c r="I54" s="1" t="str">
        <f>C40</f>
        <v>Ease of use score</v>
      </c>
      <c r="J54" s="1" t="s">
        <v>66</v>
      </c>
    </row>
    <row r="55" spans="2:10" x14ac:dyDescent="0.35">
      <c r="B55" s="1" t="s">
        <v>20</v>
      </c>
      <c r="C55" s="2">
        <f>K42</f>
        <v>5</v>
      </c>
      <c r="D55" s="2">
        <f>L42</f>
        <v>5</v>
      </c>
      <c r="E55" s="2">
        <f>(N12+N31)/2</f>
        <v>5</v>
      </c>
      <c r="F55" s="2">
        <f t="shared" ref="F55:H59" si="26">(O12+O31)/2</f>
        <v>4.5833333333333339</v>
      </c>
      <c r="G55" s="2">
        <f t="shared" si="26"/>
        <v>4.545454545454545</v>
      </c>
      <c r="H55" s="2">
        <f t="shared" si="26"/>
        <v>3.3516110363943872</v>
      </c>
      <c r="I55" s="2">
        <f>C42</f>
        <v>5</v>
      </c>
      <c r="J55" s="2">
        <f>(C55*C51+D55*D51+E55*E51+F55*F51+G55*G51+H55*H51+I55*I51)/J51</f>
        <v>4.6124488542967734</v>
      </c>
    </row>
    <row r="56" spans="2:10" x14ac:dyDescent="0.35">
      <c r="B56" s="1" t="s">
        <v>23</v>
      </c>
      <c r="C56" s="2">
        <f t="shared" ref="C56:D59" si="27">K43</f>
        <v>4.2913385826771657</v>
      </c>
      <c r="D56" s="2">
        <f t="shared" si="27"/>
        <v>3</v>
      </c>
      <c r="E56" s="2">
        <f t="shared" ref="E56:E59" si="28">(N13+N32)/2</f>
        <v>1.25</v>
      </c>
      <c r="F56" s="2">
        <f t="shared" si="26"/>
        <v>5</v>
      </c>
      <c r="G56" s="2">
        <f t="shared" si="26"/>
        <v>2.2727272727272725</v>
      </c>
      <c r="H56" s="2">
        <f t="shared" si="26"/>
        <v>5</v>
      </c>
      <c r="I56" s="2">
        <f t="shared" ref="I56:I59" si="29">C43</f>
        <v>4</v>
      </c>
      <c r="J56" s="2">
        <f>(C56*C51+D56*D51+E56*E51+F56*F51+G56*G51+H56*H51+I56*I51)/J51</f>
        <v>3.299846397041279</v>
      </c>
    </row>
    <row r="57" spans="2:10" x14ac:dyDescent="0.35">
      <c r="C57" s="2"/>
      <c r="D57" s="2"/>
      <c r="E57" s="2"/>
      <c r="F57" s="2"/>
      <c r="G57" s="2"/>
      <c r="H57" s="2"/>
      <c r="I57" s="2"/>
      <c r="J57" s="2"/>
    </row>
    <row r="58" spans="2:10" x14ac:dyDescent="0.35">
      <c r="B58" s="1" t="s">
        <v>29</v>
      </c>
      <c r="C58" s="2">
        <f t="shared" si="27"/>
        <v>1.8181818181818183</v>
      </c>
      <c r="D58" s="2">
        <f t="shared" si="27"/>
        <v>4.333333333333333</v>
      </c>
      <c r="E58" s="2">
        <f>(N15+N34)/2</f>
        <v>1.25</v>
      </c>
      <c r="F58" s="2">
        <f t="shared" si="26"/>
        <v>0.625</v>
      </c>
      <c r="G58" s="2">
        <f t="shared" si="26"/>
        <v>2.2727272727272725</v>
      </c>
      <c r="H58" s="2">
        <f t="shared" si="26"/>
        <v>4.3783261252410473</v>
      </c>
      <c r="I58" s="2">
        <f t="shared" si="29"/>
        <v>2</v>
      </c>
      <c r="J58" s="2">
        <f>(C58*C51+D58*D51+E58*E51+F58*F51+G58*G51+H58*H51+I58*I51)/J51</f>
        <v>2.1879157656551311</v>
      </c>
    </row>
    <row r="59" spans="2:10" x14ac:dyDescent="0.35">
      <c r="B59" s="1" t="s">
        <v>32</v>
      </c>
      <c r="C59" s="2">
        <f t="shared" si="27"/>
        <v>0</v>
      </c>
      <c r="D59" s="2">
        <f t="shared" si="27"/>
        <v>2</v>
      </c>
      <c r="E59" s="2">
        <f t="shared" si="28"/>
        <v>3.020833333333333</v>
      </c>
      <c r="F59" s="2">
        <f t="shared" si="26"/>
        <v>0</v>
      </c>
      <c r="G59" s="2">
        <f t="shared" si="26"/>
        <v>2.5</v>
      </c>
      <c r="H59" s="2">
        <f t="shared" si="26"/>
        <v>0</v>
      </c>
      <c r="I59" s="2">
        <f t="shared" si="29"/>
        <v>3</v>
      </c>
      <c r="J59" s="2">
        <f>(C59*C51+D59*D51+E59*E51+F59*F51+G59*G51+H59*H51+I59*I51)/J51</f>
        <v>1.5251736111111109</v>
      </c>
    </row>
    <row r="60" spans="2:10" x14ac:dyDescent="0.35">
      <c r="C60" s="2"/>
      <c r="D60" s="2"/>
      <c r="E60" s="2"/>
      <c r="F60" s="2"/>
      <c r="G60" s="2"/>
      <c r="H60" s="2"/>
      <c r="I60" s="2"/>
      <c r="J60" s="2"/>
    </row>
    <row r="61" spans="2:10" x14ac:dyDescent="0.35">
      <c r="B61" s="1" t="s">
        <v>35</v>
      </c>
      <c r="C61" s="2">
        <f>MAX(MAX(C55:C56),MAX(C58:C59))</f>
        <v>5</v>
      </c>
      <c r="D61" s="2">
        <f t="shared" ref="D61:J61" si="30">MAX(MAX(D55:D56),MAX(D58:D59))</f>
        <v>5</v>
      </c>
      <c r="E61" s="2">
        <f t="shared" si="30"/>
        <v>5</v>
      </c>
      <c r="F61" s="2">
        <f t="shared" si="30"/>
        <v>5</v>
      </c>
      <c r="G61" s="2">
        <f t="shared" si="30"/>
        <v>4.545454545454545</v>
      </c>
      <c r="H61" s="2">
        <f t="shared" si="30"/>
        <v>5</v>
      </c>
      <c r="I61" s="2">
        <f t="shared" si="30"/>
        <v>5</v>
      </c>
      <c r="J61" s="2">
        <f t="shared" si="30"/>
        <v>4.6124488542967734</v>
      </c>
    </row>
    <row r="62" spans="2:10" x14ac:dyDescent="0.35">
      <c r="B62" s="1" t="s">
        <v>36</v>
      </c>
      <c r="C62" s="2">
        <f>MIN(MIN(C55:C56),MIN(C58:C59))</f>
        <v>0</v>
      </c>
      <c r="D62" s="2">
        <f t="shared" ref="D62:J62" si="31">MIN(MIN(D55:D56),MIN(D58:D59))</f>
        <v>2</v>
      </c>
      <c r="E62" s="2">
        <f t="shared" si="31"/>
        <v>1.25</v>
      </c>
      <c r="F62" s="2">
        <f t="shared" si="31"/>
        <v>0</v>
      </c>
      <c r="G62" s="2">
        <f t="shared" si="31"/>
        <v>2.2727272727272725</v>
      </c>
      <c r="H62" s="2">
        <f t="shared" si="31"/>
        <v>0</v>
      </c>
      <c r="I62" s="2">
        <f t="shared" si="31"/>
        <v>2</v>
      </c>
      <c r="J62" s="2">
        <f t="shared" si="31"/>
        <v>1.5251736111111109</v>
      </c>
    </row>
    <row r="63" spans="2:10" x14ac:dyDescent="0.35">
      <c r="B63" s="1" t="s">
        <v>37</v>
      </c>
      <c r="C63" s="2">
        <f>0.5*(AVERAGEA(C55:C56) + AVERAGEA(C58:C59))</f>
        <v>2.7773801002147462</v>
      </c>
      <c r="D63" s="2">
        <f t="shared" ref="D63:J63" si="32">0.5*(AVERAGEA(D55:D56) + AVERAGEA(D58:D59))</f>
        <v>3.583333333333333</v>
      </c>
      <c r="E63" s="2">
        <f t="shared" si="32"/>
        <v>2.630208333333333</v>
      </c>
      <c r="F63" s="2">
        <f t="shared" si="32"/>
        <v>2.5520833333333335</v>
      </c>
      <c r="G63" s="2">
        <f t="shared" si="32"/>
        <v>2.8977272727272725</v>
      </c>
      <c r="H63" s="2">
        <f t="shared" si="32"/>
        <v>3.1824842904088588</v>
      </c>
      <c r="I63" s="2">
        <f t="shared" si="32"/>
        <v>3.5</v>
      </c>
      <c r="J63" s="2">
        <f t="shared" si="32"/>
        <v>2.906346157026074</v>
      </c>
    </row>
    <row r="70" spans="2:15" x14ac:dyDescent="0.35">
      <c r="C70" s="1" t="s">
        <v>67</v>
      </c>
      <c r="D70" s="1" t="s">
        <v>68</v>
      </c>
      <c r="E70" s="1" t="s">
        <v>69</v>
      </c>
      <c r="F70" s="1" t="s">
        <v>70</v>
      </c>
    </row>
    <row r="71" spans="2:15" x14ac:dyDescent="0.35">
      <c r="B71" s="1" t="s">
        <v>66</v>
      </c>
      <c r="C71" s="2">
        <f>J55</f>
        <v>4.6124488542967734</v>
      </c>
      <c r="D71" s="2">
        <f>J56</f>
        <v>3.299846397041279</v>
      </c>
      <c r="E71" s="2">
        <f>J58</f>
        <v>2.1879157656551311</v>
      </c>
      <c r="F71" s="2">
        <f>J59</f>
        <v>1.5251736111111109</v>
      </c>
      <c r="G71" s="2"/>
    </row>
    <row r="72" spans="2:15" x14ac:dyDescent="0.35">
      <c r="B72" s="1" t="s">
        <v>72</v>
      </c>
      <c r="C72" s="1">
        <v>1</v>
      </c>
      <c r="D72" s="1">
        <v>2</v>
      </c>
      <c r="E72" s="1">
        <v>3</v>
      </c>
      <c r="F72" s="1">
        <v>4</v>
      </c>
      <c r="I72" s="2"/>
      <c r="J72" s="2"/>
      <c r="K72" s="2"/>
      <c r="L72" s="2"/>
      <c r="M72" s="2"/>
      <c r="N72" s="2"/>
      <c r="O72" s="2"/>
    </row>
    <row r="73" spans="2:15" x14ac:dyDescent="0.35">
      <c r="I73" s="2"/>
      <c r="J73" s="2"/>
      <c r="K73" s="2"/>
      <c r="L73" s="2"/>
      <c r="M73" s="2"/>
      <c r="N73" s="2"/>
      <c r="O73" s="2"/>
    </row>
    <row r="93" spans="3:9" x14ac:dyDescent="0.35">
      <c r="C93" s="1" t="s">
        <v>58</v>
      </c>
      <c r="D93" s="1" t="s">
        <v>59</v>
      </c>
      <c r="E93" s="1" t="s">
        <v>5</v>
      </c>
      <c r="F93" s="1" t="s">
        <v>60</v>
      </c>
      <c r="G93" s="1" t="s">
        <v>8</v>
      </c>
      <c r="H93" s="1" t="s">
        <v>61</v>
      </c>
      <c r="I93" s="1" t="s">
        <v>62</v>
      </c>
    </row>
    <row r="94" spans="3:9" x14ac:dyDescent="0.35">
      <c r="C94" s="1">
        <v>5</v>
      </c>
      <c r="D94" s="1">
        <v>5</v>
      </c>
      <c r="E94" s="1">
        <v>5</v>
      </c>
      <c r="F94" s="1">
        <v>4.5833333333333339</v>
      </c>
      <c r="G94" s="1">
        <v>4.545454545454545</v>
      </c>
      <c r="H94" s="1">
        <v>3.3516110363943872</v>
      </c>
      <c r="I94" s="1">
        <v>5</v>
      </c>
    </row>
    <row r="95" spans="3:9" x14ac:dyDescent="0.35">
      <c r="C95" s="1">
        <v>4.2913385826771657</v>
      </c>
      <c r="D95" s="1">
        <v>3</v>
      </c>
      <c r="E95" s="1">
        <v>1.25</v>
      </c>
      <c r="F95" s="1">
        <v>5</v>
      </c>
      <c r="G95" s="1">
        <v>2.2727272727272725</v>
      </c>
      <c r="H95" s="1">
        <v>5</v>
      </c>
      <c r="I95" s="1">
        <v>4</v>
      </c>
    </row>
    <row r="96" spans="3:9" x14ac:dyDescent="0.35">
      <c r="C96" s="1">
        <v>1.8181818181818183</v>
      </c>
      <c r="D96" s="1">
        <v>4.333333333333333</v>
      </c>
      <c r="E96" s="1">
        <v>1.25</v>
      </c>
      <c r="F96" s="1">
        <v>0.625</v>
      </c>
      <c r="G96" s="1">
        <v>2.2727272727272725</v>
      </c>
      <c r="H96" s="1">
        <v>4.3783261252410473</v>
      </c>
      <c r="I96" s="1">
        <v>2</v>
      </c>
    </row>
    <row r="97" spans="3:9" x14ac:dyDescent="0.35">
      <c r="C97" s="1">
        <v>0</v>
      </c>
      <c r="D97" s="1">
        <v>2</v>
      </c>
      <c r="E97" s="1">
        <v>3.020833333333333</v>
      </c>
      <c r="F97" s="1">
        <v>0</v>
      </c>
      <c r="G97" s="1">
        <v>2.5</v>
      </c>
      <c r="H97" s="1">
        <v>0</v>
      </c>
      <c r="I97" s="1">
        <v>3</v>
      </c>
    </row>
    <row r="98" spans="3:9" x14ac:dyDescent="0.35">
      <c r="C98" s="1">
        <v>1.5909090909090908</v>
      </c>
      <c r="D98" s="1">
        <v>1</v>
      </c>
      <c r="E98" s="1">
        <v>4.1666666666666661</v>
      </c>
      <c r="F98" s="1">
        <v>0</v>
      </c>
      <c r="G98" s="1">
        <v>2.7272727272727271</v>
      </c>
      <c r="H98" s="1">
        <v>2.1530731090743531</v>
      </c>
      <c r="I98" s="1">
        <v>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51f003d86e044fa8787db0c1fd77971 xmlns="ff2d4f9e-07fd-4975-bbe0-b2f1bed18167">
      <Terms xmlns="http://schemas.microsoft.com/office/infopath/2007/PartnerControls"/>
    </i51f003d86e044fa8787db0c1fd77971>
    <TaxCatchAll xmlns="ff2d4f9e-07fd-4975-bbe0-b2f1bed18167" xsi:nil="true"/>
    <WS_KM xmlns="ff2d4f9e-07fd-4975-bbe0-b2f1bed18167">false</WS_KM>
    <lcf76f155ced4ddcb4097134ff3c332f xmlns="ebf9c069-add2-408e-a312-2aab5291856f">
      <Terms xmlns="http://schemas.microsoft.com/office/infopath/2007/PartnerControls"/>
    </lcf76f155ced4ddcb4097134ff3c332f>
    <TaxKeywordTaxHTField xmlns="ff2d4f9e-07fd-4975-bbe0-b2f1bed18167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07D97E61A984B850BEDC4E7E99101" ma:contentTypeVersion="22" ma:contentTypeDescription="Crée un document." ma:contentTypeScope="" ma:versionID="fe57479d511282f40dad63bfc6db7b5b">
  <xsd:schema xmlns:xsd="http://www.w3.org/2001/XMLSchema" xmlns:xs="http://www.w3.org/2001/XMLSchema" xmlns:p="http://schemas.microsoft.com/office/2006/metadata/properties" xmlns:ns1="http://schemas.microsoft.com/sharepoint/v3" xmlns:ns2="ff2d4f9e-07fd-4975-bbe0-b2f1bed18167" xmlns:ns3="ebf9c069-add2-408e-a312-2aab5291856f" targetNamespace="http://schemas.microsoft.com/office/2006/metadata/properties" ma:root="true" ma:fieldsID="da7845f5085a3113cc6550a63a54b2fd" ns1:_="" ns2:_="" ns3:_="">
    <xsd:import namespace="http://schemas.microsoft.com/sharepoint/v3"/>
    <xsd:import namespace="ff2d4f9e-07fd-4975-bbe0-b2f1bed18167"/>
    <xsd:import namespace="ebf9c069-add2-408e-a312-2aab5291856f"/>
    <xsd:element name="properties">
      <xsd:complexType>
        <xsd:sequence>
          <xsd:element name="documentManagement">
            <xsd:complexType>
              <xsd:all>
                <xsd:element ref="ns1:Editor" minOccurs="0"/>
                <xsd:element ref="ns1:_UIVersionString" minOccurs="0"/>
                <xsd:element ref="ns2:WS_KM" minOccurs="0"/>
                <xsd:element ref="ns2:TaxKeywordTaxHTField" minOccurs="0"/>
                <xsd:element ref="ns2:TaxCatchAll" minOccurs="0"/>
                <xsd:element ref="ns2:TaxCatchAllLabel" minOccurs="0"/>
                <xsd:element ref="ns2:i51f003d86e044fa8787db0c1fd77971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ditor" ma:index="2" nillable="true" ma:displayName="Modifié par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UIVersionString" ma:index="3" nillable="true" ma:displayName="Version" ma:internalName="_UIVersionString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2d4f9e-07fd-4975-bbe0-b2f1bed18167" elementFormDefault="qualified">
    <xsd:import namespace="http://schemas.microsoft.com/office/2006/documentManagement/types"/>
    <xsd:import namespace="http://schemas.microsoft.com/office/infopath/2007/PartnerControls"/>
    <xsd:element name="WS_KM" ma:index="4" nillable="true" ma:displayName="KM" ma:default="0" ma:description="" ma:internalName="WS_KM">
      <xsd:simpleType>
        <xsd:restriction base="dms:Boolean"/>
      </xsd:simpleType>
    </xsd:element>
    <xsd:element name="TaxKeywordTaxHTField" ma:index="8" nillable="true" ma:taxonomy="true" ma:internalName="TaxKeywordTaxHTField" ma:taxonomyFieldName="TaxKeyword" ma:displayName="Mots clés d’entreprise" ma:fieldId="{23f27201-bee3-471e-b2e7-b64fd8b7ca38}" ma:taxonomyMulti="true" ma:sspId="f9efb03f-e9de-4143-b61f-0d56fef76e3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462a80a0-9ee6-40eb-b02f-957aa67f6600}" ma:internalName="TaxCatchAll" ma:showField="CatchAllData" ma:web="ff2d4f9e-07fd-4975-bbe0-b2f1bed181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462a80a0-9ee6-40eb-b02f-957aa67f6600}" ma:internalName="TaxCatchAllLabel" ma:readOnly="true" ma:showField="CatchAllDataLabel" ma:web="ff2d4f9e-07fd-4975-bbe0-b2f1bed181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51f003d86e044fa8787db0c1fd77971" ma:index="15" nillable="true" ma:taxonomy="true" ma:internalName="i51f003d86e044fa8787db0c1fd77971" ma:taxonomyFieldName="WSDocumentType" ma:displayName="Type de document" ma:fieldId="{251f003d-86e0-44fa-8787-db0c1fd77971}" ma:sspId="f9efb03f-e9de-4143-b61f-0d56fef76e3e" ma:termSetId="401140da-6a5d-431c-946b-19bb8ebb57b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f9c069-add2-408e-a312-2aab52918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3" nillable="true" ma:displayName="Tags" ma:internalName="MediaServiceAutoTags" ma:readOnly="true">
      <xsd:simpleType>
        <xsd:restriction base="dms:Text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30" nillable="true" ma:taxonomy="true" ma:internalName="lcf76f155ced4ddcb4097134ff3c332f" ma:taxonomyFieldName="MediaServiceImageTags" ma:displayName="Balises d’images" ma:readOnly="false" ma:fieldId="{5cf76f15-5ced-4ddc-b409-7134ff3c332f}" ma:taxonomyMulti="true" ma:sspId="f9efb03f-e9de-4143-b61f-0d56fef76e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Type de contenu"/>
        <xsd:element ref="dc:title" minOccurs="0" maxOccurs="1" ma:index="0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D33E49-69EE-41BE-910B-A35E4C5BA0C2}">
  <ds:schemaRefs>
    <ds:schemaRef ds:uri="http://schemas.openxmlformats.org/package/2006/metadata/core-properties"/>
    <ds:schemaRef ds:uri="http://schemas.microsoft.com/sharepoint/v3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ff2d4f9e-07fd-4975-bbe0-b2f1bed18167"/>
    <ds:schemaRef ds:uri="ebf9c069-add2-408e-a312-2aab5291856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2BC4D23-32EC-4D22-AFDE-C173B5A7BA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f2d4f9e-07fd-4975-bbe0-b2f1bed18167"/>
    <ds:schemaRef ds:uri="ebf9c069-add2-408e-a312-2aab52918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D64F97-1490-42E7-99E5-50D860F2D7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First study with all 5 tools</vt:lpstr>
      <vt:lpstr>Second study without Nikto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FERMELI-FURIC Adrien</dc:creator>
  <cp:keywords/>
  <dc:description/>
  <cp:lastModifiedBy>FERMELI-FURIC Adrien</cp:lastModifiedBy>
  <cp:revision/>
  <dcterms:created xsi:type="dcterms:W3CDTF">2023-08-15T20:39:06Z</dcterms:created>
  <dcterms:modified xsi:type="dcterms:W3CDTF">2023-08-25T03:40:27Z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0x0101002AE07D97E61A984B850BEDC4E7E99101</vt:lpwstr>
  </property>
  <property fmtid="{D5CDD505-2E9C-101B-9397-08002B2CF9AE}" pid="3" name="TaxKeyword">
    <vt:lpwstr/>
  </property>
  <property fmtid="{D5CDD505-2E9C-101B-9397-08002B2CF9AE}" pid="4" name="WSDocumentType">
    <vt:lpwstr/>
  </property>
  <property fmtid="{D5CDD505-2E9C-101B-9397-08002B2CF9AE}" pid="5" name="MediaServiceImageTags">
    <vt:lpwstr/>
  </property>
</Properties>
</file>